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886C097-FA1E-4CF1-95F7-AA70F3489CE8}" xr6:coauthVersionLast="36" xr6:coauthVersionMax="36" xr10:uidLastSave="{00000000-0000-0000-0000-000000000000}"/>
  <bookViews>
    <workbookView xWindow="0" yWindow="0" windowWidth="28800" windowHeight="12300" tabRatio="90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SEFA NOTES" sheetId="173" r:id="rId31"/>
    <sheet name="SF&amp;QC Sec-1" sheetId="174" r:id="rId32"/>
    <sheet name="SF&amp;QC Sec-2" sheetId="175" r:id="rId33"/>
    <sheet name="SF&amp;QC Sec-3" sheetId="176" r:id="rId34"/>
    <sheet name="SSPAF" sheetId="177" r:id="rId35"/>
  </sheets>
  <definedNames>
    <definedName name="_SCHNME" localSheetId="29">#REF!</definedName>
    <definedName name="_SCHNME">#REF!</definedName>
    <definedName name="_xlnm.Print_Area" localSheetId="27">' SEFA'!$B$1:$M$47</definedName>
    <definedName name="_xlnm.Print_Area" localSheetId="28">' SEFA (2)'!$B$1:$M$46</definedName>
    <definedName name="_xlnm.Print_Area" localSheetId="29">' SEFA (3)'!$B$1:$M$47</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59" i="5" l="1"/>
  <c r="C168" i="5"/>
  <c r="L33" i="3" l="1"/>
  <c r="I26" i="185" l="1"/>
  <c r="F26" i="185"/>
  <c r="I16" i="185"/>
  <c r="F16" i="185"/>
  <c r="I25" i="184"/>
  <c r="I18" i="185" s="1"/>
  <c r="G38" i="174" s="1"/>
  <c r="F25" i="184"/>
  <c r="F18" i="185" s="1"/>
  <c r="I21" i="184"/>
  <c r="F21" i="184"/>
  <c r="I15" i="184"/>
  <c r="F15" i="184"/>
  <c r="I28" i="179"/>
  <c r="F28" i="179"/>
  <c r="I15" i="179"/>
  <c r="I22" i="179" s="1"/>
  <c r="F15" i="179"/>
  <c r="F22" i="179" s="1"/>
  <c r="L25" i="185"/>
  <c r="L24" i="185"/>
  <c r="L15" i="185"/>
  <c r="L14" i="185"/>
  <c r="L13" i="185"/>
  <c r="B4" i="185"/>
  <c r="I17" i="184" l="1"/>
  <c r="I27" i="184" s="1"/>
  <c r="I20" i="185" s="1"/>
  <c r="I28" i="185" s="1"/>
  <c r="D45" i="174" s="1"/>
  <c r="F17" i="184"/>
  <c r="F27" i="184" s="1"/>
  <c r="F20" i="185" s="1"/>
  <c r="F28" i="185" s="1"/>
  <c r="D35" i="171" s="1"/>
  <c r="F21" i="179"/>
  <c r="I21" i="179"/>
  <c r="L24" i="184" l="1"/>
  <c r="L23" i="184"/>
  <c r="L20" i="184"/>
  <c r="L19" i="184"/>
  <c r="L14" i="184"/>
  <c r="L13" i="184"/>
  <c r="B4" i="184"/>
  <c r="E182" i="29" l="1"/>
  <c r="N21" i="3" l="1"/>
  <c r="K7" i="12"/>
  <c r="H5" i="12"/>
  <c r="L215" i="29"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19" i="179"/>
  <c r="L17" i="179"/>
  <c r="L14" i="179"/>
  <c r="L13" i="179"/>
  <c r="D14" i="171" l="1"/>
  <c r="D12" i="171"/>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2" i="179"/>
  <c r="B2" i="185"/>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2" i="127"/>
  <c r="B63"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J22" i="37"/>
  <c r="L22" i="37"/>
  <c r="D14" i="4" l="1"/>
  <c r="B2570" i="106" s="1"/>
  <c r="D2570" i="106" s="1"/>
  <c r="B2805" i="106"/>
  <c r="D2805" i="106" s="1"/>
  <c r="D69" i="36"/>
  <c r="G30" i="108"/>
  <c r="F37" i="34"/>
  <c r="F67" i="34"/>
  <c r="F36" i="34"/>
  <c r="D36" i="108"/>
  <c r="B7078" i="106"/>
  <c r="D7078" i="106" s="1"/>
  <c r="F64" i="34"/>
  <c r="F52" i="34"/>
  <c r="G39" i="108"/>
  <c r="B2724" i="106"/>
  <c r="D2724" i="106" s="1"/>
  <c r="B1126" i="106"/>
  <c r="D1126" i="106" s="1"/>
  <c r="B2836" i="106"/>
  <c r="D2836" i="106" s="1"/>
  <c r="D6103" i="106"/>
  <c r="J31" i="8"/>
  <c r="J49" i="8" s="1"/>
  <c r="B4172" i="106" s="1"/>
  <c r="D4172" i="106" s="1"/>
  <c r="H28" i="118"/>
  <c r="F70" i="34"/>
  <c r="E38" i="108"/>
  <c r="B1274" i="106"/>
  <c r="D1274" i="106" s="1"/>
  <c r="F68" i="34"/>
  <c r="B1124" i="106"/>
  <c r="D1124" i="106" s="1"/>
  <c r="G26" i="108"/>
  <c r="E26" i="108"/>
  <c r="B6289" i="106"/>
  <c r="D6289" i="106" s="1"/>
  <c r="F50" i="34"/>
  <c r="F46" i="34"/>
  <c r="F36" i="108"/>
  <c r="B3647" i="106"/>
  <c r="D3647" i="106" s="1"/>
  <c r="H342" i="29"/>
  <c r="B7221" i="106" s="1"/>
  <c r="D7221" i="106" s="1"/>
  <c r="F72" i="34"/>
  <c r="G14" i="4"/>
  <c r="B2609" i="106" s="1"/>
  <c r="D2609" i="106" s="1"/>
  <c r="E34" i="108"/>
  <c r="H112" i="29"/>
  <c r="B7018" i="106" s="1"/>
  <c r="D7018" i="106" s="1"/>
  <c r="F71" i="34"/>
  <c r="E33" i="108"/>
  <c r="D24" i="37"/>
  <c r="B4270" i="106" s="1"/>
  <c r="D4270" i="106" s="1"/>
  <c r="J77" i="4"/>
  <c r="B6262" i="106" s="1"/>
  <c r="D6262" i="106" s="1"/>
  <c r="H76" i="4"/>
  <c r="B3298" i="106" s="1"/>
  <c r="D3298" i="106" s="1"/>
  <c r="G15" i="145"/>
  <c r="I210" i="29"/>
  <c r="B7071" i="106" s="1"/>
  <c r="D7071" i="106" s="1"/>
  <c r="F19" i="7"/>
  <c r="B1807" i="106" s="1"/>
  <c r="D1807" i="106" s="1"/>
  <c r="B131" i="106"/>
  <c r="D131" i="106" s="1"/>
  <c r="L367" i="29"/>
  <c r="J210" i="29"/>
  <c r="B7072" i="106" s="1"/>
  <c r="D7072" i="106" s="1"/>
  <c r="H365" i="29"/>
  <c r="B7242" i="106" s="1"/>
  <c r="D7242" i="106" s="1"/>
  <c r="D22" i="37"/>
  <c r="L5" i="11"/>
  <c r="L13" i="11"/>
  <c r="B2060" i="106" s="1"/>
  <c r="D2060" i="106" s="1"/>
  <c r="B6261" i="106"/>
  <c r="D6261" i="106" s="1"/>
  <c r="F77" i="4"/>
  <c r="B3255" i="106" s="1"/>
  <c r="D3255" i="106" s="1"/>
  <c r="K76" i="4"/>
  <c r="B3586" i="106" s="1"/>
  <c r="D3586" i="106" s="1"/>
  <c r="J352" i="29"/>
  <c r="J367" i="29" s="1"/>
  <c r="B7245" i="106" s="1"/>
  <c r="D7245" i="106" s="1"/>
  <c r="C342" i="29"/>
  <c r="B7216" i="106" s="1"/>
  <c r="D7216" i="106" s="1"/>
  <c r="C352" i="29"/>
  <c r="B3621" i="106" s="1"/>
  <c r="D3621" i="106" s="1"/>
  <c r="F28" i="108"/>
  <c r="G210" i="29"/>
  <c r="G29" i="108"/>
  <c r="K184" i="29"/>
  <c r="F13" i="4" s="1"/>
  <c r="B2596" i="106" s="1"/>
  <c r="D2596" i="106" s="1"/>
  <c r="E29" i="108"/>
  <c r="C129" i="29"/>
  <c r="B1225" i="106" s="1"/>
  <c r="D1225" i="106" s="1"/>
  <c r="F34" i="34"/>
  <c r="G35" i="108"/>
  <c r="E35" i="108"/>
  <c r="F31" i="108"/>
  <c r="D27" i="108"/>
  <c r="F38" i="34"/>
  <c r="B1308" i="106"/>
  <c r="D1308" i="106" s="1"/>
  <c r="E174" i="29"/>
  <c r="B1309" i="106" s="1"/>
  <c r="D1309" i="106" s="1"/>
  <c r="D17" i="7"/>
  <c r="B4104" i="106" s="1"/>
  <c r="D4104" i="106" s="1"/>
  <c r="D9" i="7"/>
  <c r="B1767" i="106" s="1"/>
  <c r="D1767" i="106" s="1"/>
  <c r="D11" i="37"/>
  <c r="H29" i="118"/>
  <c r="F14" i="4"/>
  <c r="B2597" i="106" s="1"/>
  <c r="D2597" i="106" s="1"/>
  <c r="L342" i="29"/>
  <c r="B7727" i="106"/>
  <c r="D7727" i="106" s="1"/>
  <c r="F49" i="34"/>
  <c r="F44" i="34"/>
  <c r="G38" i="108"/>
  <c r="D37" i="108"/>
  <c r="E30" i="108"/>
  <c r="F37" i="108"/>
  <c r="E28" i="108"/>
  <c r="F26" i="108"/>
  <c r="D26" i="108"/>
  <c r="D31" i="36"/>
  <c r="B4087" i="106"/>
  <c r="D4087" i="106" s="1"/>
  <c r="K41" i="3"/>
  <c r="L15" i="1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J19" i="145"/>
  <c r="D82" i="36" s="1"/>
  <c r="L151" i="29"/>
  <c r="C266" i="5"/>
  <c r="J24" i="12"/>
  <c r="B7730" i="106"/>
  <c r="D7730" i="106" s="1"/>
  <c r="B7270" i="106"/>
  <c r="D7250" i="106" l="1"/>
  <c r="D7251" i="106"/>
  <c r="D7254" i="106"/>
  <c r="D7256" i="106"/>
  <c r="K28" i="118"/>
  <c r="O27" i="118" s="1"/>
  <c r="O29" i="118" s="1"/>
  <c r="J16" i="4"/>
  <c r="B6226" i="106" s="1"/>
  <c r="D6226" i="106" s="1"/>
  <c r="K365" i="29"/>
  <c r="K16" i="4" s="1"/>
  <c r="F66" i="34"/>
  <c r="H151" i="29"/>
  <c r="B1273" i="106" s="1"/>
  <c r="D1273" i="106" s="1"/>
  <c r="K77" i="4"/>
  <c r="B3587" i="106" s="1"/>
  <c r="D3587" i="106" s="1"/>
  <c r="B4435" i="106"/>
  <c r="D4435" i="106" s="1"/>
  <c r="C367" i="29"/>
  <c r="B3622" i="106" s="1"/>
  <c r="D3622" i="106" s="1"/>
  <c r="B5770" i="106"/>
  <c r="D5770" i="106" s="1"/>
  <c r="H77" i="4"/>
  <c r="B3299" i="106" s="1"/>
  <c r="D3299" i="106" s="1"/>
  <c r="N22" i="3"/>
  <c r="B283" i="106" s="1"/>
  <c r="D283" i="106" s="1"/>
  <c r="B2059" i="106"/>
  <c r="D2059" i="106" s="1"/>
  <c r="M19" i="3"/>
  <c r="B276" i="106" s="1"/>
  <c r="D276" i="106" s="1"/>
  <c r="B2058" i="106"/>
  <c r="D2058" i="106" s="1"/>
  <c r="M18" i="3"/>
  <c r="B275" i="106" s="1"/>
  <c r="D275" i="106" s="1"/>
  <c r="B2056" i="106"/>
  <c r="D2056" i="106" s="1"/>
  <c r="M16" i="3"/>
  <c r="B2057" i="106"/>
  <c r="D2057" i="106" s="1"/>
  <c r="M17" i="3"/>
  <c r="B274" i="106" s="1"/>
  <c r="D274" i="106" s="1"/>
  <c r="B3459" i="106"/>
  <c r="D3459" i="106" s="1"/>
  <c r="M20" i="3"/>
  <c r="B2864" i="106" s="1"/>
  <c r="D2864" i="106" s="1"/>
  <c r="K342" i="29"/>
  <c r="F13" i="34" s="1"/>
  <c r="B7235" i="106"/>
  <c r="D7235" i="106" s="1"/>
  <c r="L16" i="11"/>
  <c r="B2061" i="106" s="1"/>
  <c r="D2061" i="106" s="1"/>
  <c r="G6" i="4"/>
  <c r="B2604" i="106" s="1"/>
  <c r="D2604" i="106" s="1"/>
  <c r="B1381" i="106"/>
  <c r="D1381" i="106" s="1"/>
  <c r="B1328" i="106"/>
  <c r="D1328" i="106" s="1"/>
  <c r="C151" i="29"/>
  <c r="B1226" i="106" s="1"/>
  <c r="D1226" i="106" s="1"/>
  <c r="L114" i="29"/>
  <c r="B1365" i="106"/>
  <c r="D1365" i="106" s="1"/>
  <c r="F65" i="34"/>
  <c r="F41" i="108"/>
  <c r="G43" i="108" s="1"/>
  <c r="D41" i="108"/>
  <c r="E43" i="108" s="1"/>
  <c r="C114" i="29"/>
  <c r="B757" i="106" s="1"/>
  <c r="D757"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K367" i="29"/>
  <c r="K368" i="29" s="1"/>
  <c r="B3681" i="106" s="1"/>
  <c r="D3681" i="106" s="1"/>
  <c r="F24" i="37"/>
  <c r="B7224" i="106"/>
  <c r="D7224" i="106" s="1"/>
  <c r="N23" i="3"/>
  <c r="B284" i="106" s="1"/>
  <c r="D284" i="106" s="1"/>
  <c r="M23" i="3"/>
  <c r="M40" i="3" s="1"/>
  <c r="B273" i="106"/>
  <c r="D273"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281" i="106" s="1"/>
  <c r="D281" i="106" s="1"/>
  <c r="J19" i="4"/>
  <c r="B6229" i="106" s="1"/>
  <c r="D6229" i="106" s="1"/>
  <c r="B279" i="106"/>
  <c r="D279" i="106" s="1"/>
  <c r="K17" i="4"/>
  <c r="B3575" i="106" s="1"/>
  <c r="D3575" i="106" s="1"/>
  <c r="F8" i="4"/>
  <c r="F10" i="4" s="1"/>
  <c r="B4125" i="106" s="1"/>
  <c r="D4125" i="106" s="1"/>
  <c r="B6223" i="106"/>
  <c r="D6223" i="106" s="1"/>
  <c r="J20" i="4"/>
  <c r="B6230" i="106" s="1"/>
  <c r="D6230"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54" i="36" l="1"/>
  <c r="K20" i="4"/>
  <c r="K78" i="4" s="1"/>
  <c r="K19" i="4"/>
  <c r="B4144" i="106" s="1"/>
  <c r="D4144" i="106" s="1"/>
  <c r="J78" i="4"/>
  <c r="B6263" i="106" s="1"/>
  <c r="D6263" i="106" s="1"/>
  <c r="D8" i="146"/>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D10" i="146"/>
  <c r="B3576" i="106"/>
  <c r="D3576" i="106" s="1"/>
  <c r="J81" i="4"/>
  <c r="F8" i="146"/>
  <c r="D78" i="4"/>
  <c r="B3239" i="106" s="1"/>
  <c r="D3239" i="106" s="1"/>
  <c r="B3588" i="106"/>
  <c r="D3588" i="106" s="1"/>
  <c r="K81" i="4"/>
  <c r="F78" i="4"/>
  <c r="B2601" i="106"/>
  <c r="D2601" i="106" s="1"/>
  <c r="B3320" i="106"/>
  <c r="D3320" i="106" s="1"/>
  <c r="I81" i="4"/>
  <c r="I39" i="3" s="1"/>
  <c r="K17" i="118"/>
  <c r="B3300" i="106"/>
  <c r="D3300" i="106" s="1"/>
  <c r="H81" i="4"/>
  <c r="B7631" i="106"/>
  <c r="F176" i="34"/>
  <c r="A7262" i="106"/>
  <c r="D7261" i="106"/>
  <c r="H16" i="37"/>
  <c r="G78" i="4"/>
  <c r="B2613" i="106"/>
  <c r="D2613" i="106" s="1"/>
  <c r="B2562" i="106"/>
  <c r="D2562" i="106" s="1"/>
  <c r="C78" i="4"/>
  <c r="B10" i="146"/>
  <c r="F9" i="146"/>
  <c r="E78" i="4"/>
  <c r="B2636" i="106"/>
  <c r="D2636" i="106" s="1"/>
  <c r="F177" i="34" l="1"/>
  <c r="F179" i="34" s="1"/>
  <c r="B2912" i="106"/>
  <c r="D2912" i="106" s="1"/>
  <c r="I41" i="3"/>
  <c r="J38" i="3"/>
  <c r="D64" i="36" s="1"/>
  <c r="B6266" i="106"/>
  <c r="D6266" i="106" s="1"/>
  <c r="J82" i="4"/>
  <c r="B6274" i="106" s="1"/>
  <c r="D6274" i="106" s="1"/>
  <c r="D81" i="4"/>
  <c r="F10" i="146"/>
  <c r="B3278" i="106"/>
  <c r="D3278" i="106" s="1"/>
  <c r="E81" i="4"/>
  <c r="E38" i="3" s="1"/>
  <c r="B3233" i="106"/>
  <c r="D3233" i="106" s="1"/>
  <c r="C81" i="4"/>
  <c r="C39" i="3" s="1"/>
  <c r="A7263" i="106"/>
  <c r="D7262" i="106"/>
  <c r="B1700" i="106"/>
  <c r="D1700" i="106" s="1"/>
  <c r="H82" i="4"/>
  <c r="D62" i="36"/>
  <c r="O16" i="118"/>
  <c r="F81" i="4"/>
  <c r="F39" i="3" s="1"/>
  <c r="B3256" i="106"/>
  <c r="D3256" i="106" s="1"/>
  <c r="G81" i="4"/>
  <c r="G38" i="3" s="1"/>
  <c r="B3262" i="106"/>
  <c r="D3262" i="106" s="1"/>
  <c r="B3323" i="106"/>
  <c r="D3323" i="106" s="1"/>
  <c r="I82" i="4"/>
  <c r="D63" i="36"/>
  <c r="E11" i="146"/>
  <c r="B3591" i="106"/>
  <c r="D3591" i="106" s="1"/>
  <c r="D65" i="36"/>
  <c r="K82" i="4"/>
  <c r="J83" i="4"/>
  <c r="B6283" i="106" s="1"/>
  <c r="D6283" i="106" s="1"/>
  <c r="D82" i="4"/>
  <c r="B92" i="106" l="1"/>
  <c r="D92" i="106" s="1"/>
  <c r="C41" i="3"/>
  <c r="B6214" i="106"/>
  <c r="D6214" i="106" s="1"/>
  <c r="J41" i="3"/>
  <c r="B170" i="106"/>
  <c r="D170" i="106" s="1"/>
  <c r="F41" i="3"/>
  <c r="B1644" i="106"/>
  <c r="D1644" i="106" s="1"/>
  <c r="D39" i="3"/>
  <c r="D76" i="36" s="1"/>
  <c r="B2913" i="106"/>
  <c r="D2913" i="106" s="1"/>
  <c r="D50" i="36"/>
  <c r="D75" i="36"/>
  <c r="B2504" i="106"/>
  <c r="D2504" i="106" s="1"/>
  <c r="E41" i="3"/>
  <c r="B2477" i="106"/>
  <c r="D2477" i="106" s="1"/>
  <c r="G41" i="3"/>
  <c r="D58" i="36"/>
  <c r="C11" i="14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8" i="36" l="1"/>
  <c r="B190" i="106"/>
  <c r="D190" i="106" s="1"/>
  <c r="B171" i="106"/>
  <c r="D171" i="106" s="1"/>
  <c r="D47" i="36"/>
  <c r="B93" i="106"/>
  <c r="D93" i="106" s="1"/>
  <c r="D44" i="36"/>
  <c r="B141" i="106"/>
  <c r="D141" i="106" s="1"/>
  <c r="D46" i="36"/>
  <c r="B123" i="106"/>
  <c r="D123" i="106" s="1"/>
  <c r="D41" i="3"/>
  <c r="D51" i="36"/>
  <c r="B6216" i="106"/>
  <c r="D6216" i="106" s="1"/>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45" i="36" l="1"/>
  <c r="B124" i="106"/>
  <c r="D124" i="106" s="1"/>
  <c r="K20" i="118"/>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<sst xmlns="http://schemas.openxmlformats.org/spreadsheetml/2006/main" count="5264" uniqueCount="2151">
  <si>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</si>
  <si>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</si>
  <si>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</si>
  <si>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</si>
  <si>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</si>
  <si>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</si>
  <si>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</si>
  <si>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</si>
  <si>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</si>
  <si>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</si>
  <si>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</si>
  <si>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</si>
  <si>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</si>
  <si>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</si>
  <si>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</si>
  <si>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</si>
  <si>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</si>
  <si>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</si>
  <si>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</si>
  <si>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</si>
  <si>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</si>
  <si>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</si>
  <si>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</si>
  <si>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</si>
  <si>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</si>
  <si>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</si>
  <si>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</si>
  <si>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</si>
  <si>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</si>
  <si>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</si>
  <si>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</si>
  <si>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</si>
  <si>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</si>
  <si>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</si>
  <si>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</si>
  <si>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</si>
  <si>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</si>
  <si>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</si>
  <si>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</si>
  <si>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</si>
  <si>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</si>
  <si>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</si>
  <si>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</si>
  <si>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</si>
  <si>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</si>
  <si>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</si>
  <si>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</si>
  <si>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</si>
  <si>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</si>
  <si>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</si>
  <si>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</si>
  <si>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</si>
  <si>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</si>
  <si>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</si>
  <si>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</si>
  <si>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</si>
  <si>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</si>
  <si>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</si>
  <si>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</si>
  <si>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</si>
  <si>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</si>
  <si>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</si>
  <si>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</si>
  <si>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</si>
  <si>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</si>
  <si>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</si>
  <si>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</si>
  <si>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</si>
  <si>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</si>
  <si>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</si>
  <si>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</si>
  <si>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</si>
  <si>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</si>
  <si>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</si>
  <si>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</si>
  <si>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</si>
  <si>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</si>
  <si>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</si>
  <si>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</si>
  <si>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</si>
  <si>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</si>
  <si>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</si>
  <si>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</si>
  <si>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</si>
  <si>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</si>
  <si>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</si>
  <si>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</si>
  <si>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</si>
  <si>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</si>
  <si>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</si>
  <si>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</si>
  <si>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</si>
  <si>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</si>
  <si>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</si>
  <si>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</si>
  <si>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</si>
  <si>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</si>
  <si>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</si>
  <si>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</si>
  <si>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</si>
  <si>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</si>
  <si>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</si>
  <si>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</si>
  <si>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</si>
  <si>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</si>
  <si>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</si>
  <si>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</si>
  <si>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</si>
  <si>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</si>
  <si>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</si>
  <si>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</si>
  <si>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</si>
  <si>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</si>
  <si>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</si>
  <si>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</si>
  <si>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</si>
  <si>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</si>
  <si>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</si>
  <si>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</si>
  <si>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</si>
  <si>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</si>
  <si>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</si>
  <si>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</si>
  <si>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</si>
  <si>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</si>
  <si>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</si>
  <si>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</si>
  <si>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</si>
  <si>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</si>
  <si>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</si>
  <si>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</si>
  <si>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</si>
  <si>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</si>
  <si>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</si>
  <si>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</si>
  <si>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</si>
  <si>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</si>
  <si>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</si>
  <si>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</si>
  <si>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</si>
  <si>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</si>
  <si>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</si>
  <si>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</si>
  <si>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</si>
  <si>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</si>
  <si>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</si>
  <si>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</si>
  <si>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</si>
  <si>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</si>
  <si>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</si>
  <si>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</si>
  <si>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</si>
  <si>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</si>
  <si>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</si>
  <si>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</si>
  <si>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</si>
  <si>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</si>
  <si>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</si>
  <si>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</si>
  <si>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</si>
  <si>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</si>
  <si>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</si>
  <si>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</si>
  <si>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</si>
  <si>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</si>
  <si>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</si>
  <si>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</si>
  <si>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</si>
  <si>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</si>
  <si>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</si>
  <si>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</si>
  <si>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</si>
  <si>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</si>
  <si>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</si>
  <si>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</si>
  <si>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</si>
  <si>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</si>
  <si>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</si>
  <si>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</si>
  <si>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</si>
  <si>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</si>
  <si>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</si>
  <si>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</si>
  <si>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</si>
  <si>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</si>
  <si>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</si>
  <si>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</si>
  <si>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</si>
  <si>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</si>
  <si>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</si>
  <si>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</si>
  <si>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</si>
  <si>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</si>
  <si>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</si>
  <si>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</si>
  <si>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</si>
  <si>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</si>
  <si>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</si>
  <si>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</si>
  <si>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</si>
  <si>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</si>
  <si>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</si>
  <si>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</si>
  <si>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</si>
  <si>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</si>
  <si>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</si>
  <si>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</si>
  <si>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</si>
  <si>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</si>
  <si>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</si>
  <si>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</si>
  <si>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</si>
  <si>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</si>
  <si>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</si>
  <si>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</si>
  <si>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</si>
  <si>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</si>
  <si>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</si>
  <si>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</si>
  <si>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</si>
  <si>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</si>
  <si>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</si>
  <si>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</si>
  <si>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</si>
  <si>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</si>
  <si>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</si>
  <si>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</si>
  <si>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</si>
  <si>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</si>
  <si>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</si>
  <si>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</si>
  <si>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</si>
  <si>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</si>
  <si>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</si>
  <si>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</si>
  <si>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</si>
  <si>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</si>
  <si>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</si>
  <si>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</si>
  <si>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</si>
  <si>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</si>
  <si>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</si>
  <si>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</si>
  <si>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</si>
  <si>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</si>
  <si>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</si>
  <si>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</si>
  <si>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</si>
  <si>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</si>
  <si>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</si>
  <si>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</si>
  <si>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</si>
  <si>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</si>
  <si>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</si>
  <si>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</si>
  <si>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</si>
  <si>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</si>
  <si>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</si>
  <si>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</si>
  <si>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</si>
  <si>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</si>
  <si>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</si>
  <si>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</si>
  <si>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</si>
  <si>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</si>
  <si>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</si>
  <si>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</si>
  <si>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</si>
  <si>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</si>
  <si>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</si>
  <si>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</si>
  <si>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</si>
  <si>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</si>
  <si>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</si>
  <si>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</si>
  <si>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</si>
  <si>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</si>
  <si>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</si>
  <si>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</si>
  <si>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</si>
  <si>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</si>
  <si>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</si>
  <si>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</si>
  <si>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</si>
  <si>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</si>
  <si>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</si>
  <si>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</si>
  <si>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</si>
  <si>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</si>
  <si>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</si>
  <si>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</si>
  <si>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</si>
  <si>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</si>
  <si>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</si>
  <si>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</si>
  <si>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</si>
  <si>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</si>
  <si>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</si>
  <si>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</si>
  <si>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</si>
  <si>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</si>
  <si>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</si>
  <si>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</si>
  <si>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</si>
  <si>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</si>
  <si>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</si>
  <si>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</si>
  <si>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</si>
  <si>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</si>
  <si>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</si>
  <si>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</si>
  <si>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</si>
  <si>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</si>
  <si>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</si>
  <si>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</si>
  <si>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</si>
  <si>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</si>
  <si>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</si>
  <si>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</si>
  <si>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</si>
  <si>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</si>
  <si>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</si>
  <si>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</si>
  <si>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</si>
  <si>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</si>
  <si>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</si>
  <si>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</si>
  <si>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</si>
  <si>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</si>
  <si>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</si>
  <si>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</si>
  <si>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</si>
  <si>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</si>
  <si>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</si>
  <si>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</si>
  <si>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</si>
  <si>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</si>
  <si>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</si>
  <si>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</si>
  <si>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</si>
  <si>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</si>
  <si>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</si>
  <si>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</si>
  <si>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</si>
  <si>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</si>
  <si>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</si>
  <si>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</si>
  <si>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</si>
  <si>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</si>
  <si>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</si>
  <si>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</si>
  <si>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</si>
  <si>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</si>
  <si>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</si>
  <si>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</si>
  <si>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</si>
  <si>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</si>
  <si>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</si>
  <si>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</si>
  <si>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</si>
  <si>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</si>
  <si>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</si>
  <si>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</si>
  <si>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</si>
  <si>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</si>
  <si>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</si>
  <si>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</si>
  <si>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</si>
  <si>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</si>
  <si>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</si>
  <si>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</si>
  <si>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</si>
  <si>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</si>
  <si>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</si>
  <si>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</si>
  <si>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</si>
  <si>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</si>
  <si>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</si>
  <si>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</si>
  <si>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</si>
  <si>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</si>
  <si>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</si>
  <si>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</si>
  <si>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</si>
  <si>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</si>
  <si>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</si>
  <si>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</si>
  <si>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</si>
  <si>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</si>
  <si>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</si>
  <si>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</si>
  <si>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</si>
  <si>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</si>
  <si>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</si>
  <si>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</si>
  <si>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</si>
  <si>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</si>
  <si>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</si>
  <si>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</si>
  <si>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</si>
  <si>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</si>
  <si>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</si>
  <si>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</si>
  <si>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</si>
  <si>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</si>
  <si>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</si>
  <si>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</si>
  <si>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</si>
  <si>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</si>
  <si>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</si>
  <si>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</si>
  <si>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</si>
  <si>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</si>
  <si>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</si>
  <si>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</si>
  <si>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</si>
  <si>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</si>
  <si>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</si>
  <si>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</si>
  <si>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</si>
  <si>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</si>
  <si>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</si>
  <si>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</si>
  <si>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</si>
  <si>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</si>
  <si>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</si>
  <si>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</si>
  <si>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</si>
  <si>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</si>
  <si>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</si>
  <si>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</si>
  <si>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</si>
  <si>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</si>
  <si>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</si>
  <si>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</si>
  <si>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</si>
  <si>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</si>
  <si>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</si>
  <si>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</si>
  <si>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</si>
  <si>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</si>
  <si>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</si>
  <si>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</si>
  <si>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</si>
  <si>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</si>
  <si>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</si>
  <si>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</si>
  <si>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</si>
  <si>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</si>
  <si>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</si>
  <si>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</si>
  <si>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</si>
  <si>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</si>
  <si>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</si>
  <si>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</si>
  <si>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</si>
  <si>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</si>
  <si>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</si>
  <si>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</si>
  <si>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</si>
  <si>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</si>
  <si>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</si>
  <si>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</si>
  <si>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</si>
  <si>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</si>
  <si>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</si>
  <si>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</si>
  <si>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</si>
  <si>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</si>
  <si>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</si>
  <si>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</si>
  <si>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</si>
  <si>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</si>
  <si>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</si>
  <si>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</si>
  <si>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</si>
  <si>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</si>
  <si>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</si>
  <si>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</si>
  <si>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</si>
  <si>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</si>
  <si>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</si>
  <si>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</si>
  <si>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</si>
  <si>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</si>
  <si>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</si>
  <si>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</si>
  <si>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</si>
  <si>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</si>
  <si>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</si>
  <si>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</si>
  <si>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</si>
  <si>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</si>
  <si>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</si>
  <si>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</si>
  <si>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</si>
  <si>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</si>
  <si>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</si>
  <si>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</si>
  <si>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</si>
  <si>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</si>
  <si>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</si>
  <si>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</si>
  <si>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</si>
  <si>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</si>
  <si>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</si>
  <si>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</si>
  <si>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</si>
  <si>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</si>
  <si>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</si>
  <si>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</si>
  <si>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</si>
  <si>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</si>
  <si>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</si>
  <si>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</si>
  <si>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</si>
  <si>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</si>
  <si>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</si>
  <si>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</si>
  <si>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</si>
  <si>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</si>
  <si>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</si>
  <si>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</si>
  <si>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</si>
  <si>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</si>
  <si>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</si>
  <si>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</si>
  <si>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</si>
  <si>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</si>
  <si>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</si>
  <si>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</si>
  <si>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</si>
  <si>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</si>
  <si>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</si>
  <si>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</si>
  <si>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</si>
  <si>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</si>
  <si>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</si>
  <si>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</si>
  <si>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</si>
  <si>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</si>
  <si>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</si>
  <si>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</si>
  <si>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</si>
  <si>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</si>
  <si>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</si>
  <si>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</si>
  <si>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</si>
  <si>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</si>
  <si>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</si>
  <si>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</si>
  <si>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</si>
  <si>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</si>
  <si>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</si>
  <si>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</si>
  <si>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</si>
  <si>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</si>
  <si>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</si>
  <si>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</si>
  <si>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</si>
  <si>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</si>
  <si>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</si>
  <si>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</si>
  <si>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</si>
  <si>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</si>
  <si>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</si>
  <si>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</si>
  <si>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</si>
  <si>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</si>
  <si>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</si>
  <si>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</si>
  <si>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</si>
  <si>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</si>
  <si>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</si>
  <si>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</si>
  <si>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</si>
  <si>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</si>
  <si>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</si>
  <si>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</si>
  <si>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</si>
  <si>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</si>
  <si>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</si>
  <si>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</si>
  <si>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</si>
  <si>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</si>
  <si>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</si>
  <si>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</si>
  <si>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</si>
  <si>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</si>
  <si>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</si>
  <si>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</si>
  <si>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</si>
  <si>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</si>
  <si>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</si>
  <si>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</si>
  <si>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</si>
  <si>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</si>
  <si>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</si>
  <si>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</si>
  <si>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</si>
  <si>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</si>
  <si>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</si>
  <si>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</si>
  <si>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</si>
  <si>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</si>
  <si>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</si>
  <si>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</si>
  <si>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</si>
  <si>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</si>
  <si>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</si>
  <si>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</si>
  <si>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</si>
  <si>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</si>
  <si>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</si>
  <si>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</si>
  <si>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</si>
  <si>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</si>
  <si>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</si>
  <si>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</si>
  <si>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</si>
  <si>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</si>
  <si>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</si>
  <si>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</si>
  <si>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</si>
  <si>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</si>
  <si>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</si>
  <si>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</si>
  <si>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</si>
  <si>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</si>
  <si>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</si>
  <si>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</si>
  <si>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</si>
  <si>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</si>
  <si>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</si>
  <si>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</si>
  <si>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</si>
  <si>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</si>
  <si>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</si>
  <si>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</si>
  <si>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</si>
  <si>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</si>
  <si>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</si>
  <si>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</si>
  <si>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</si>
  <si>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</si>
  <si>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</si>
  <si>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</si>
  <si>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</si>
  <si>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</si>
  <si>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</si>
  <si>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</si>
  <si>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</si>
  <si>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</si>
  <si>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</si>
  <si>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</si>
  <si>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</si>
  <si>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</si>
  <si>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</si>
  <si>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</si>
  <si>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</si>
  <si>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</si>
  <si>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</si>
  <si>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</si>
  <si>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</si>
  <si>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</si>
  <si>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</si>
  <si>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</si>
  <si>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</si>
  <si>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</si>
  <si>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</si>
  <si>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</si>
  <si>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</si>
  <si>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</si>
  <si>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</si>
  <si>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</si>
  <si>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</si>
  <si>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</si>
  <si>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</si>
  <si>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</si>
  <si>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</si>
  <si>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</si>
  <si>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</si>
  <si>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</si>
  <si>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</si>
  <si>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</si>
  <si>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</si>
  <si>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</si>
  <si>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</si>
  <si>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</si>
  <si>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</si>
  <si>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</si>
  <si>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</si>
  <si>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</si>
  <si>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</si>
  <si>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</si>
  <si>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</si>
  <si>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</si>
  <si>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</si>
  <si>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</si>
  <si>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</si>
  <si>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</si>
  <si>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</si>
  <si>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</si>
  <si>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</si>
  <si>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</si>
  <si>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</si>
  <si>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</si>
  <si>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</si>
  <si>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</si>
  <si>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</si>
  <si>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</si>
  <si>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</si>
  <si>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</si>
  <si>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</si>
  <si>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</si>
  <si>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</si>
  <si>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</si>
  <si>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</si>
  <si>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</si>
  <si>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</si>
  <si>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</si>
  <si>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</si>
  <si>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</si>
  <si>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</si>
  <si>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</si>
  <si>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</si>
  <si>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</si>
  <si>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</si>
  <si>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</si>
  <si>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</si>
  <si>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</si>
  <si>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</si>
  <si>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</si>
  <si>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</si>
  <si>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</si>
  <si>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</si>
  <si>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</si>
  <si>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</si>
  <si>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</si>
  <si>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</si>
  <si>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</si>
  <si>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</si>
  <si>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</si>
  <si>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</si>
  <si>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</si>
  <si>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</si>
  <si>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</si>
  <si>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</si>
  <si>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</si>
  <si>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</si>
  <si>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</si>
  <si>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</si>
  <si>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</si>
  <si>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</si>
  <si>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</si>
  <si>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</si>
  <si>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</si>
  <si>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</si>
  <si>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</si>
  <si>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</si>
  <si>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</si>
  <si>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</si>
  <si>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</si>
  <si>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</si>
  <si>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</si>
  <si>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</si>
  <si>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</si>
  <si>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</si>
  <si>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</si>
  <si>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</si>
  <si>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</si>
  <si>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</si>
  <si>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</si>
  <si>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</si>
  <si>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</si>
  <si>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</si>
  <si>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</si>
  <si>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</si>
  <si>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</si>
  <si>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</si>
  <si>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</si>
  <si>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</si>
  <si>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</si>
  <si>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</si>
  <si>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</si>
  <si>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</si>
  <si>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</si>
  <si>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</si>
  <si>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</si>
  <si>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</si>
  <si>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</si>
  <si>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</si>
  <si>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</si>
  <si>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</si>
  <si>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</si>
  <si>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</si>
  <si>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</si>
  <si>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</si>
  <si>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</si>
  <si>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</si>
  <si>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</si>
  <si>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</si>
  <si>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</si>
  <si>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</si>
  <si>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</si>
  <si>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</si>
  <si>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</si>
  <si>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</si>
  <si>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</si>
  <si>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</si>
  <si>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</si>
  <si>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</si>
  <si>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</si>
  <si>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</si>
  <si>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</si>
  <si>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</si>
  <si>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</si>
  <si>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</si>
  <si>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</si>
  <si>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</si>
  <si>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</si>
  <si>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</si>
  <si>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</si>
  <si>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</si>
  <si>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</si>
  <si>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</si>
  <si>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</si>
  <si>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</si>
  <si>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</si>
  <si>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</si>
  <si>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</si>
  <si>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</si>
  <si>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</si>
  <si>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</si>
  <si>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</si>
  <si>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</si>
  <si>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</si>
  <si>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</si>
  <si>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</si>
  <si>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</si>
  <si>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</si>
  <si>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</si>
  <si>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</si>
  <si>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</si>
  <si>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</si>
  <si>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</si>
  <si>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</si>
  <si>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</si>
  <si>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</si>
  <si>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</si>
  <si>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</si>
  <si>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</si>
  <si>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</si>
  <si>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</si>
  <si>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</si>
  <si>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</si>
  <si>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</si>
  <si>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</si>
  <si>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</si>
  <si>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</si>
  <si>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</si>
  <si>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</si>
  <si>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</si>
  <si>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</si>
  <si>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</si>
  <si>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</si>
  <si>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</si>
  <si>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</si>
  <si>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</si>
  <si>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</si>
  <si>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</si>
  <si>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</si>
  <si>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</si>
  <si>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</si>
  <si>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</si>
  <si>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</si>
  <si>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</si>
  <si>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</si>
  <si>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</si>
  <si>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</si>
  <si>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</si>
  <si>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</si>
  <si>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</si>
  <si>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</si>
  <si>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</si>
  <si>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</si>
  <si>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</si>
  <si>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</si>
  <si>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</si>
  <si>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</si>
  <si>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</si>
  <si>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</si>
  <si>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</si>
  <si>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</si>
  <si>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</si>
  <si>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</si>
  <si>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</si>
  <si>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</si>
  <si>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</si>
  <si>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</si>
  <si>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</si>
  <si>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</si>
  <si>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</si>
  <si>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</si>
  <si>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</si>
  <si>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</si>
  <si>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</si>
  <si>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</si>
  <si>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</si>
  <si>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</si>
  <si>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</si>
  <si>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</si>
  <si>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</si>
  <si>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</si>
  <si>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</si>
  <si>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</si>
  <si>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</si>
  <si>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</si>
  <si>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</si>
  <si>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</si>
  <si>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</si>
  <si>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</si>
  <si>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</si>
  <si>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</si>
  <si>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</si>
  <si>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</si>
  <si>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</si>
  <si>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</si>
  <si>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</si>
  <si>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</si>
  <si>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</si>
  <si>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</si>
  <si>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</si>
  <si>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</si>
  <si>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</si>
  <si>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</si>
  <si>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</si>
  <si>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</si>
  <si>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</si>
  <si>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</si>
  <si>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</si>
  <si>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</si>
  <si>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</si>
  <si>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</si>
  <si>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</si>
  <si>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</si>
  <si>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</si>
  <si>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</si>
  <si>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</si>
  <si>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</si>
  <si>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</si>
  <si>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</si>
  <si>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</si>
  <si>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</si>
  <si>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</si>
  <si>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</si>
  <si>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</si>
  <si>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</si>
  <si>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</si>
  <si>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</si>
  <si>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</si>
  <si>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</si>
  <si>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</si>
  <si>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</si>
  <si>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</si>
  <si>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</si>
  <si>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</si>
  <si>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</si>
  <si>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</si>
  <si>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</si>
  <si>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</si>
  <si>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</si>
  <si>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</si>
  <si>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</si>
  <si>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</si>
  <si>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</si>
  <si>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</si>
  <si>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</si>
  <si>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</si>
  <si>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</si>
  <si>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</si>
  <si>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</si>
  <si>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</si>
  <si>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</si>
  <si>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</si>
  <si>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</si>
  <si>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</si>
  <si>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</si>
  <si>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</si>
  <si>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</si>
  <si>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</si>
  <si>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</si>
  <si>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</si>
  <si>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</si>
  <si>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</si>
  <si>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</si>
  <si>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</si>
  <si>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</si>
  <si>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</si>
  <si>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</si>
  <si>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</si>
  <si>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</si>
  <si>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</si>
  <si>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</si>
  <si>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</si>
  <si>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</si>
  <si>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</si>
  <si>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</si>
  <si>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</si>
  <si>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</si>
  <si>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</si>
  <si>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</si>
  <si>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</si>
  <si>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</si>
  <si>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</si>
  <si>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</si>
  <si>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</si>
  <si>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</si>
  <si>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</si>
  <si>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</si>
  <si>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</si>
  <si>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</si>
  <si>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</si>
  <si>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</si>
  <si>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</si>
  <si>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</si>
  <si>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</si>
  <si>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</si>
  <si>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</si>
  <si>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</si>
  <si>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</si>
  <si>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</si>
  <si>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</si>
  <si>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</si>
  <si>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</si>
  <si>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</si>
  <si>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</si>
  <si>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</si>
  <si>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</si>
  <si>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</si>
  <si>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</si>
  <si>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</si>
  <si>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</si>
  <si>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</si>
  <si>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</si>
  <si>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</si>
  <si>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</si>
  <si>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</si>
  <si>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</si>
  <si>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</si>
  <si>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</si>
  <si>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</si>
  <si>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</si>
  <si>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</si>
  <si>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</si>
  <si>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</si>
  <si>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</si>
  <si>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</si>
  <si>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</si>
  <si>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</si>
  <si>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</si>
  <si>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</si>
  <si>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</si>
  <si>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</si>
  <si>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</si>
  <si>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</si>
  <si>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</si>
  <si>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</si>
  <si>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</si>
  <si>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</si>
  <si>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</si>
  <si>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</si>
  <si>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</si>
  <si>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</si>
  <si>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</si>
  <si>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</si>
  <si>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</si>
  <si>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</si>
  <si>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</si>
  <si>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</si>
  <si>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</si>
  <si>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</si>
  <si>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</si>
  <si>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</si>
  <si>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</si>
  <si>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</si>
  <si>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</si>
  <si>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</si>
  <si>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</si>
  <si>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</si>
  <si>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</si>
  <si>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</si>
  <si>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</si>
  <si>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</si>
  <si>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</si>
  <si>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</si>
  <si>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</si>
  <si>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</si>
  <si>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</si>
  <si>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</si>
  <si>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</si>
  <si>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</si>
  <si>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</si>
  <si>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</si>
  <si>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</si>
  <si>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</si>
  <si>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</si>
  <si>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</si>
  <si>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</si>
  <si>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</si>
  <si>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</si>
  <si>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</si>
  <si>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</si>
  <si>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</si>
  <si>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</si>
  <si>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</si>
  <si>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</si>
  <si>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</si>
  <si>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</si>
  <si>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</si>
  <si>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</si>
  <si>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</si>
  <si>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</si>
  <si>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</si>
  <si>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</si>
  <si>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</si>
  <si>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</si>
  <si>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</si>
  <si>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</si>
  <si>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</si>
  <si>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</si>
  <si>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</si>
  <si>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</si>
  <si>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</si>
  <si>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</si>
  <si>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</si>
  <si>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</si>
  <si>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</si>
  <si>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</si>
  <si>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</si>
  <si>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</si>
  <si>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</si>
  <si>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</si>
  <si>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</si>
  <si>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</si>
  <si>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</si>
  <si>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</si>
  <si>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</si>
  <si>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</si>
  <si>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</si>
  <si>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</si>
  <si>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</si>
  <si>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</si>
  <si>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</si>
  <si>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</si>
  <si>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</si>
  <si>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</si>
  <si>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</si>
  <si>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</si>
  <si>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</si>
  <si>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</si>
  <si>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</si>
  <si>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</si>
  <si>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</si>
  <si>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</si>
  <si>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</si>
  <si>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</si>
  <si>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</si>
  <si>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</si>
  <si>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</si>
  <si>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</si>
  <si>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</si>
  <si>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</si>
  <si>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</si>
  <si>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</si>
  <si>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</si>
  <si>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</si>
  <si>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</si>
  <si>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</si>
  <si>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</si>
  <si>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</si>
  <si>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</si>
  <si>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</si>
  <si>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</si>
  <si>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</si>
  <si>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</si>
  <si>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</si>
  <si>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</si>
  <si>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</si>
  <si>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</si>
  <si>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</si>
  <si>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</si>
  <si>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</si>
  <si>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</si>
  <si>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</si>
  <si>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</si>
  <si>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</si>
  <si>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</si>
  <si>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</si>
  <si>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</si>
  <si>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</si>
  <si>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</si>
  <si>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</si>
  <si>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</si>
  <si>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</si>
  <si>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</si>
  <si>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</si>
  <si>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</si>
  <si>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</si>
  <si>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</si>
  <si>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</si>
  <si>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</si>
  <si>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</si>
  <si>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</si>
  <si>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</si>
  <si>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</si>
  <si>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</si>
  <si>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</si>
  <si>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</si>
  <si>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</si>
  <si>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</si>
  <si>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</si>
  <si>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</si>
  <si>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</si>
  <si>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</si>
  <si>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</si>
  <si>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</si>
  <si>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</si>
  <si>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</si>
  <si>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</si>
  <si>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</si>
  <si>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</si>
  <si>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</si>
  <si>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</si>
  <si>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</si>
  <si>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</si>
  <si>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</si>
  <si>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</si>
  <si>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</si>
  <si>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</si>
  <si>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</si>
  <si>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</si>
  <si>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</si>
  <si>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</si>
  <si>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</si>
  <si>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</si>
  <si>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</si>
  <si>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</si>
  <si>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</si>
  <si>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</si>
  <si>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</si>
  <si>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</si>
  <si>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</si>
  <si>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</si>
  <si>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</si>
  <si>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</si>
  <si>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</si>
  <si>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</si>
  <si>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</si>
  <si>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</si>
  <si>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</si>
  <si>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</si>
  <si>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</si>
  <si>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</si>
  <si>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</si>
  <si>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</si>
  <si>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</si>
  <si>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</si>
  <si>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</si>
  <si>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</si>
  <si>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</si>
  <si>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</si>
  <si>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</si>
  <si>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</si>
  <si>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</si>
  <si>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</si>
  <si>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</si>
  <si>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</si>
  <si>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</si>
  <si>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</si>
  <si>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</si>
  <si>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FINANCIAL STATEMENTS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</si>
  <si>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</si>
  <si>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</si>
  <si>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</si>
  <si>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</si>
  <si>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</si>
  <si>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</si>
  <si>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</si>
  <si>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</si>
  <si>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</si>
  <si>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</si>
  <si>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</si>
  <si>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</si>
  <si>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</si>
  <si>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</si>
  <si>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</si>
  <si>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</si>
  <si>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</si>
  <si>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</si>
  <si>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</si>
  <si>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</si>
  <si>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</si>
  <si>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</si>
  <si>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</si>
  <si>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</si>
  <si>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</si>
  <si>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</si>
  <si>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</si>
  <si>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</si>
  <si>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</si>
  <si>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</si>
  <si>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</si>
  <si>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</si>
  <si>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</si>
  <si>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</si>
  <si>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</si>
  <si>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</si>
  <si>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</si>
  <si>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</si>
  <si>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</si>
  <si>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</si>
  <si>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</si>
  <si>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</si>
  <si>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</si>
  <si>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</si>
  <si>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</si>
  <si>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</si>
  <si>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</si>
  <si>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</si>
  <si>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</si>
  <si>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</si>
  <si>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</si>
  <si>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</si>
  <si>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</si>
  <si>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</si>
  <si>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</si>
  <si>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</si>
  <si>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</si>
  <si>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</si>
  <si>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</si>
  <si>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</si>
  <si>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</si>
  <si>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</si>
  <si>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</si>
  <si>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</si>
  <si>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</si>
  <si>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</si>
  <si>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</si>
  <si>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</si>
  <si>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</si>
  <si>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</si>
  <si>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</si>
  <si>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</si>
  <si>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</si>
  <si>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</si>
  <si>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</si>
  <si>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</si>
  <si>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</si>
  <si>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</si>
  <si>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</si>
  <si>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</si>
  <si>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</si>
  <si>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</si>
  <si>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</si>
  <si>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</si>
  <si>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</si>
  <si>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</si>
  <si>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</si>
  <si>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</si>
  <si>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</si>
  <si>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</si>
  <si>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</si>
  <si>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</si>
  <si>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</si>
  <si>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</si>
  <si>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</si>
  <si>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</si>
  <si>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</si>
  <si>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</si>
  <si>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</si>
  <si>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</si>
  <si>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</si>
  <si>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</si>
  <si>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</si>
  <si>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</si>
  <si>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</si>
  <si>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</si>
  <si>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</si>
  <si>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</si>
  <si>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</si>
  <si>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</si>
  <si>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</si>
  <si>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</si>
  <si>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</si>
  <si>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</si>
  <si>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</si>
  <si>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</si>
  <si>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</si>
  <si>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</si>
  <si>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</si>
  <si>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</si>
  <si>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</si>
  <si>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</si>
  <si>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</si>
  <si>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</si>
  <si>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</si>
  <si>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</si>
  <si>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</si>
  <si>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</si>
  <si>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</si>
  <si>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</si>
  <si>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</si>
  <si>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</si>
  <si>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</si>
  <si>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</si>
  <si>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</si>
  <si>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</si>
  <si>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</si>
  <si>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</si>
  <si>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</si>
  <si>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</si>
  <si>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</si>
  <si>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</si>
  <si>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</si>
  <si>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</si>
  <si>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</si>
  <si>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</si>
  <si>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</si>
  <si>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</si>
  <si>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</si>
  <si>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</si>
  <si>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</si>
  <si>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</si>
  <si>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</si>
  <si>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</si>
  <si>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</si>
  <si>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</si>
  <si>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</si>
  <si>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</si>
  <si>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</si>
  <si>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</si>
  <si>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</si>
  <si>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</si>
  <si>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</si>
  <si>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</si>
  <si>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</si>
  <si>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</si>
  <si>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</si>
  <si>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</si>
  <si>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</si>
  <si>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</si>
  <si>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</si>
  <si>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</si>
  <si>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</si>
  <si>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</si>
  <si>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</si>
  <si>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</si>
  <si>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</si>
  <si>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</si>
  <si>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</si>
  <si>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</si>
  <si>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</si>
  <si>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</si>
  <si>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</si>
  <si>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</si>
  <si>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</si>
  <si>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</si>
  <si>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</si>
  <si>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</si>
  <si>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</si>
  <si>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</si>
  <si>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</si>
  <si>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</si>
  <si>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</si>
  <si>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</si>
  <si>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</si>
  <si>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</si>
  <si>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</si>
  <si>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</si>
  <si>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</si>
  <si>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</si>
  <si>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</si>
  <si>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</si>
  <si>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</si>
  <si>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</si>
  <si>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</si>
  <si>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</si>
  <si>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</si>
  <si>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</si>
  <si>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</si>
  <si>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</si>
  <si>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</si>
  <si>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</si>
  <si>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</si>
  <si>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</si>
  <si>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</si>
  <si>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</si>
  <si>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</si>
  <si>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</si>
  <si>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</si>
  <si>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</si>
  <si>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</si>
  <si>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</si>
  <si>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</si>
  <si>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</si>
  <si>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</si>
  <si>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</si>
  <si>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</si>
  <si>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</si>
  <si>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</si>
  <si>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</si>
  <si>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</si>
  <si>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</si>
  <si>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</si>
  <si>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</si>
  <si>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</si>
  <si>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</si>
  <si>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</si>
  <si>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</si>
  <si>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</si>
  <si>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</si>
  <si>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</si>
  <si>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</si>
  <si>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</si>
  <si>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</si>
  <si>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</si>
  <si>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</si>
  <si>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</si>
  <si>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</si>
  <si>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</si>
  <si>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</si>
  <si>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</si>
  <si>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</si>
  <si>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</si>
  <si>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</si>
  <si>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</si>
  <si>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</si>
  <si>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</si>
  <si>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</si>
  <si>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</si>
  <si>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</si>
  <si>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</si>
  <si>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</si>
  <si>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</si>
  <si>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</si>
  <si>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</si>
  <si>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</si>
  <si>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</si>
  <si>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</si>
  <si>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</si>
  <si>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</si>
  <si>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</si>
  <si>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</si>
  <si>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</si>
  <si>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</si>
  <si>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</si>
  <si>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</si>
  <si>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</si>
  <si>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</si>
  <si>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</si>
  <si>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</si>
  <si>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</si>
  <si>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</si>
  <si>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</si>
  <si>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</si>
  <si>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</si>
  <si>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</si>
  <si>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</si>
  <si>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</si>
  <si>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</si>
  <si>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</si>
  <si>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</si>
  <si>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</si>
  <si>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</si>
  <si>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</si>
  <si>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</si>
  <si>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</si>
  <si>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</si>
  <si>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</si>
  <si>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</si>
  <si>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</si>
  <si>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</si>
  <si>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</si>
  <si>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</si>
  <si>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</si>
  <si>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</si>
  <si>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</si>
  <si>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</si>
  <si>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</si>
  <si>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</si>
  <si>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</si>
  <si>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</si>
  <si>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</si>
  <si>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</si>
  <si>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</si>
  <si>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</si>
  <si>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</si>
  <si>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</si>
  <si>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</si>
  <si>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</si>
  <si>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</si>
  <si>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</si>
  <si>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</si>
  <si>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</si>
  <si>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</si>
  <si>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</si>
  <si>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</si>
  <si>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</si>
  <si>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</si>
  <si>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</si>
  <si>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</si>
  <si>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</si>
  <si>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</si>
  <si>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</si>
  <si>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</si>
  <si>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</si>
  <si>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</si>
  <si>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</si>
  <si>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</si>
  <si>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</si>
  <si>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</si>
  <si>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</si>
  <si>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</si>
  <si>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</si>
  <si>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</si>
  <si>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</si>
  <si>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</si>
  <si>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</si>
  <si>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</si>
  <si>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</si>
  <si>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</si>
  <si>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</si>
  <si>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</si>
  <si>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</si>
  <si>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</si>
  <si>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</si>
  <si>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</si>
  <si>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</si>
  <si>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</si>
  <si>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</si>
  <si>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</si>
  <si>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</si>
  <si>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</si>
  <si>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</si>
  <si>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</si>
  <si>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</si>
  <si>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</si>
  <si>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</si>
  <si>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</si>
  <si>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</si>
  <si>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</si>
  <si>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</si>
  <si>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</si>
  <si>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</si>
  <si>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</si>
  <si>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</si>
  <si>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</si>
  <si>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</si>
  <si>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</si>
  <si>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</si>
  <si>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</si>
  <si>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</si>
  <si>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</si>
  <si>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</si>
  <si>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</si>
  <si>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</si>
  <si>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</si>
  <si>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</si>
  <si>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</si>
  <si>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</si>
  <si>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</si>
  <si>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</si>
  <si>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</si>
  <si>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</si>
  <si>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</si>
  <si>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</si>
  <si>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</si>
  <si>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</si>
  <si>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</si>
  <si>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</si>
  <si>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</si>
  <si>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</si>
  <si>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</si>
  <si>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</si>
  <si>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</si>
  <si>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</si>
  <si>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</si>
  <si>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</si>
  <si>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</si>
  <si>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</si>
  <si>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</si>
  <si>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</si>
  <si>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</si>
  <si>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</si>
  <si>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</si>
  <si>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</si>
  <si>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</si>
  <si>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</si>
  <si>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</si>
  <si>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</si>
  <si>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</si>
  <si>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</si>
  <si>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</si>
  <si>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</si>
  <si>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</si>
  <si>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</si>
  <si>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</si>
  <si>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</si>
  <si>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</si>
  <si>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</si>
  <si>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</si>
  <si>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</si>
  <si>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</si>
  <si>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</si>
  <si>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</si>
  <si>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</si>
  <si>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</si>
  <si>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</si>
  <si>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</si>
  <si>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</si>
  <si>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</si>
  <si>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</si>
  <si>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</si>
  <si>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</si>
  <si>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</si>
  <si>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</si>
  <si>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</si>
  <si>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</si>
  <si>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</si>
  <si>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</si>
  <si>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</si>
  <si>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</si>
  <si>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</si>
  <si>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</si>
  <si>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</si>
  <si>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</si>
  <si>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</si>
  <si>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</si>
  <si>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</si>
  <si>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</si>
  <si>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</si>
  <si>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</si>
  <si>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</si>
  <si>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</si>
  <si>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</si>
  <si>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</si>
  <si>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</si>
  <si>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</si>
  <si>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</si>
  <si>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</si>
  <si>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</si>
  <si>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</si>
  <si>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</si>
  <si>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</si>
  <si>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</si>
  <si>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</si>
  <si>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</si>
  <si>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</si>
  <si>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</si>
  <si>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</si>
  <si>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</si>
  <si>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</si>
  <si>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</si>
  <si>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</si>
  <si>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</si>
  <si>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</si>
  <si>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</si>
  <si>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</si>
  <si>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</si>
  <si>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</si>
  <si>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</si>
  <si>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</si>
  <si>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</si>
  <si>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</si>
  <si>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</si>
  <si>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</si>
  <si>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</si>
  <si>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</si>
  <si>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</si>
  <si>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</si>
  <si>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</si>
  <si>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</si>
  <si>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</si>
  <si>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</si>
  <si>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</si>
  <si>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</si>
  <si>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</si>
  <si>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</si>
  <si>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</si>
  <si>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</si>
  <si>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</si>
  <si>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</si>
  <si>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</si>
  <si>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</si>
  <si>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</si>
  <si>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</si>
  <si>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</si>
  <si>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</si>
  <si>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</si>
  <si>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</si>
  <si>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</si>
  <si>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</si>
  <si>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</si>
  <si>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</si>
  <si>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</si>
  <si>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</si>
  <si>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</si>
  <si>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</si>
  <si>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</si>
  <si>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</si>
  <si>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</si>
  <si>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</si>
  <si>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</si>
  <si>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</si>
  <si>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</si>
  <si>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</si>
  <si>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</si>
  <si>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</si>
  <si>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</si>
  <si>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</si>
  <si>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</si>
  <si>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</si>
  <si>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</si>
  <si>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</si>
  <si>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</si>
  <si>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</si>
  <si>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</si>
  <si>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</si>
  <si>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</si>
  <si>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</si>
  <si>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</si>
  <si>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</si>
  <si>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</si>
  <si>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</si>
  <si>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</si>
  <si>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</si>
  <si>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</si>
  <si>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</si>
  <si>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</si>
  <si>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</si>
  <si>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</si>
  <si>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</si>
  <si>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</si>
  <si>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</si>
  <si>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</si>
  <si>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</si>
  <si>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</si>
  <si>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</si>
  <si>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</si>
  <si>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</si>
  <si>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</si>
  <si>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</si>
  <si>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</si>
  <si>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</si>
  <si>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</si>
  <si>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</si>
  <si>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</si>
  <si>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</si>
  <si>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</si>
  <si>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</si>
  <si>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</si>
  <si>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</si>
  <si>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</si>
  <si>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</si>
  <si>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</si>
  <si>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</si>
  <si>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</si>
  <si>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</si>
  <si>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</si>
  <si>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</si>
  <si>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</si>
  <si>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</si>
  <si>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</si>
  <si>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</si>
  <si>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</si>
  <si>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</si>
  <si>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</si>
  <si>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</si>
  <si>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</si>
  <si>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</si>
  <si>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</si>
  <si>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</si>
  <si>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</si>
  <si>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</si>
  <si>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</si>
  <si>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</si>
  <si>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</si>
  <si>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</si>
  <si>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</si>
  <si>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</si>
  <si>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</si>
  <si>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</si>
  <si>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</si>
  <si>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</si>
  <si>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</si>
  <si>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</si>
  <si>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</si>
  <si>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</si>
  <si>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</si>
  <si>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</si>
  <si>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</si>
  <si>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</si>
  <si>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</si>
  <si>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</si>
  <si>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</si>
  <si>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</si>
  <si>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</si>
  <si>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</si>
  <si>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</si>
  <si>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</si>
  <si>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</si>
  <si>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</si>
  <si>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</si>
  <si>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</si>
  <si>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</si>
  <si>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</si>
  <si>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</si>
  <si>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</si>
  <si>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</si>
  <si>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</si>
  <si>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</si>
  <si>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</si>
  <si>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</si>
  <si>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</si>
  <si>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</si>
  <si>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</si>
  <si>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</si>
  <si>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</si>
  <si>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</si>
  <si>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</si>
  <si>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</si>
  <si>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</si>
  <si>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</si>
  <si>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</si>
  <si>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</si>
  <si>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</si>
  <si>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</si>
  <si>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</si>
  <si>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</si>
  <si>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</si>
  <si>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</si>
  <si>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</si>
  <si>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</si>
  <si>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</si>
  <si>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</si>
  <si>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</si>
  <si>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</si>
  <si>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</si>
  <si>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</si>
  <si>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</si>
  <si>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</si>
  <si>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</si>
  <si>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</si>
  <si>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</si>
  <si>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</si>
  <si>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</si>
  <si>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</si>
  <si>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</si>
  <si>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</si>
  <si>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</si>
  <si>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</si>
  <si>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</si>
  <si>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</si>
  <si>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</si>
  <si>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</si>
  <si>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</si>
  <si>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</si>
  <si>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</si>
  <si>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</si>
  <si>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</si>
  <si>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</si>
  <si>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</si>
  <si>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</si>
  <si>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</si>
  <si>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</si>
  <si>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</si>
  <si>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</si>
  <si>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</si>
  <si>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</si>
  <si>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</si>
  <si>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</si>
  <si>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</si>
  <si>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</si>
  <si>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</si>
  <si>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</si>
  <si>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</si>
  <si>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</si>
  <si>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</si>
  <si>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</si>
  <si>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</si>
  <si>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</si>
  <si>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</si>
  <si>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</si>
  <si>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</si>
  <si>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</si>
  <si>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</si>
  <si>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</si>
  <si>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</si>
  <si>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</si>
  <si>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</si>
  <si>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</si>
  <si>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</si>
  <si>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</si>
  <si>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</si>
  <si>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</si>
  <si>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</si>
  <si>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</si>
  <si>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</si>
  <si>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</si>
  <si>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</si>
  <si>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</si>
  <si>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</si>
  <si>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</si>
  <si>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</si>
  <si>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</si>
  <si>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</si>
  <si>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</si>
  <si>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</si>
  <si>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</si>
  <si>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</si>
  <si>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</si>
  <si>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</si>
  <si>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</si>
  <si>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</si>
  <si>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</si>
  <si>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</si>
  <si>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</si>
  <si>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</si>
  <si>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</si>
  <si>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</si>
  <si>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</si>
  <si>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</si>
  <si>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</si>
  <si>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</si>
  <si>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</si>
  <si>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</si>
  <si>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</si>
  <si>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</si>
  <si>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</si>
  <si>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</si>
  <si>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</si>
  <si>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</si>
  <si>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</si>
  <si>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</si>
  <si>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</si>
  <si>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</si>
  <si>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</si>
  <si>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</si>
  <si>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</si>
  <si>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</si>
  <si>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</si>
  <si>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</si>
  <si>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</si>
  <si>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</si>
  <si>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</si>
  <si>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</si>
  <si>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</si>
  <si>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</si>
  <si>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53-090-7090-26</t>
  </si>
  <si>
    <t>Tazewell</t>
  </si>
  <si>
    <t>Adam Pulley</t>
  </si>
  <si>
    <t>Morton Community Unit School District 709</t>
  </si>
  <si>
    <t>301 SW Adams Street, Suite 1000</t>
  </si>
  <si>
    <t>1050 S. Fourth Ave.</t>
  </si>
  <si>
    <t>Peoria</t>
  </si>
  <si>
    <t>IL</t>
  </si>
  <si>
    <t xml:space="preserve">Morton   </t>
  </si>
  <si>
    <t>309-671-4500</t>
  </si>
  <si>
    <t>309-671-4508</t>
  </si>
  <si>
    <t>066-004450</t>
  </si>
  <si>
    <t>Adam.Pulley@claconnect.com</t>
  </si>
  <si>
    <t>Dr. Jeffrey Hill</t>
  </si>
  <si>
    <t>Jeff.Hill@mcusd709.org</t>
  </si>
  <si>
    <t>309-263-2581</t>
  </si>
  <si>
    <t>309-266-6320</t>
  </si>
  <si>
    <t>School Building Bonds, 2016 Series</t>
  </si>
  <si>
    <t>Capital Lease - Bus</t>
  </si>
  <si>
    <t>Capital Lease - Copy Machines</t>
  </si>
  <si>
    <t>Capital Lease - Ipads</t>
  </si>
  <si>
    <t>x</t>
  </si>
  <si>
    <t>Illinois Energy Consortium</t>
  </si>
  <si>
    <t>Washington #50, Central Grade #51, Washington Elem #52</t>
  </si>
  <si>
    <t>Creve Coeur #76, Robein #85, East Peoria #86, Rankin #98, North Pekin/Marquette Heights #102, Pekin #108, Havana Community #126, South Pekin #137, Illini Central #189</t>
  </si>
  <si>
    <t>Midwest Central #191, Pekin High School #303, Washington High School #308, East Peoria High School #309, Spring Lake #606, DeerCreek-Mackinaw #701, Tremont #702</t>
  </si>
  <si>
    <t>Delavan #703</t>
  </si>
  <si>
    <t>Capital Lease</t>
  </si>
  <si>
    <t>U.S. Department of Agriculture</t>
  </si>
  <si>
    <t xml:space="preserve">     Passed through Illinois State Board of Education</t>
  </si>
  <si>
    <t xml:space="preserve">          National School Lunch Program</t>
  </si>
  <si>
    <t xml:space="preserve">          Food Commodities</t>
  </si>
  <si>
    <t>U.S. Department of Defense Fruits and Vegetables passed through Illinois State Board of Education</t>
  </si>
  <si>
    <t>Total Child Nutrition Cluster</t>
  </si>
  <si>
    <t>Total U.S. Department of Agriculture passed through Illinois State Board of Education</t>
  </si>
  <si>
    <t>U.S. Department of Education</t>
  </si>
  <si>
    <t xml:space="preserve">          Title I - Low Income</t>
  </si>
  <si>
    <t xml:space="preserve">          Title I - Low Income - Neglected Priv.</t>
  </si>
  <si>
    <t>Total Title I Cluster</t>
  </si>
  <si>
    <t xml:space="preserve">          Title II - Teacher Quality</t>
  </si>
  <si>
    <t xml:space="preserve">          Special Education - IDEA Room &amp; Board (M)</t>
  </si>
  <si>
    <t>Total U.S. Department of Education passed through Illinois State Board of Education</t>
  </si>
  <si>
    <t xml:space="preserve">     Passed through Tazewell-Mason Counties
     Special Education Association</t>
  </si>
  <si>
    <t xml:space="preserve">          Secondary Transition Experience Program</t>
  </si>
  <si>
    <t xml:space="preserve">          IDEA Flow Through (M)</t>
  </si>
  <si>
    <t xml:space="preserve">          IDEA Preschool Flow Through (M)</t>
  </si>
  <si>
    <t>Total IDEA Cluster</t>
  </si>
  <si>
    <t>Total U.S. Department of Education</t>
  </si>
  <si>
    <t>U.S. Department of Health and Human Services</t>
  </si>
  <si>
    <t xml:space="preserve">     Passed through IL Dept of Healthcare and
     Family Services</t>
  </si>
  <si>
    <t xml:space="preserve">          Medicaid Matching Funds - Administrative
          Outreach</t>
  </si>
  <si>
    <t>Total Expenditures of Federal Awards</t>
  </si>
  <si>
    <t>84.010A</t>
  </si>
  <si>
    <t>84.367A</t>
  </si>
  <si>
    <t>18-4210-00</t>
  </si>
  <si>
    <t>19-4210-00</t>
  </si>
  <si>
    <t>N/A</t>
  </si>
  <si>
    <t>18-4300-00</t>
  </si>
  <si>
    <t>19-4300-00</t>
  </si>
  <si>
    <t>18-4305-00</t>
  </si>
  <si>
    <t>19-4305-00</t>
  </si>
  <si>
    <t>18-4932-00</t>
  </si>
  <si>
    <t>19-4932-00</t>
  </si>
  <si>
    <t>18-4625-00</t>
  </si>
  <si>
    <t>19-4625-00</t>
  </si>
  <si>
    <t>46CVF00111</t>
  </si>
  <si>
    <t>19-4620-00</t>
  </si>
  <si>
    <t>19-4600-00</t>
  </si>
  <si>
    <t>None</t>
  </si>
  <si>
    <t>Unmodified</t>
  </si>
  <si>
    <t>84.027 and 84.173</t>
  </si>
  <si>
    <t>IDEA Cluster</t>
  </si>
  <si>
    <t>CliftonLarsonAllen LLP</t>
  </si>
  <si>
    <t>Page 18, Line 171 - Debt Services Fund - Debt Services - Other - Bank Service Charges $500</t>
  </si>
  <si>
    <t>AUDIT CHECK Line 80 - Tab is not completed due to District not utilizing the indirect cost rate</t>
  </si>
  <si>
    <t>Page 10, Line 78 - Educational Fund - Admissions - Other $4,750</t>
  </si>
  <si>
    <t xml:space="preserve">Page 10, Line 107 - Educational Fund - Other Local Revenues - Other Revenue $99,771 </t>
  </si>
  <si>
    <t>Page 12, Line 216 - Fed - Spec Education - IDEA - Other - IDEA Step Grant $10,790</t>
  </si>
  <si>
    <t>Page 15, Line 41 - Educational Fund - Other Support Services - Pupils - Salaries Budget $207,123 Actual $140,398, Employee Benefits Budget $36,675 Actual $27,966, Supplies and Materials Budget $3,825 Actual $2,701, Capital Outlay Budget $1,000 Actual $333, and Other Objects Budget $850 Actual $520</t>
  </si>
  <si>
    <t>AUDIT CHECK Line 69 - Difference is due to $180,862 reported on line 206 on page 19 for capital lease payments recorded in Transportation Fund</t>
  </si>
  <si>
    <t>Page 10, Line 74 - Educational Fund - Other Food Service $15,208</t>
  </si>
  <si>
    <t>Page 11, Line 168 - Educational Fund - Orphanage Tuition $3,556, State Library Grant $2,255, and Other State Sources $8,770</t>
  </si>
  <si>
    <t>Page 19, Line 237 - IMRF Fund - Other Support Services - Pupils - Employee Benefits Budget $9,466 Actual $8,449</t>
  </si>
  <si>
    <t>Page 16, Line 73 - Educational Fund - Other Support Services - Purchased Services Budget $2,500 Actual $2,517 and Supplies and Material Budget $1,000 Actual $45</t>
  </si>
  <si>
    <t>Morton, IL 61550</t>
  </si>
  <si>
    <t>The accompanying Schedule of Expenditures of Federal Awards includes the federal grant activity of Morton Community Unit School District 709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</si>
  <si>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Morton Community Unit School District 709 provided federal awards to subrecipients as follows:</t>
  </si>
  <si>
    <r>
      <t xml:space="preserve">The following amounts were expended in the form of non-cash assistance by Morton Community Unit School District 709 and </t>
    </r>
    <r>
      <rPr>
        <b/>
        <sz val="9"/>
        <rFont val="Calibri"/>
        <family val="2"/>
        <scheme val="minor"/>
      </rPr>
      <t>should be</t>
    </r>
    <r>
      <rPr>
        <sz val="9"/>
        <rFont val="Calibri"/>
        <family val="2"/>
        <scheme val="minor"/>
      </rPr>
      <t xml:space="preserve"> included in the Schedule of Expenditures of Federal Awards:</t>
    </r>
  </si>
  <si>
    <t>SECTION I - SUMMARY OF AUDITORS' RESULTS</t>
  </si>
  <si>
    <t>Type of auditors' report issued:</t>
  </si>
  <si>
    <t>Type of auditors' report issued on compliance for major programs:</t>
  </si>
  <si>
    <t>Page 7, Line 43 - Operations and Maintenance Fund - Other Sources Not Classified Elsewhere - Proceeds from Insurance Recovery $259,862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</si>
</sst>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9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wrapText="1"/>
      <protection locked="0"/>
    </xf>
    <xf numFmtId="169" fontId="60" fillId="0" borderId="22" xfId="3" applyNumberFormat="1" applyFont="1" applyFill="1" applyBorder="1" applyAlignment="1" applyProtection="1">
      <alignment horizontal="center"/>
      <protection locked="0"/>
    </xf>
    <xf numFmtId="3" fontId="60" fillId="0" borderId="22" xfId="3" applyNumberFormat="1" applyFont="1" applyFill="1" applyBorder="1" applyAlignment="1" applyProtection="1">
      <alignment horizontal="left" vertical="center" wrapText="1"/>
      <protection locked="0"/>
    </xf>
    <xf numFmtId="3" fontId="60" fillId="0" borderId="22" xfId="0" applyNumberFormat="1" applyFont="1" applyFill="1" applyBorder="1" applyAlignment="1" applyProtection="1">
      <alignment horizontal="left" vertical="center" wrapText="1"/>
      <protection locked="0"/>
    </xf>
    <xf numFmtId="1" fontId="60" fillId="0" borderId="22" xfId="0" applyNumberFormat="1" applyFont="1" applyFill="1" applyBorder="1" applyAlignment="1" applyProtection="1">
      <alignment horizontal="center"/>
      <protection locked="0"/>
    </xf>
    <xf numFmtId="1" fontId="60" fillId="0" borderId="22" xfId="3" applyNumberFormat="1" applyFont="1" applyFill="1" applyBorder="1" applyAlignment="1" applyProtection="1">
      <alignment horizontal="center"/>
      <protection locked="0"/>
    </xf>
    <xf numFmtId="3" fontId="96" fillId="0" borderId="22" xfId="3" applyNumberFormat="1" applyFont="1" applyBorder="1" applyAlignment="1" applyProtection="1">
      <alignment horizontal="center"/>
      <protection locked="0"/>
    </xf>
    <xf numFmtId="0" fontId="8" fillId="0" borderId="0" xfId="0" applyFont="1" applyFill="1"/>
    <xf numFmtId="0" fontId="0" fillId="0" borderId="0" xfId="0" applyFill="1" applyAlignment="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0" fillId="0" borderId="0" xfId="0" applyFill="1" applyAlignment="1">
      <alignment horizontal="left" wrapText="1"/>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819150</xdr:colOff>
          <xdr:row>2</xdr:row>
          <xdr:rowOff>133350</xdr:rowOff>
        </xdr:from>
        <xdr:to>
          <xdr:col>1</xdr:col>
          <xdr:colOff>1733550</xdr:colOff>
          <xdr:row>7</xdr:row>
          <xdr:rowOff>9525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tabSelected="1"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2022" t="s">
        <v>405</v>
      </c>
      <c r="J1" s="2023"/>
      <c r="K1" s="2023"/>
      <c r="L1" s="2023"/>
      <c r="M1" s="2023"/>
      <c r="N1" s="2023"/>
      <c r="O1" s="2023"/>
      <c r="P1" s="2023"/>
      <c r="Q1" s="2023"/>
      <c r="R1" s="2023"/>
      <c r="S1" s="2023"/>
    </row>
    <row r="2" spans="1:28" ht="12" customHeight="1" x14ac:dyDescent="0.2">
      <c r="A2" s="47" t="s">
        <v>1987</v>
      </c>
      <c r="D2" s="48"/>
      <c r="I2" s="2024" t="s">
        <v>979</v>
      </c>
      <c r="J2" s="2023"/>
      <c r="K2" s="2023"/>
      <c r="L2" s="2023"/>
      <c r="M2" s="2023"/>
      <c r="N2" s="2023"/>
      <c r="O2" s="2023"/>
      <c r="P2" s="2023"/>
      <c r="Q2" s="2023"/>
      <c r="R2" s="2023"/>
      <c r="S2" s="2023"/>
    </row>
    <row r="3" spans="1:28" ht="12" customHeight="1" x14ac:dyDescent="0.2">
      <c r="A3" s="155" t="s">
        <v>1939</v>
      </c>
      <c r="B3" s="156"/>
      <c r="C3" s="156"/>
      <c r="D3" s="157"/>
      <c r="I3" s="2024" t="s">
        <v>52</v>
      </c>
      <c r="J3" s="2023"/>
      <c r="K3" s="2023"/>
      <c r="L3" s="2023"/>
      <c r="M3" s="2023"/>
      <c r="N3" s="2023"/>
      <c r="O3" s="2023"/>
      <c r="P3" s="2023"/>
      <c r="Q3" s="2023"/>
      <c r="R3" s="2023"/>
      <c r="S3" s="2023"/>
    </row>
    <row r="4" spans="1:28" ht="12" customHeight="1" x14ac:dyDescent="0.2">
      <c r="A4" s="37"/>
      <c r="I4" s="2024" t="s">
        <v>524</v>
      </c>
      <c r="J4" s="2023"/>
      <c r="K4" s="2023"/>
      <c r="L4" s="2023"/>
      <c r="M4" s="2023"/>
      <c r="N4" s="2023"/>
      <c r="O4" s="2023"/>
      <c r="P4" s="2023"/>
      <c r="Q4" s="2023"/>
      <c r="R4" s="2023"/>
      <c r="S4" s="2023"/>
    </row>
    <row r="5" spans="1:28" ht="14.1" customHeight="1" x14ac:dyDescent="0.2">
      <c r="B5" s="104" t="s">
        <v>2058</v>
      </c>
      <c r="C5" s="26" t="s">
        <v>910</v>
      </c>
      <c r="D5" s="84"/>
      <c r="E5" s="84"/>
      <c r="H5" s="38"/>
      <c r="I5" s="2031" t="s">
        <v>680</v>
      </c>
      <c r="J5" s="1976"/>
      <c r="K5" s="1976"/>
      <c r="L5" s="1976"/>
      <c r="M5" s="1976"/>
      <c r="N5" s="1976"/>
      <c r="O5" s="1976"/>
      <c r="P5" s="1976"/>
      <c r="Q5" s="1976"/>
      <c r="R5" s="1976"/>
      <c r="S5" s="1976"/>
    </row>
    <row r="6" spans="1:28" ht="14.1" customHeight="1" x14ac:dyDescent="0.2">
      <c r="B6" s="104"/>
      <c r="C6" s="26" t="s">
        <v>911</v>
      </c>
      <c r="D6" s="84"/>
      <c r="E6" s="84"/>
      <c r="I6" s="2030" t="s">
        <v>883</v>
      </c>
      <c r="J6" s="1976"/>
      <c r="K6" s="1976"/>
      <c r="L6" s="1976"/>
      <c r="M6" s="1976"/>
      <c r="N6" s="1976"/>
      <c r="O6" s="1976"/>
      <c r="P6" s="1976"/>
      <c r="Q6" s="1976"/>
      <c r="R6" s="1976"/>
      <c r="S6" s="1976"/>
    </row>
    <row r="7" spans="1:28" ht="12.2" customHeight="1" x14ac:dyDescent="0.2">
      <c r="I7" s="2025">
        <v>43646</v>
      </c>
      <c r="J7" s="2026"/>
      <c r="K7" s="2026"/>
      <c r="L7" s="2026"/>
      <c r="M7" s="2026"/>
      <c r="N7" s="2026"/>
      <c r="O7" s="2026"/>
      <c r="P7" s="2026"/>
      <c r="Q7" s="2026"/>
      <c r="R7" s="2026"/>
      <c r="S7" s="202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7" t="s">
        <v>674</v>
      </c>
      <c r="J9" s="2028"/>
      <c r="K9" s="2028"/>
      <c r="L9" s="2028"/>
      <c r="M9" s="2028"/>
      <c r="N9" s="2028"/>
      <c r="O9" s="2028"/>
      <c r="P9" s="2028"/>
      <c r="Q9" s="2028"/>
      <c r="R9" s="2028"/>
      <c r="S9" s="2029"/>
      <c r="T9" s="1972" t="s">
        <v>533</v>
      </c>
      <c r="U9" s="1973"/>
      <c r="V9" s="1973"/>
      <c r="W9" s="1973"/>
      <c r="X9" s="1973"/>
      <c r="Y9" s="1973"/>
      <c r="Z9" s="1973"/>
      <c r="AA9" s="1974"/>
    </row>
    <row r="10" spans="1:28" ht="13.5" customHeight="1" x14ac:dyDescent="0.2">
      <c r="A10" s="1981" t="s">
        <v>675</v>
      </c>
      <c r="B10" s="1982"/>
      <c r="C10" s="1982"/>
      <c r="D10" s="1982"/>
      <c r="E10" s="1982"/>
      <c r="F10" s="1982"/>
      <c r="G10" s="1982"/>
      <c r="H10" s="1983"/>
      <c r="I10" s="29"/>
      <c r="J10" s="30"/>
      <c r="K10" s="28"/>
      <c r="R10" s="30"/>
      <c r="S10" s="30"/>
      <c r="T10" s="1975"/>
      <c r="U10" s="1976"/>
      <c r="V10" s="1976"/>
      <c r="W10" s="1976"/>
      <c r="X10" s="1976"/>
      <c r="Y10" s="1976"/>
      <c r="Z10" s="1976"/>
      <c r="AA10" s="1977"/>
    </row>
    <row r="11" spans="1:28" ht="14.25" customHeight="1" x14ac:dyDescent="0.2">
      <c r="A11" s="1984" t="s">
        <v>955</v>
      </c>
      <c r="B11" s="1985"/>
      <c r="C11" s="1985"/>
      <c r="D11" s="1985"/>
      <c r="E11" s="1985"/>
      <c r="F11" s="1985"/>
      <c r="G11" s="1985"/>
      <c r="H11" s="1986"/>
      <c r="I11" s="27"/>
      <c r="J11" s="74"/>
      <c r="K11" s="27"/>
      <c r="O11" s="148" t="s">
        <v>2058</v>
      </c>
      <c r="P11" s="100" t="s">
        <v>201</v>
      </c>
      <c r="Q11" s="30"/>
      <c r="R11" s="28"/>
      <c r="S11" s="27"/>
      <c r="T11" s="1978"/>
      <c r="U11" s="1979"/>
      <c r="V11" s="1979"/>
      <c r="W11" s="1979"/>
      <c r="X11" s="1979"/>
      <c r="Y11" s="1979"/>
      <c r="Z11" s="1979"/>
      <c r="AA11" s="198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2" t="s">
        <v>2059</v>
      </c>
      <c r="B13" s="1993"/>
      <c r="C13" s="1993"/>
      <c r="D13" s="1993"/>
      <c r="E13" s="1993"/>
      <c r="F13" s="1993"/>
      <c r="G13" s="1993"/>
      <c r="H13" s="1994"/>
      <c r="I13" s="31"/>
      <c r="J13" s="30"/>
      <c r="K13" s="28"/>
      <c r="L13" s="30"/>
      <c r="M13" s="30"/>
      <c r="N13" s="30"/>
      <c r="O13" s="30"/>
      <c r="P13" s="30"/>
      <c r="Q13" s="30"/>
      <c r="R13" s="30"/>
      <c r="S13" s="30"/>
      <c r="T13" s="1997" t="s">
        <v>2131</v>
      </c>
      <c r="U13" s="1998"/>
      <c r="V13" s="1998"/>
      <c r="W13" s="1998"/>
      <c r="X13" s="1998"/>
      <c r="Y13" s="1999"/>
      <c r="Z13" s="1999"/>
      <c r="AA13" s="2000"/>
    </row>
    <row r="14" spans="1:28" ht="14.1" customHeight="1" x14ac:dyDescent="0.2">
      <c r="A14" s="85" t="s">
        <v>713</v>
      </c>
      <c r="B14" s="76"/>
      <c r="C14" s="76"/>
      <c r="D14" s="76"/>
      <c r="E14" s="76"/>
      <c r="F14" s="76"/>
      <c r="G14" s="76"/>
      <c r="H14" s="53"/>
      <c r="I14" s="116"/>
      <c r="S14" s="48"/>
      <c r="T14" s="85" t="s">
        <v>1326</v>
      </c>
      <c r="U14" s="51"/>
      <c r="V14" s="51"/>
      <c r="W14" s="51"/>
      <c r="X14" s="51"/>
      <c r="Y14" s="45"/>
      <c r="Z14" s="45"/>
      <c r="AA14" s="46"/>
    </row>
    <row r="15" spans="1:28" ht="13.5" customHeight="1" x14ac:dyDescent="0.2">
      <c r="A15" s="1990" t="s">
        <v>2060</v>
      </c>
      <c r="B15" s="1995"/>
      <c r="C15" s="1995"/>
      <c r="D15" s="1995"/>
      <c r="E15" s="1995"/>
      <c r="F15" s="1995"/>
      <c r="G15" s="1995"/>
      <c r="H15" s="1996"/>
      <c r="T15" s="1958" t="s">
        <v>2061</v>
      </c>
      <c r="U15" s="1959"/>
      <c r="V15" s="1959"/>
      <c r="W15" s="1959"/>
      <c r="X15" s="1959"/>
      <c r="Y15" s="2001"/>
      <c r="Z15" s="2001"/>
      <c r="AA15" s="200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0" t="s">
        <v>2062</v>
      </c>
      <c r="B17" s="2020"/>
      <c r="C17" s="2020"/>
      <c r="D17" s="2020"/>
      <c r="E17" s="2020"/>
      <c r="F17" s="2020"/>
      <c r="G17" s="2020"/>
      <c r="H17" s="2021"/>
      <c r="T17" s="2007" t="s">
        <v>2063</v>
      </c>
      <c r="U17" s="2008"/>
      <c r="V17" s="2008"/>
      <c r="W17" s="2008"/>
      <c r="X17" s="2008"/>
      <c r="Y17" s="2008"/>
      <c r="Z17" s="2008"/>
      <c r="AA17" s="2009"/>
    </row>
    <row r="18" spans="1:27" ht="13.5" customHeight="1" x14ac:dyDescent="0.2">
      <c r="A18" s="85" t="s">
        <v>530</v>
      </c>
      <c r="B18" s="76"/>
      <c r="C18" s="72"/>
      <c r="D18" s="76"/>
      <c r="E18" s="76"/>
      <c r="F18" s="76"/>
      <c r="G18" s="76"/>
      <c r="H18" s="56"/>
      <c r="I18" s="2017" t="s">
        <v>676</v>
      </c>
      <c r="J18" s="2018"/>
      <c r="K18" s="2018"/>
      <c r="L18" s="2018"/>
      <c r="M18" s="2018"/>
      <c r="N18" s="2018"/>
      <c r="O18" s="2018"/>
      <c r="P18" s="2018"/>
      <c r="Q18" s="2018"/>
      <c r="R18" s="2018"/>
      <c r="S18" s="2019"/>
      <c r="T18" s="85" t="s">
        <v>711</v>
      </c>
      <c r="U18" s="51"/>
      <c r="V18" s="72"/>
      <c r="W18" s="50"/>
      <c r="X18" s="85" t="s">
        <v>266</v>
      </c>
      <c r="Y18" s="81"/>
      <c r="Z18" s="159" t="s">
        <v>677</v>
      </c>
      <c r="AA18" s="46"/>
    </row>
    <row r="19" spans="1:27" ht="13.5" customHeight="1" x14ac:dyDescent="0.2">
      <c r="A19" s="1990" t="s">
        <v>2064</v>
      </c>
      <c r="B19" s="1991"/>
      <c r="C19" s="1991"/>
      <c r="D19" s="1991"/>
      <c r="E19" s="1991"/>
      <c r="F19" s="1991"/>
      <c r="G19" s="1991"/>
      <c r="H19" s="1989"/>
      <c r="I19" s="30"/>
      <c r="J19" s="99"/>
      <c r="K19" s="40"/>
      <c r="L19" s="38"/>
      <c r="M19" s="112" t="s">
        <v>315</v>
      </c>
      <c r="P19" s="27"/>
      <c r="Q19" s="27"/>
      <c r="R19" s="27"/>
      <c r="S19" s="31"/>
      <c r="T19" s="1990" t="s">
        <v>2065</v>
      </c>
      <c r="U19" s="1988"/>
      <c r="V19" s="1988"/>
      <c r="W19" s="1989"/>
      <c r="X19" s="2005" t="s">
        <v>2066</v>
      </c>
      <c r="Y19" s="2006"/>
      <c r="Z19" s="2003">
        <v>61602</v>
      </c>
      <c r="AA19" s="200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7" t="s">
        <v>2067</v>
      </c>
      <c r="B21" s="1988"/>
      <c r="C21" s="1988"/>
      <c r="D21" s="1988"/>
      <c r="E21" s="1988"/>
      <c r="F21" s="1988"/>
      <c r="G21" s="1988"/>
      <c r="H21" s="1989"/>
      <c r="I21" s="2013" t="s">
        <v>678</v>
      </c>
      <c r="J21" s="1976"/>
      <c r="K21" s="1976"/>
      <c r="L21" s="1976"/>
      <c r="M21" s="1976"/>
      <c r="N21" s="1976"/>
      <c r="O21" s="1976"/>
      <c r="P21" s="1976"/>
      <c r="Q21" s="1976"/>
      <c r="R21" s="1976"/>
      <c r="S21" s="1977"/>
      <c r="T21" s="1955" t="s">
        <v>2068</v>
      </c>
      <c r="U21" s="1956"/>
      <c r="V21" s="1956"/>
      <c r="W21" s="1956"/>
      <c r="X21" s="1969" t="s">
        <v>2069</v>
      </c>
      <c r="Y21" s="1970"/>
      <c r="Z21" s="1970"/>
      <c r="AA21" s="1971"/>
    </row>
    <row r="22" spans="1:27" ht="13.5" customHeight="1" x14ac:dyDescent="0.2">
      <c r="A22" s="87" t="s">
        <v>531</v>
      </c>
      <c r="B22" s="59"/>
      <c r="C22" s="59"/>
      <c r="D22" s="59"/>
      <c r="E22" s="59"/>
      <c r="F22" s="59"/>
      <c r="G22" s="59"/>
      <c r="H22" s="60"/>
      <c r="I22" s="2014" t="s">
        <v>1426</v>
      </c>
      <c r="J22" s="2015"/>
      <c r="K22" s="2015"/>
      <c r="L22" s="2015"/>
      <c r="M22" s="2015"/>
      <c r="N22" s="2015"/>
      <c r="O22" s="2015"/>
      <c r="P22" s="2015"/>
      <c r="Q22" s="2015"/>
      <c r="R22" s="2015"/>
      <c r="S22" s="2016"/>
      <c r="T22" s="85" t="s">
        <v>1513</v>
      </c>
      <c r="U22" s="51"/>
      <c r="V22" s="72"/>
      <c r="W22" s="51"/>
      <c r="X22" s="160" t="s">
        <v>1315</v>
      </c>
      <c r="Z22" s="45"/>
      <c r="AA22" s="46"/>
    </row>
    <row r="23" spans="1:27" ht="13.5" customHeight="1" x14ac:dyDescent="0.2">
      <c r="A23" s="2010"/>
      <c r="B23" s="2011"/>
      <c r="C23" s="2011"/>
      <c r="D23" s="2011"/>
      <c r="E23" s="2011"/>
      <c r="F23" s="2011"/>
      <c r="G23" s="2011"/>
      <c r="H23" s="2012"/>
      <c r="T23" s="1950" t="s">
        <v>2070</v>
      </c>
      <c r="U23" s="1951"/>
      <c r="V23" s="1951"/>
      <c r="W23" s="1951"/>
      <c r="X23" s="1966">
        <v>44530</v>
      </c>
      <c r="Y23" s="1967"/>
      <c r="Z23" s="1967"/>
      <c r="AA23" s="1968"/>
    </row>
    <row r="24" spans="1:27" ht="14.1" customHeight="1" x14ac:dyDescent="0.2">
      <c r="A24" s="88" t="s">
        <v>677</v>
      </c>
      <c r="B24" s="49"/>
      <c r="C24" s="49"/>
      <c r="D24" s="49"/>
      <c r="E24" s="49"/>
      <c r="F24" s="49"/>
      <c r="G24" s="49"/>
      <c r="H24" s="61"/>
      <c r="J24" s="2052">
        <f>IF(B5="x",IF(AUDITCHECK!D29="AFR form Incomplete.","",IF(AUDITCHECK!D29="Deficit reduction plan is required.","School District must complete a deficit reduction plan in the 2019-2020 Budget",)),"")</f>
        <v>0</v>
      </c>
      <c r="K24" s="2052"/>
      <c r="L24" s="2052"/>
      <c r="M24" s="2052"/>
      <c r="N24" s="2052"/>
      <c r="O24" s="2052"/>
      <c r="P24" s="2052"/>
      <c r="Q24" s="2052"/>
      <c r="R24" s="2052"/>
      <c r="S24" s="2053"/>
      <c r="T24" s="105" t="s">
        <v>531</v>
      </c>
      <c r="U24" s="106"/>
      <c r="V24" s="106"/>
      <c r="W24" s="106"/>
      <c r="X24" s="107"/>
      <c r="Y24" s="107"/>
      <c r="Z24" s="107"/>
      <c r="AA24" s="108"/>
    </row>
    <row r="25" spans="1:27" ht="14.1" customHeight="1" x14ac:dyDescent="0.2">
      <c r="A25" s="1987">
        <v>61550</v>
      </c>
      <c r="B25" s="1988"/>
      <c r="C25" s="1988"/>
      <c r="D25" s="1988"/>
      <c r="E25" s="1988"/>
      <c r="F25" s="1988"/>
      <c r="G25" s="1988"/>
      <c r="H25" s="1989"/>
      <c r="I25" s="113"/>
      <c r="J25" s="2054"/>
      <c r="K25" s="2054"/>
      <c r="L25" s="2054"/>
      <c r="M25" s="2054"/>
      <c r="N25" s="2054"/>
      <c r="O25" s="2054"/>
      <c r="P25" s="2054"/>
      <c r="Q25" s="2054"/>
      <c r="R25" s="2054"/>
      <c r="S25" s="2055"/>
      <c r="T25" s="1947" t="s">
        <v>2071</v>
      </c>
      <c r="U25" s="1948"/>
      <c r="V25" s="1948"/>
      <c r="W25" s="1948"/>
      <c r="X25" s="1948"/>
      <c r="Y25" s="1948"/>
      <c r="Z25" s="1948"/>
      <c r="AA25" s="194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5" t="s">
        <v>1508</v>
      </c>
      <c r="J27" s="2018"/>
      <c r="K27" s="2018"/>
      <c r="L27" s="2018"/>
      <c r="M27" s="2018"/>
      <c r="N27" s="2018"/>
      <c r="O27" s="2018"/>
      <c r="P27" s="2018"/>
      <c r="Q27" s="2018"/>
      <c r="R27" s="2018"/>
      <c r="S27" s="201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2058</v>
      </c>
      <c r="F29" s="141" t="s">
        <v>1313</v>
      </c>
      <c r="G29" s="114"/>
      <c r="I29" s="54"/>
      <c r="J29" s="148" t="s">
        <v>2058</v>
      </c>
      <c r="K29" s="28" t="s">
        <v>576</v>
      </c>
      <c r="L29" s="102"/>
      <c r="M29" s="40" t="s">
        <v>99</v>
      </c>
      <c r="N29" s="32" t="s">
        <v>1520</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2058</v>
      </c>
      <c r="K30" s="28" t="s">
        <v>576</v>
      </c>
      <c r="L30" s="102"/>
      <c r="M30" s="40" t="s">
        <v>99</v>
      </c>
      <c r="N30" s="32" t="s">
        <v>1509</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2058</v>
      </c>
      <c r="M31" s="40" t="s">
        <v>99</v>
      </c>
      <c r="N31" s="32" t="s">
        <v>1597</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1"/>
      <c r="Q35" s="1988"/>
      <c r="R35" s="198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0" t="s">
        <v>2072</v>
      </c>
      <c r="B38" s="2020"/>
      <c r="C38" s="2020"/>
      <c r="D38" s="2020"/>
      <c r="E38" s="2020"/>
      <c r="F38" s="1988"/>
      <c r="G38" s="1988"/>
      <c r="H38" s="1989"/>
      <c r="I38" s="2039"/>
      <c r="J38" s="1959"/>
      <c r="K38" s="1959"/>
      <c r="L38" s="1959"/>
      <c r="M38" s="1959"/>
      <c r="N38" s="1959"/>
      <c r="O38" s="1959"/>
      <c r="P38" s="1960"/>
      <c r="Q38" s="1960"/>
      <c r="R38" s="1960"/>
      <c r="S38" s="1961"/>
      <c r="T38" s="1958"/>
      <c r="U38" s="1959"/>
      <c r="V38" s="1959"/>
      <c r="W38" s="1959"/>
      <c r="X38" s="1960"/>
      <c r="Y38" s="1960"/>
      <c r="Z38" s="1960"/>
      <c r="AA38" s="1961"/>
    </row>
    <row r="39" spans="1:27" ht="12" customHeight="1" x14ac:dyDescent="0.2">
      <c r="A39" s="2043" t="s">
        <v>531</v>
      </c>
      <c r="B39" s="2044"/>
      <c r="C39" s="72"/>
      <c r="D39" s="69"/>
      <c r="E39" s="69"/>
      <c r="F39" s="79"/>
      <c r="G39" s="69"/>
      <c r="H39" s="56"/>
      <c r="I39" s="2043" t="s">
        <v>531</v>
      </c>
      <c r="J39" s="2044"/>
      <c r="K39" s="2044"/>
      <c r="L39" s="2044"/>
      <c r="M39" s="2044"/>
      <c r="N39" s="67"/>
      <c r="O39" s="72"/>
      <c r="P39" s="72"/>
      <c r="Q39" s="78"/>
      <c r="R39" s="72"/>
      <c r="S39" s="56"/>
      <c r="T39" s="72" t="s">
        <v>531</v>
      </c>
      <c r="U39" s="51"/>
      <c r="V39" s="72"/>
      <c r="W39" s="50"/>
      <c r="X39" s="78"/>
      <c r="Y39" s="45"/>
      <c r="Z39" s="45"/>
      <c r="AA39" s="46"/>
    </row>
    <row r="40" spans="1:27" ht="13.5" customHeight="1" x14ac:dyDescent="0.2">
      <c r="A40" s="2046" t="s">
        <v>2073</v>
      </c>
      <c r="B40" s="2047"/>
      <c r="C40" s="2048"/>
      <c r="D40" s="2048"/>
      <c r="E40" s="2048"/>
      <c r="F40" s="2049"/>
      <c r="G40" s="2049"/>
      <c r="H40" s="2050"/>
      <c r="I40" s="1962"/>
      <c r="J40" s="1964"/>
      <c r="K40" s="1964"/>
      <c r="L40" s="1964"/>
      <c r="M40" s="1964"/>
      <c r="N40" s="1964"/>
      <c r="O40" s="1964"/>
      <c r="P40" s="1964"/>
      <c r="Q40" s="1964"/>
      <c r="R40" s="1964"/>
      <c r="S40" s="1965"/>
      <c r="T40" s="1962"/>
      <c r="U40" s="1963"/>
      <c r="V40" s="1964"/>
      <c r="W40" s="1964"/>
      <c r="X40" s="1964"/>
      <c r="Y40" s="1964"/>
      <c r="Z40" s="1964"/>
      <c r="AA40" s="196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6" t="s">
        <v>2074</v>
      </c>
      <c r="B42" s="2037"/>
      <c r="C42" s="2038"/>
      <c r="D42" s="2051" t="s">
        <v>2075</v>
      </c>
      <c r="E42" s="2037"/>
      <c r="F42" s="2037"/>
      <c r="G42" s="2037"/>
      <c r="H42" s="2038"/>
      <c r="I42" s="1957"/>
      <c r="J42" s="1953"/>
      <c r="K42" s="1953"/>
      <c r="L42" s="1953"/>
      <c r="M42" s="1953"/>
      <c r="N42" s="1953"/>
      <c r="O42" s="1954"/>
      <c r="P42" s="1952"/>
      <c r="Q42" s="1953"/>
      <c r="R42" s="1953"/>
      <c r="S42" s="1954"/>
      <c r="T42" s="1957"/>
      <c r="U42" s="1953"/>
      <c r="V42" s="1953"/>
      <c r="W42" s="1954"/>
      <c r="X42" s="1952"/>
      <c r="Y42" s="1953"/>
      <c r="Z42" s="1953"/>
      <c r="AA42" s="195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0"/>
      <c r="B44" s="2041"/>
      <c r="C44" s="2041"/>
      <c r="D44" s="2041"/>
      <c r="E44" s="2041"/>
      <c r="F44" s="2041"/>
      <c r="G44" s="2041"/>
      <c r="H44" s="2042"/>
      <c r="I44" s="2032"/>
      <c r="J44" s="2034"/>
      <c r="K44" s="2034"/>
      <c r="L44" s="2034"/>
      <c r="M44" s="2034"/>
      <c r="N44" s="2034"/>
      <c r="O44" s="2034"/>
      <c r="P44" s="2034"/>
      <c r="Q44" s="2034"/>
      <c r="R44" s="2034"/>
      <c r="S44" s="2035"/>
      <c r="T44" s="2032"/>
      <c r="U44" s="2033"/>
      <c r="V44" s="2033"/>
      <c r="W44" s="2033"/>
      <c r="X44" s="2033"/>
      <c r="Y44" s="2033"/>
      <c r="Z44" s="2034"/>
      <c r="AA44" s="2035"/>
    </row>
    <row r="45" spans="1:27" ht="13.5" customHeight="1" x14ac:dyDescent="0.2">
      <c r="A45" s="41" t="s">
        <v>186</v>
      </c>
      <c r="Q45" s="41" t="s">
        <v>1416</v>
      </c>
      <c r="R45" s="41"/>
      <c r="S45" s="41"/>
      <c r="T45" s="147"/>
      <c r="U45" s="41"/>
      <c r="V45" s="41"/>
      <c r="W45" s="41"/>
      <c r="X45" s="41"/>
      <c r="Y45" s="41"/>
      <c r="Z45" s="41"/>
      <c r="AA45" s="41"/>
    </row>
    <row r="46" spans="1:27" ht="10.5" customHeight="1" x14ac:dyDescent="0.2">
      <c r="A46" s="42" t="s">
        <v>1938</v>
      </c>
      <c r="D46" s="41"/>
      <c r="E46" s="41"/>
      <c r="F46" s="41"/>
      <c r="G46" s="41"/>
      <c r="Q46" s="29" t="s">
        <v>1417</v>
      </c>
      <c r="R46" s="41"/>
      <c r="S46" s="41"/>
      <c r="T46" s="41"/>
      <c r="U46" s="41"/>
      <c r="V46" s="41"/>
      <c r="W46" s="41"/>
      <c r="X46" s="41"/>
      <c r="Y46" s="41"/>
      <c r="Z46" s="41"/>
      <c r="AA46" s="41"/>
    </row>
    <row r="47" spans="1:27" x14ac:dyDescent="0.2">
      <c r="A47" s="137"/>
      <c r="Q47" s="41" t="s">
        <v>1920</v>
      </c>
      <c r="R47" s="41"/>
      <c r="S47" s="41"/>
      <c r="T47" s="41"/>
      <c r="U47" s="41"/>
      <c r="V47" s="41"/>
      <c r="W47" s="41"/>
      <c r="X47" s="41"/>
      <c r="Y47" s="41"/>
      <c r="Z47" s="41"/>
      <c r="AA47" s="41"/>
    </row>
    <row r="48" spans="1:27" x14ac:dyDescent="0.2">
      <c r="Q48" s="41" t="s">
        <v>1921</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workbookViewId="0"/>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9" t="s">
        <v>1796</v>
      </c>
      <c r="B2" s="1528" t="s">
        <v>1945</v>
      </c>
      <c r="C2" s="714" t="s">
        <v>1946</v>
      </c>
      <c r="D2" s="714" t="s">
        <v>1947</v>
      </c>
      <c r="E2" s="714" t="s">
        <v>1948</v>
      </c>
      <c r="F2" s="714" t="s">
        <v>1949</v>
      </c>
    </row>
    <row r="3" spans="1:6" ht="12" customHeight="1" x14ac:dyDescent="0.2">
      <c r="A3" s="2190"/>
      <c r="B3" s="1525"/>
      <c r="C3" s="1526"/>
      <c r="D3" s="1527" t="s">
        <v>256</v>
      </c>
      <c r="E3" s="1526"/>
      <c r="F3" s="1527" t="s">
        <v>257</v>
      </c>
    </row>
    <row r="4" spans="1:6" ht="13.7" customHeight="1" x14ac:dyDescent="0.2">
      <c r="A4" s="715" t="s">
        <v>1155</v>
      </c>
      <c r="B4" s="1749">
        <f>'Revenues 9-14'!C5</f>
        <v>21639791</v>
      </c>
      <c r="C4" s="1524"/>
      <c r="D4" s="1752">
        <f>B4-C4</f>
        <v>21639791</v>
      </c>
      <c r="E4" s="1524">
        <v>22482979</v>
      </c>
      <c r="F4" s="1752">
        <f>E4-C4</f>
        <v>22482979</v>
      </c>
    </row>
    <row r="5" spans="1:6" ht="13.7" customHeight="1" x14ac:dyDescent="0.2">
      <c r="A5" s="715" t="s">
        <v>870</v>
      </c>
      <c r="B5" s="1750">
        <f>'Revenues 9-14'!D5</f>
        <v>4095118</v>
      </c>
      <c r="C5" s="585"/>
      <c r="D5" s="1753">
        <f t="shared" ref="D5:D18" si="0">B5-C5</f>
        <v>4095118</v>
      </c>
      <c r="E5" s="585">
        <v>4259802</v>
      </c>
      <c r="F5" s="1753">
        <f>E5-C5</f>
        <v>4259802</v>
      </c>
    </row>
    <row r="6" spans="1:6" ht="13.7" customHeight="1" x14ac:dyDescent="0.2">
      <c r="A6" s="715" t="s">
        <v>411</v>
      </c>
      <c r="B6" s="1750">
        <f>'Revenues 9-14'!E5</f>
        <v>1270831</v>
      </c>
      <c r="C6" s="585"/>
      <c r="D6" s="1753">
        <f t="shared" si="0"/>
        <v>1270831</v>
      </c>
      <c r="E6" s="585">
        <v>1430125</v>
      </c>
      <c r="F6" s="1753">
        <f t="shared" ref="F6:F18" si="1">E6-C6</f>
        <v>1430125</v>
      </c>
    </row>
    <row r="7" spans="1:6" ht="13.7" customHeight="1" x14ac:dyDescent="0.2">
      <c r="A7" s="715" t="s">
        <v>155</v>
      </c>
      <c r="B7" s="1750">
        <f>'Revenues 9-14'!F5</f>
        <v>637090</v>
      </c>
      <c r="C7" s="585"/>
      <c r="D7" s="1753">
        <f t="shared" si="0"/>
        <v>637090</v>
      </c>
      <c r="E7" s="585">
        <v>661955</v>
      </c>
      <c r="F7" s="1753">
        <f t="shared" si="1"/>
        <v>661955</v>
      </c>
    </row>
    <row r="8" spans="1:6" ht="13.7" customHeight="1" x14ac:dyDescent="0.2">
      <c r="A8" s="715" t="s">
        <v>1179</v>
      </c>
      <c r="B8" s="1750">
        <f>'Revenues 9-14'!G5</f>
        <v>340009</v>
      </c>
      <c r="C8" s="585"/>
      <c r="D8" s="1753">
        <f t="shared" si="0"/>
        <v>340009</v>
      </c>
      <c r="E8" s="585">
        <v>353308</v>
      </c>
      <c r="F8" s="1753">
        <f t="shared" si="1"/>
        <v>353308</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284271</v>
      </c>
      <c r="C10" s="585"/>
      <c r="D10" s="1753">
        <f t="shared" si="0"/>
        <v>284271</v>
      </c>
      <c r="E10" s="585">
        <v>290351</v>
      </c>
      <c r="F10" s="1753">
        <f t="shared" si="1"/>
        <v>290351</v>
      </c>
    </row>
    <row r="11" spans="1:6" x14ac:dyDescent="0.2">
      <c r="A11" s="715" t="s">
        <v>409</v>
      </c>
      <c r="B11" s="1750">
        <f>'Revenues 9-14'!J5</f>
        <v>423218</v>
      </c>
      <c r="C11" s="585"/>
      <c r="D11" s="1753">
        <f t="shared" si="0"/>
        <v>423218</v>
      </c>
      <c r="E11" s="585">
        <v>439764</v>
      </c>
      <c r="F11" s="1753">
        <f t="shared" si="1"/>
        <v>439764</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247367</v>
      </c>
      <c r="C14" s="585"/>
      <c r="D14" s="1753">
        <f t="shared" si="0"/>
        <v>247367</v>
      </c>
      <c r="E14" s="585">
        <v>257031</v>
      </c>
      <c r="F14" s="1753">
        <f t="shared" si="1"/>
        <v>257031</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444315</v>
      </c>
      <c r="C16" s="585"/>
      <c r="D16" s="1753">
        <f t="shared" si="0"/>
        <v>444315</v>
      </c>
      <c r="E16" s="585">
        <v>461627</v>
      </c>
      <c r="F16" s="1753">
        <f t="shared" si="1"/>
        <v>461627</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29382010</v>
      </c>
      <c r="C19" s="1751">
        <f>SUM(C4:C18)</f>
        <v>0</v>
      </c>
      <c r="D19" s="1751">
        <f>SUM(D4:D18)</f>
        <v>29382010</v>
      </c>
      <c r="E19" s="1751">
        <f>SUM(E4:E18)</f>
        <v>30636942</v>
      </c>
      <c r="F19" s="1751">
        <f>SUM(F4:F18)</f>
        <v>30636942</v>
      </c>
    </row>
    <row r="20" spans="1:6" ht="13.5" thickTop="1" x14ac:dyDescent="0.2">
      <c r="B20" s="713"/>
      <c r="F20" s="716"/>
    </row>
    <row r="21" spans="1:6" x14ac:dyDescent="0.2">
      <c r="A21" s="717" t="s">
        <v>1802</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5" t="s">
        <v>629</v>
      </c>
      <c r="B1" s="2196"/>
      <c r="C1" s="721"/>
    </row>
    <row r="2" spans="1:7" ht="33.75" x14ac:dyDescent="0.2">
      <c r="A2" s="2204" t="s">
        <v>1796</v>
      </c>
      <c r="B2" s="2205"/>
      <c r="C2" s="1884" t="s">
        <v>1950</v>
      </c>
      <c r="D2" s="723" t="s">
        <v>1951</v>
      </c>
      <c r="E2" s="723" t="s">
        <v>1952</v>
      </c>
      <c r="F2" s="1884" t="s">
        <v>1953</v>
      </c>
    </row>
    <row r="3" spans="1:7" ht="15.75" customHeight="1" x14ac:dyDescent="0.2">
      <c r="A3" s="2208" t="s">
        <v>1114</v>
      </c>
      <c r="B3" s="2209"/>
      <c r="C3" s="2197"/>
      <c r="D3" s="2198"/>
      <c r="E3" s="2198"/>
      <c r="F3" s="2199"/>
    </row>
    <row r="4" spans="1:7" ht="12.75" customHeight="1" thickBot="1" x14ac:dyDescent="0.25">
      <c r="A4" s="2206" t="s">
        <v>630</v>
      </c>
      <c r="B4" s="2207"/>
      <c r="C4" s="581"/>
      <c r="D4" s="581"/>
      <c r="E4" s="581"/>
      <c r="F4" s="1755">
        <f>SUM(C4+D4)-E4</f>
        <v>0</v>
      </c>
    </row>
    <row r="5" spans="1:7" ht="15.75" customHeight="1" thickTop="1" x14ac:dyDescent="0.2">
      <c r="A5" s="2191" t="s">
        <v>1110</v>
      </c>
      <c r="B5" s="2192"/>
      <c r="C5" s="2200"/>
      <c r="D5" s="2201"/>
      <c r="E5" s="2201"/>
      <c r="F5" s="220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3" t="s">
        <v>631</v>
      </c>
      <c r="B15" s="2194"/>
      <c r="C15" s="1755">
        <f>SUM(C6:C14)</f>
        <v>0</v>
      </c>
      <c r="D15" s="1755">
        <f>SUM(D6:D14)</f>
        <v>0</v>
      </c>
      <c r="E15" s="1755">
        <f>SUM(E6:E14)</f>
        <v>0</v>
      </c>
      <c r="F15" s="1755">
        <f>SUM(F6:F14)</f>
        <v>0</v>
      </c>
      <c r="G15" s="552"/>
    </row>
    <row r="16" spans="1:7" s="202" customFormat="1" ht="15.75" customHeight="1" thickTop="1" x14ac:dyDescent="0.2">
      <c r="A16" s="2203" t="s">
        <v>1111</v>
      </c>
      <c r="B16" s="2192"/>
      <c r="C16" s="2200"/>
      <c r="D16" s="2201"/>
      <c r="E16" s="2201"/>
      <c r="F16" s="2202"/>
    </row>
    <row r="17" spans="1:11" ht="12.75" customHeight="1" thickBot="1" x14ac:dyDescent="0.25">
      <c r="A17" s="2216" t="s">
        <v>64</v>
      </c>
      <c r="B17" s="2217"/>
      <c r="C17" s="726"/>
      <c r="D17" s="585"/>
      <c r="E17" s="726"/>
      <c r="F17" s="1755">
        <f>SUM(C17+D17)-E17</f>
        <v>0</v>
      </c>
    </row>
    <row r="18" spans="1:11" ht="12.75" customHeight="1" thickTop="1" thickBot="1" x14ac:dyDescent="0.25">
      <c r="A18" s="2216" t="s">
        <v>6</v>
      </c>
      <c r="B18" s="2217"/>
      <c r="C18" s="726"/>
      <c r="D18" s="585"/>
      <c r="E18" s="726"/>
      <c r="F18" s="1755">
        <f>SUM(C18+D18)-E18</f>
        <v>0</v>
      </c>
    </row>
    <row r="19" spans="1:11" ht="12.75" customHeight="1" thickTop="1" thickBot="1" x14ac:dyDescent="0.25">
      <c r="A19" s="2216" t="s">
        <v>388</v>
      </c>
      <c r="B19" s="2217"/>
      <c r="C19" s="726"/>
      <c r="D19" s="585"/>
      <c r="E19" s="726"/>
      <c r="F19" s="1755">
        <f>SUM(C19+D19)-E19</f>
        <v>0</v>
      </c>
    </row>
    <row r="20" spans="1:11" ht="12.75" customHeight="1" thickTop="1" thickBot="1" x14ac:dyDescent="0.25">
      <c r="A20" s="2216" t="s">
        <v>448</v>
      </c>
      <c r="B20" s="2217"/>
      <c r="C20" s="726"/>
      <c r="D20" s="585"/>
      <c r="E20" s="726"/>
      <c r="F20" s="1755">
        <f>SUM(C20+D20)-E20</f>
        <v>0</v>
      </c>
    </row>
    <row r="21" spans="1:11" ht="14.25" thickTop="1" thickBot="1" x14ac:dyDescent="0.25">
      <c r="A21" s="2193" t="s">
        <v>632</v>
      </c>
      <c r="B21" s="2194"/>
      <c r="C21" s="1755">
        <f>SUM(C17:C20)</f>
        <v>0</v>
      </c>
      <c r="D21" s="1755">
        <f>SUM(D17:D20)</f>
        <v>0</v>
      </c>
      <c r="E21" s="1755">
        <f>SUM(E17:E20)</f>
        <v>0</v>
      </c>
      <c r="F21" s="1755">
        <f>SUM(F17:F20)</f>
        <v>0</v>
      </c>
      <c r="G21" s="552"/>
    </row>
    <row r="22" spans="1:11" ht="15.75" customHeight="1" thickTop="1" x14ac:dyDescent="0.2">
      <c r="A22" s="2218" t="s">
        <v>1112</v>
      </c>
      <c r="B22" s="2192"/>
      <c r="C22" s="2200"/>
      <c r="D22" s="2201"/>
      <c r="E22" s="2201"/>
      <c r="F22" s="2202"/>
    </row>
    <row r="23" spans="1:11" ht="13.5" thickBot="1" x14ac:dyDescent="0.25">
      <c r="A23" s="2206" t="s">
        <v>633</v>
      </c>
      <c r="B23" s="2207"/>
      <c r="C23" s="581"/>
      <c r="D23" s="581"/>
      <c r="E23" s="581"/>
      <c r="F23" s="1755">
        <f>SUM(C23+D23)-E23</f>
        <v>0</v>
      </c>
      <c r="G23" s="552"/>
    </row>
    <row r="24" spans="1:11" ht="15.75" customHeight="1" thickTop="1" x14ac:dyDescent="0.2">
      <c r="A24" s="2218" t="s">
        <v>1113</v>
      </c>
      <c r="B24" s="2192"/>
      <c r="C24" s="2200"/>
      <c r="D24" s="2201"/>
      <c r="E24" s="2201"/>
      <c r="F24" s="2202"/>
    </row>
    <row r="25" spans="1:11" ht="13.5" thickBot="1" x14ac:dyDescent="0.25">
      <c r="A25" s="2206" t="s">
        <v>634</v>
      </c>
      <c r="B25" s="2207"/>
      <c r="C25" s="581"/>
      <c r="D25" s="581"/>
      <c r="E25" s="581"/>
      <c r="F25" s="1755">
        <f>SUM(C25+D25)-E25</f>
        <v>0</v>
      </c>
      <c r="G25" s="552"/>
    </row>
    <row r="26" spans="1:11" ht="15.75" customHeight="1" thickTop="1" x14ac:dyDescent="0.2">
      <c r="A26" s="2191" t="s">
        <v>657</v>
      </c>
      <c r="B26" s="2192"/>
      <c r="C26" s="727"/>
      <c r="D26" s="727"/>
      <c r="E26" s="727"/>
      <c r="F26" s="728"/>
    </row>
    <row r="27" spans="1:11" ht="13.5" thickBot="1" x14ac:dyDescent="0.25">
      <c r="A27" s="2193" t="s">
        <v>1070</v>
      </c>
      <c r="B27" s="2194"/>
      <c r="C27" s="585"/>
      <c r="D27" s="585"/>
      <c r="E27" s="585"/>
      <c r="F27" s="1755">
        <f>SUM(C27+D27)-E27</f>
        <v>0</v>
      </c>
      <c r="G27" s="552"/>
    </row>
    <row r="28" spans="1:11" ht="7.5" customHeight="1" thickTop="1" x14ac:dyDescent="0.2">
      <c r="A28" s="593"/>
    </row>
    <row r="29" spans="1:11" ht="23.25" customHeight="1" x14ac:dyDescent="0.2">
      <c r="A29" s="2219" t="s">
        <v>582</v>
      </c>
      <c r="B29" s="2196"/>
      <c r="C29" s="729"/>
      <c r="D29" s="729"/>
      <c r="E29" s="729"/>
      <c r="F29" s="729"/>
      <c r="G29" s="729"/>
      <c r="H29" s="729"/>
      <c r="I29" s="729"/>
      <c r="J29" s="729"/>
    </row>
    <row r="30" spans="1:11" ht="33.75" x14ac:dyDescent="0.2">
      <c r="A30" s="1529" t="s">
        <v>1071</v>
      </c>
      <c r="B30" s="730" t="s">
        <v>1124</v>
      </c>
      <c r="C30" s="1885" t="s">
        <v>583</v>
      </c>
      <c r="D30" s="1885" t="s">
        <v>1670</v>
      </c>
      <c r="E30" s="1885" t="s">
        <v>1954</v>
      </c>
      <c r="F30" s="1885" t="s">
        <v>1955</v>
      </c>
      <c r="G30" s="1885" t="s">
        <v>1905</v>
      </c>
      <c r="H30" s="1885" t="s">
        <v>1956</v>
      </c>
      <c r="I30" s="1885" t="s">
        <v>1957</v>
      </c>
      <c r="J30" s="1886" t="s">
        <v>2</v>
      </c>
      <c r="K30" s="731"/>
    </row>
    <row r="31" spans="1:11" ht="12" customHeight="1" x14ac:dyDescent="0.2">
      <c r="A31" s="732" t="s">
        <v>2076</v>
      </c>
      <c r="B31" s="733">
        <v>42549</v>
      </c>
      <c r="C31" s="734">
        <v>8990000</v>
      </c>
      <c r="D31" s="735">
        <v>6</v>
      </c>
      <c r="E31" s="734">
        <v>7915000</v>
      </c>
      <c r="F31" s="734"/>
      <c r="G31" s="734"/>
      <c r="H31" s="734">
        <v>1155000</v>
      </c>
      <c r="I31" s="1756">
        <f>((E31+F31)-H31)+G31</f>
        <v>6760000</v>
      </c>
      <c r="J31" s="734">
        <f>I31-'Assets-Liab 5-6'!E13</f>
        <v>6640266</v>
      </c>
      <c r="K31" s="736"/>
    </row>
    <row r="32" spans="1:11" ht="12" customHeight="1" x14ac:dyDescent="0.2">
      <c r="A32" s="732" t="s">
        <v>2077</v>
      </c>
      <c r="B32" s="733">
        <v>41964</v>
      </c>
      <c r="C32" s="734">
        <v>456907</v>
      </c>
      <c r="D32" s="735">
        <v>7</v>
      </c>
      <c r="E32" s="734">
        <v>93943</v>
      </c>
      <c r="F32" s="734"/>
      <c r="G32" s="734"/>
      <c r="H32" s="734">
        <v>93943</v>
      </c>
      <c r="I32" s="1756">
        <f>((E32+F32)-H32)+G32</f>
        <v>0</v>
      </c>
      <c r="J32" s="734">
        <v>0</v>
      </c>
      <c r="K32" s="736"/>
    </row>
    <row r="33" spans="1:11" ht="12" customHeight="1" x14ac:dyDescent="0.2">
      <c r="A33" s="732" t="s">
        <v>2078</v>
      </c>
      <c r="B33" s="733">
        <v>42458</v>
      </c>
      <c r="C33" s="734">
        <v>109531</v>
      </c>
      <c r="D33" s="735">
        <v>7</v>
      </c>
      <c r="E33" s="734">
        <v>49500</v>
      </c>
      <c r="F33" s="734"/>
      <c r="G33" s="734"/>
      <c r="H33" s="734">
        <v>27975</v>
      </c>
      <c r="I33" s="1756">
        <f t="shared" ref="I33:I48" si="1">((E33+F33)-H33)+G33</f>
        <v>21525</v>
      </c>
      <c r="J33" s="734">
        <v>21525</v>
      </c>
      <c r="K33" s="736"/>
    </row>
    <row r="34" spans="1:11" ht="12" customHeight="1" x14ac:dyDescent="0.2">
      <c r="A34" s="732" t="s">
        <v>2079</v>
      </c>
      <c r="B34" s="733">
        <v>42527</v>
      </c>
      <c r="C34" s="734">
        <v>899690</v>
      </c>
      <c r="D34" s="735">
        <v>7</v>
      </c>
      <c r="E34" s="734">
        <v>300150</v>
      </c>
      <c r="F34" s="734"/>
      <c r="G34" s="734"/>
      <c r="H34" s="734">
        <v>300150</v>
      </c>
      <c r="I34" s="1756">
        <f t="shared" si="1"/>
        <v>0</v>
      </c>
      <c r="J34" s="734">
        <v>0</v>
      </c>
      <c r="K34" s="737"/>
    </row>
    <row r="35" spans="1:11" ht="12" customHeight="1" x14ac:dyDescent="0.2">
      <c r="A35" s="732" t="s">
        <v>2077</v>
      </c>
      <c r="B35" s="733">
        <v>43013</v>
      </c>
      <c r="C35" s="738">
        <v>449344</v>
      </c>
      <c r="D35" s="735">
        <v>7</v>
      </c>
      <c r="E35" s="738">
        <v>360026</v>
      </c>
      <c r="F35" s="738"/>
      <c r="G35" s="738"/>
      <c r="H35" s="738">
        <v>86919</v>
      </c>
      <c r="I35" s="1756">
        <f t="shared" si="1"/>
        <v>273107</v>
      </c>
      <c r="J35" s="738">
        <v>273107</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10905472</v>
      </c>
      <c r="D49" s="745"/>
      <c r="E49" s="1756">
        <f t="shared" ref="E49:J49" si="2">SUM(E31:E48)</f>
        <v>8718619</v>
      </c>
      <c r="F49" s="1756">
        <f t="shared" si="2"/>
        <v>0</v>
      </c>
      <c r="G49" s="1756">
        <f t="shared" si="2"/>
        <v>0</v>
      </c>
      <c r="H49" s="1756">
        <f t="shared" si="2"/>
        <v>1663987</v>
      </c>
      <c r="I49" s="1756">
        <f t="shared" si="2"/>
        <v>7054632</v>
      </c>
      <c r="J49" s="1756">
        <f t="shared" si="2"/>
        <v>6934898</v>
      </c>
      <c r="K49" s="737"/>
    </row>
    <row r="50" spans="1:11" ht="6" customHeight="1" x14ac:dyDescent="0.2">
      <c r="A50" s="746"/>
      <c r="B50" s="736"/>
      <c r="C50" s="736"/>
      <c r="D50" s="736"/>
      <c r="E50" s="736"/>
      <c r="F50" s="736"/>
      <c r="G50" s="736"/>
      <c r="H50" s="736"/>
      <c r="I50" s="736"/>
      <c r="J50" s="746"/>
    </row>
    <row r="51" spans="1:11" x14ac:dyDescent="0.2">
      <c r="A51" s="747" t="s">
        <v>1801</v>
      </c>
      <c r="B51" s="746"/>
      <c r="C51" s="737"/>
      <c r="D51" s="737"/>
      <c r="E51" s="737"/>
      <c r="F51" s="737"/>
      <c r="G51" s="737"/>
      <c r="H51" s="736"/>
      <c r="I51" s="736"/>
      <c r="J51" s="746"/>
    </row>
    <row r="52" spans="1:11" ht="11.25" customHeight="1" x14ac:dyDescent="0.2">
      <c r="A52" s="748" t="s">
        <v>912</v>
      </c>
      <c r="B52" s="2210" t="s">
        <v>584</v>
      </c>
      <c r="C52" s="2211"/>
      <c r="D52" s="2211"/>
      <c r="E52" s="749" t="s">
        <v>845</v>
      </c>
      <c r="F52" s="2212" t="s">
        <v>2086</v>
      </c>
      <c r="G52" s="2213"/>
      <c r="H52" s="736"/>
      <c r="I52" s="736"/>
      <c r="J52" s="746"/>
    </row>
    <row r="53" spans="1:11" ht="11.25" customHeight="1" x14ac:dyDescent="0.2">
      <c r="A53" s="750" t="s">
        <v>913</v>
      </c>
      <c r="B53" s="751" t="s">
        <v>951</v>
      </c>
      <c r="C53" s="746"/>
      <c r="D53" s="737"/>
      <c r="E53" s="749" t="s">
        <v>497</v>
      </c>
      <c r="F53" s="2214"/>
      <c r="G53" s="2215"/>
      <c r="H53" s="736"/>
      <c r="I53" s="736"/>
      <c r="J53" s="746"/>
    </row>
    <row r="54" spans="1:11" ht="11.25" customHeight="1" x14ac:dyDescent="0.2">
      <c r="A54" s="752" t="s">
        <v>914</v>
      </c>
      <c r="B54" s="747" t="s">
        <v>952</v>
      </c>
      <c r="C54" s="746"/>
      <c r="D54" s="737"/>
      <c r="E54" s="749" t="s">
        <v>498</v>
      </c>
      <c r="F54" s="2214"/>
      <c r="G54" s="221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856</v>
      </c>
      <c r="B1" s="2245"/>
      <c r="C1" s="2245"/>
      <c r="D1" s="2245"/>
      <c r="E1" s="2245"/>
      <c r="F1" s="2245"/>
      <c r="G1" s="2246"/>
      <c r="H1" s="1530"/>
      <c r="I1" s="760"/>
      <c r="J1" s="433"/>
    </row>
    <row r="2" spans="1:11" ht="26.25" x14ac:dyDescent="0.2">
      <c r="A2" s="2223" t="s">
        <v>1674</v>
      </c>
      <c r="B2" s="2224"/>
      <c r="C2" s="2224"/>
      <c r="D2" s="2224"/>
      <c r="E2" s="2225"/>
      <c r="F2" s="761" t="s">
        <v>904</v>
      </c>
      <c r="G2" s="762" t="s">
        <v>1671</v>
      </c>
      <c r="H2" s="762" t="s">
        <v>410</v>
      </c>
      <c r="I2" s="762" t="s">
        <v>1158</v>
      </c>
      <c r="J2" s="762" t="s">
        <v>1806</v>
      </c>
      <c r="K2" s="762" t="s">
        <v>138</v>
      </c>
    </row>
    <row r="3" spans="1:11" x14ac:dyDescent="0.2">
      <c r="A3" s="2226" t="s">
        <v>1958</v>
      </c>
      <c r="B3" s="2227"/>
      <c r="C3" s="2227"/>
      <c r="D3" s="2227"/>
      <c r="E3" s="2228"/>
      <c r="F3" s="763"/>
      <c r="G3" s="764"/>
      <c r="H3" s="764"/>
      <c r="I3" s="764"/>
      <c r="J3" s="765"/>
      <c r="K3" s="765"/>
    </row>
    <row r="4" spans="1:11" x14ac:dyDescent="0.2">
      <c r="A4" s="2229" t="s">
        <v>369</v>
      </c>
      <c r="B4" s="2230"/>
      <c r="C4" s="2230"/>
      <c r="D4" s="2230"/>
      <c r="E4" s="2211"/>
      <c r="F4" s="766"/>
      <c r="G4" s="767"/>
      <c r="H4" s="768"/>
      <c r="I4" s="767"/>
      <c r="J4" s="769"/>
      <c r="K4" s="769"/>
    </row>
    <row r="5" spans="1:11" x14ac:dyDescent="0.2">
      <c r="A5" s="2247" t="s">
        <v>1069</v>
      </c>
      <c r="B5" s="2220"/>
      <c r="C5" s="2220"/>
      <c r="D5" s="2220"/>
      <c r="E5" s="2248"/>
      <c r="F5" s="770" t="s">
        <v>848</v>
      </c>
      <c r="G5" s="771"/>
      <c r="H5" s="764">
        <f>'Revenues 9-14'!C7</f>
        <v>247367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f>'Revenues 9-14'!C148</f>
        <v>38718</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7" t="s">
        <v>1807</v>
      </c>
      <c r="B10" s="2220"/>
      <c r="C10" s="2220"/>
      <c r="D10" s="2220"/>
      <c r="E10" s="2249"/>
      <c r="F10" s="783" t="s">
        <v>862</v>
      </c>
      <c r="G10" s="782"/>
      <c r="H10" s="784"/>
      <c r="I10" s="764"/>
      <c r="J10" s="765"/>
      <c r="K10" s="765"/>
    </row>
    <row r="11" spans="1:11" x14ac:dyDescent="0.2">
      <c r="A11" s="2247" t="s">
        <v>160</v>
      </c>
      <c r="B11" s="2220"/>
      <c r="C11" s="2220"/>
      <c r="D11" s="2220"/>
      <c r="E11" s="2248"/>
      <c r="F11" s="770" t="s">
        <v>852</v>
      </c>
      <c r="G11" s="771"/>
      <c r="H11" s="764"/>
      <c r="I11" s="764"/>
      <c r="J11" s="765"/>
      <c r="K11" s="773"/>
    </row>
    <row r="12" spans="1:11" ht="13.5" thickBot="1" x14ac:dyDescent="0.25">
      <c r="A12" s="2237" t="s">
        <v>905</v>
      </c>
      <c r="B12" s="2238"/>
      <c r="C12" s="2238"/>
      <c r="D12" s="2238"/>
      <c r="E12" s="2239"/>
      <c r="F12" s="1757"/>
      <c r="G12" s="1758">
        <f>SUM(G5:G11)</f>
        <v>0</v>
      </c>
      <c r="H12" s="1758">
        <f>SUM(H5:H11)</f>
        <v>247367</v>
      </c>
      <c r="I12" s="1758">
        <f>SUM(I5:I11)</f>
        <v>0</v>
      </c>
      <c r="J12" s="1758">
        <f>SUM(J5:J11)</f>
        <v>0</v>
      </c>
      <c r="K12" s="1758">
        <f>SUM(K5:K11)</f>
        <v>38718</v>
      </c>
    </row>
    <row r="13" spans="1:11" ht="13.5" thickTop="1" x14ac:dyDescent="0.2">
      <c r="A13" s="2231" t="s">
        <v>370</v>
      </c>
      <c r="B13" s="2232"/>
      <c r="C13" s="2232"/>
      <c r="D13" s="2232"/>
      <c r="E13" s="2233"/>
      <c r="F13" s="785"/>
      <c r="G13" s="786"/>
      <c r="H13" s="787"/>
      <c r="I13" s="788"/>
      <c r="J13" s="788"/>
      <c r="K13" s="788"/>
    </row>
    <row r="14" spans="1:11" x14ac:dyDescent="0.2">
      <c r="A14" s="2253" t="s">
        <v>456</v>
      </c>
      <c r="B14" s="2253"/>
      <c r="C14" s="2253"/>
      <c r="D14" s="2253"/>
      <c r="E14" s="2254"/>
      <c r="F14" s="789" t="s">
        <v>854</v>
      </c>
      <c r="G14" s="782"/>
      <c r="H14" s="764">
        <v>247367</v>
      </c>
      <c r="I14" s="771"/>
      <c r="J14" s="773"/>
      <c r="K14" s="765">
        <v>38718</v>
      </c>
    </row>
    <row r="15" spans="1:11" x14ac:dyDescent="0.2">
      <c r="A15" s="2220" t="s">
        <v>4</v>
      </c>
      <c r="B15" s="2220"/>
      <c r="C15" s="2220"/>
      <c r="D15" s="2220"/>
      <c r="E15" s="2248"/>
      <c r="F15" s="789" t="s">
        <v>855</v>
      </c>
      <c r="G15" s="771"/>
      <c r="H15" s="764"/>
      <c r="I15" s="764"/>
      <c r="J15" s="765"/>
      <c r="K15" s="765"/>
    </row>
    <row r="16" spans="1:11" x14ac:dyDescent="0.2">
      <c r="A16" s="2220" t="s">
        <v>298</v>
      </c>
      <c r="B16" s="2220"/>
      <c r="C16" s="2220"/>
      <c r="D16" s="2220"/>
      <c r="E16" s="2248"/>
      <c r="F16" s="789" t="s">
        <v>923</v>
      </c>
      <c r="G16" s="772"/>
      <c r="H16" s="767"/>
      <c r="I16" s="767"/>
      <c r="J16" s="769"/>
      <c r="K16" s="769"/>
    </row>
    <row r="17" spans="1:11" x14ac:dyDescent="0.2">
      <c r="A17" s="2242" t="s">
        <v>935</v>
      </c>
      <c r="B17" s="2242"/>
      <c r="C17" s="2242"/>
      <c r="D17" s="2242"/>
      <c r="E17" s="2243"/>
      <c r="F17" s="790"/>
      <c r="G17" s="791"/>
      <c r="H17" s="792"/>
      <c r="I17" s="792"/>
      <c r="J17" s="793"/>
      <c r="K17" s="794"/>
    </row>
    <row r="18" spans="1:11" x14ac:dyDescent="0.2">
      <c r="A18" s="2234" t="s">
        <v>368</v>
      </c>
      <c r="B18" s="2235"/>
      <c r="C18" s="2235"/>
      <c r="D18" s="2235"/>
      <c r="E18" s="2236"/>
      <c r="F18" s="789" t="s">
        <v>932</v>
      </c>
      <c r="G18" s="782"/>
      <c r="H18" s="782"/>
      <c r="I18" s="782"/>
      <c r="J18" s="765"/>
      <c r="K18" s="795"/>
    </row>
    <row r="19" spans="1:11" ht="21.75" customHeight="1" x14ac:dyDescent="0.2">
      <c r="A19" s="2255" t="s">
        <v>1803</v>
      </c>
      <c r="B19" s="2255"/>
      <c r="C19" s="2255"/>
      <c r="D19" s="2255"/>
      <c r="E19" s="2256"/>
      <c r="F19" s="789" t="s">
        <v>933</v>
      </c>
      <c r="G19" s="782"/>
      <c r="H19" s="782"/>
      <c r="I19" s="782"/>
      <c r="J19" s="765"/>
      <c r="K19" s="795"/>
    </row>
    <row r="20" spans="1:11" x14ac:dyDescent="0.2">
      <c r="A20" s="2234" t="s">
        <v>1808</v>
      </c>
      <c r="B20" s="2235"/>
      <c r="C20" s="2235"/>
      <c r="D20" s="2235"/>
      <c r="E20" s="2236"/>
      <c r="F20" s="789" t="s">
        <v>934</v>
      </c>
      <c r="G20" s="782"/>
      <c r="H20" s="782"/>
      <c r="I20" s="782"/>
      <c r="J20" s="765"/>
      <c r="K20" s="795"/>
    </row>
    <row r="21" spans="1:11" ht="13.5" thickBot="1" x14ac:dyDescent="0.25">
      <c r="A21" s="2240" t="s">
        <v>638</v>
      </c>
      <c r="B21" s="2240"/>
      <c r="C21" s="2240"/>
      <c r="D21" s="2240"/>
      <c r="E21" s="2240"/>
      <c r="F21" s="1759"/>
      <c r="G21" s="792"/>
      <c r="H21" s="796"/>
      <c r="I21" s="796"/>
      <c r="J21" s="1760">
        <f>SUM(J18:J20)</f>
        <v>0</v>
      </c>
      <c r="K21" s="793"/>
    </row>
    <row r="22" spans="1:11" ht="13.5" thickTop="1" x14ac:dyDescent="0.2">
      <c r="A22" s="2220" t="s">
        <v>1809</v>
      </c>
      <c r="B22" s="2220"/>
      <c r="C22" s="2220"/>
      <c r="D22" s="2220"/>
      <c r="E22" s="2248"/>
      <c r="F22" s="789" t="s">
        <v>862</v>
      </c>
      <c r="G22" s="782"/>
      <c r="H22" s="764"/>
      <c r="I22" s="764"/>
      <c r="J22" s="797"/>
      <c r="K22" s="765"/>
    </row>
    <row r="23" spans="1:11" ht="13.5" thickBot="1" x14ac:dyDescent="0.25">
      <c r="A23" s="2241" t="s">
        <v>906</v>
      </c>
      <c r="B23" s="2240"/>
      <c r="C23" s="2240"/>
      <c r="D23" s="2240"/>
      <c r="E23" s="2240"/>
      <c r="F23" s="1761"/>
      <c r="G23" s="1758">
        <f>SUM(G14:G16,G21,G22)</f>
        <v>0</v>
      </c>
      <c r="H23" s="1758">
        <f>SUM(H14:H16,H21,H22)</f>
        <v>247367</v>
      </c>
      <c r="I23" s="1758">
        <f>SUM(I14:I16,I21,I22)</f>
        <v>0</v>
      </c>
      <c r="J23" s="1758">
        <f>SUM(J14:J16,J21,J22)</f>
        <v>0</v>
      </c>
      <c r="K23" s="1758">
        <f>SUM(K14:K16,K21,K22)</f>
        <v>38718</v>
      </c>
    </row>
    <row r="24" spans="1:11" ht="14.25" thickTop="1" thickBot="1" x14ac:dyDescent="0.25">
      <c r="A24" s="2241" t="s">
        <v>1959</v>
      </c>
      <c r="B24" s="2240"/>
      <c r="C24" s="2240"/>
      <c r="D24" s="2240"/>
      <c r="E24" s="2240"/>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1904</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2080</v>
      </c>
      <c r="E30" s="808" t="s">
        <v>768</v>
      </c>
      <c r="F30" s="202"/>
      <c r="G30" s="805"/>
    </row>
    <row r="31" spans="1:11" x14ac:dyDescent="0.2">
      <c r="A31" s="809"/>
      <c r="D31" s="237"/>
      <c r="E31" s="810" t="s">
        <v>769</v>
      </c>
      <c r="F31" s="811" t="s">
        <v>539</v>
      </c>
      <c r="G31" s="764"/>
      <c r="H31" s="2250"/>
      <c r="I31" s="2251"/>
      <c r="J31" s="2251"/>
      <c r="K31" s="2251"/>
    </row>
    <row r="32" spans="1:11" x14ac:dyDescent="0.2">
      <c r="A32" s="809"/>
      <c r="B32" s="237"/>
      <c r="C32" s="237"/>
      <c r="D32" s="237"/>
      <c r="E32" s="805"/>
      <c r="F32" s="811" t="s">
        <v>540</v>
      </c>
      <c r="G32" s="764"/>
      <c r="H32" s="2252"/>
      <c r="I32" s="2251"/>
      <c r="J32" s="2251"/>
      <c r="K32" s="2251"/>
    </row>
    <row r="33" spans="1:11" ht="1.5" customHeight="1" x14ac:dyDescent="0.2">
      <c r="A33" s="812" t="s">
        <v>1169</v>
      </c>
      <c r="B33" s="364"/>
      <c r="C33" s="364"/>
      <c r="D33" s="364"/>
      <c r="E33" s="364"/>
      <c r="F33" s="364"/>
      <c r="G33" s="813"/>
      <c r="H33" s="2252"/>
      <c r="I33" s="2251"/>
      <c r="J33" s="2251"/>
      <c r="K33" s="2251"/>
    </row>
    <row r="34" spans="1:11" x14ac:dyDescent="0.2">
      <c r="A34" s="814" t="s">
        <v>1810</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0" t="s">
        <v>541</v>
      </c>
      <c r="B41" s="2221"/>
      <c r="C41" s="2221"/>
      <c r="D41" s="2221"/>
      <c r="E41" s="2221"/>
      <c r="F41" s="222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1804</v>
      </c>
      <c r="B46" s="408" t="s">
        <v>1672</v>
      </c>
    </row>
    <row r="47" spans="1:11" s="823" customFormat="1" ht="12.75" customHeight="1" x14ac:dyDescent="0.2">
      <c r="A47" s="821"/>
      <c r="B47" s="822" t="s">
        <v>1673</v>
      </c>
      <c r="E47" s="822"/>
      <c r="K47" s="824"/>
    </row>
    <row r="48" spans="1:11" ht="12.75" customHeight="1" x14ac:dyDescent="0.2">
      <c r="A48" s="1532" t="s">
        <v>1805</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1903</v>
      </c>
      <c r="B1" s="2260"/>
      <c r="C1" s="2261"/>
      <c r="D1" s="826"/>
      <c r="E1" s="827"/>
      <c r="F1" s="827"/>
      <c r="G1" s="828"/>
      <c r="H1" s="829"/>
      <c r="I1" s="830"/>
      <c r="J1" s="2257"/>
      <c r="K1" s="2258"/>
      <c r="L1" s="2258"/>
    </row>
    <row r="2" spans="1:14" ht="69.75" customHeight="1" x14ac:dyDescent="0.2">
      <c r="A2" s="831" t="s">
        <v>1675</v>
      </c>
      <c r="B2" s="832" t="s">
        <v>378</v>
      </c>
      <c r="C2" s="833" t="s">
        <v>1960</v>
      </c>
      <c r="D2" s="833" t="s">
        <v>1961</v>
      </c>
      <c r="E2" s="833" t="s">
        <v>1962</v>
      </c>
      <c r="F2" s="833" t="s">
        <v>1963</v>
      </c>
      <c r="G2" s="833" t="s">
        <v>605</v>
      </c>
      <c r="H2" s="833" t="s">
        <v>1964</v>
      </c>
      <c r="I2" s="833" t="s">
        <v>1965</v>
      </c>
      <c r="J2" s="833" t="s">
        <v>1966</v>
      </c>
      <c r="K2" s="833" t="s">
        <v>1967</v>
      </c>
      <c r="L2" s="833" t="s">
        <v>1968</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4968870</v>
      </c>
      <c r="D5" s="841"/>
      <c r="E5" s="841"/>
      <c r="F5" s="1760">
        <f>(C5+D5)-E5</f>
        <v>4968870</v>
      </c>
      <c r="G5" s="837"/>
      <c r="H5" s="842"/>
      <c r="I5" s="842"/>
      <c r="J5" s="842"/>
      <c r="K5" s="793"/>
      <c r="L5" s="1769">
        <f>F5-K5</f>
        <v>4968870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46773634</v>
      </c>
      <c r="D8" s="844">
        <v>2967440</v>
      </c>
      <c r="E8" s="844"/>
      <c r="F8" s="1760">
        <f>(C8+D8)-E8</f>
        <v>49741074</v>
      </c>
      <c r="G8" s="843">
        <v>50</v>
      </c>
      <c r="H8" s="765">
        <v>15420425</v>
      </c>
      <c r="I8" s="765">
        <v>889915</v>
      </c>
      <c r="J8" s="765"/>
      <c r="K8" s="1769">
        <f>(H8+I8)-J8</f>
        <v>16310340</v>
      </c>
      <c r="L8" s="1769">
        <f>F8-K8</f>
        <v>33430734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8262691</v>
      </c>
      <c r="D10" s="846">
        <v>52314</v>
      </c>
      <c r="E10" s="846">
        <v>73468</v>
      </c>
      <c r="F10" s="1764">
        <f>(C10+D10)-E10</f>
        <v>8241537</v>
      </c>
      <c r="G10" s="843">
        <v>20</v>
      </c>
      <c r="H10" s="847">
        <v>1548997</v>
      </c>
      <c r="I10" s="847">
        <v>415750</v>
      </c>
      <c r="J10" s="847">
        <v>73468</v>
      </c>
      <c r="K10" s="1769">
        <f>(H10+I10)-J10</f>
        <v>1891279</v>
      </c>
      <c r="L10" s="1769">
        <f>F10-K10</f>
        <v>6350258</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6500406</v>
      </c>
      <c r="D12" s="844">
        <v>741583</v>
      </c>
      <c r="E12" s="844">
        <v>100415</v>
      </c>
      <c r="F12" s="1760">
        <f>(C12+D12)-E12</f>
        <v>7141574</v>
      </c>
      <c r="G12" s="843">
        <v>10</v>
      </c>
      <c r="H12" s="765">
        <v>2839322</v>
      </c>
      <c r="I12" s="765">
        <v>724199</v>
      </c>
      <c r="J12" s="765">
        <v>100415</v>
      </c>
      <c r="K12" s="1769">
        <f>(H12+I12)-J12</f>
        <v>3463106</v>
      </c>
      <c r="L12" s="1769">
        <f>F12-K12</f>
        <v>3678468</v>
      </c>
    </row>
    <row r="13" spans="1:14" ht="14.25" thickTop="1" thickBot="1" x14ac:dyDescent="0.25">
      <c r="A13" s="848" t="s">
        <v>1122</v>
      </c>
      <c r="B13" s="840">
        <v>252</v>
      </c>
      <c r="C13" s="844">
        <v>702265</v>
      </c>
      <c r="D13" s="844">
        <v>140459</v>
      </c>
      <c r="E13" s="844">
        <v>29200</v>
      </c>
      <c r="F13" s="1760">
        <f>(C13+D13)-E13</f>
        <v>813524</v>
      </c>
      <c r="G13" s="843">
        <v>5</v>
      </c>
      <c r="H13" s="765">
        <v>200204</v>
      </c>
      <c r="I13" s="765">
        <v>168544</v>
      </c>
      <c r="J13" s="765">
        <v>29200</v>
      </c>
      <c r="K13" s="1769">
        <f>(H13+I13)-J13</f>
        <v>339548</v>
      </c>
      <c r="L13" s="1769">
        <f>F13-K13</f>
        <v>473976</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268649</v>
      </c>
      <c r="D15" s="844">
        <v>495271</v>
      </c>
      <c r="E15" s="844">
        <v>418625</v>
      </c>
      <c r="F15" s="1760">
        <f>(C15+D15)-E15</f>
        <v>345295</v>
      </c>
      <c r="G15" s="849" t="s">
        <v>862</v>
      </c>
      <c r="H15" s="781"/>
      <c r="I15" s="781"/>
      <c r="J15" s="781"/>
      <c r="K15" s="781"/>
      <c r="L15" s="1769">
        <f>F15-K15</f>
        <v>345295</v>
      </c>
    </row>
    <row r="16" spans="1:14" ht="15" customHeight="1" thickTop="1" thickBot="1" x14ac:dyDescent="0.25">
      <c r="A16" s="1765" t="s">
        <v>643</v>
      </c>
      <c r="B16" s="1766">
        <v>200</v>
      </c>
      <c r="C16" s="1760">
        <f>SUM(C3,C5:C6,C8:C10,C12:C15)</f>
        <v>67476515</v>
      </c>
      <c r="D16" s="1760">
        <f>SUM(D3,D5:D6,D8:D10,D12:D15)</f>
        <v>4397067</v>
      </c>
      <c r="E16" s="1760">
        <f>SUM(E3,E5:E6,E8:E10,E12:E15)</f>
        <v>621708</v>
      </c>
      <c r="F16" s="1760">
        <f>SUM(F3,F5:F6,F8:F10,F12:F15)</f>
        <v>71251874</v>
      </c>
      <c r="G16" s="843"/>
      <c r="H16" s="1760">
        <f>SUM(H3,H6,H8:H10,H12:H14,)</f>
        <v>20008948</v>
      </c>
      <c r="I16" s="1760">
        <f>SUM(I3,I6,I8:I10,I12:I14,)</f>
        <v>2198408</v>
      </c>
      <c r="J16" s="1760">
        <f>SUM(J3,J6,J8:J10,J12:J14,)</f>
        <v>203083</v>
      </c>
      <c r="K16" s="1760">
        <f>(H16+I16)-J16</f>
        <v>22004273</v>
      </c>
      <c r="L16" s="1760">
        <f>F16-K16</f>
        <v>49247601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2371</v>
      </c>
      <c r="G17" s="837">
        <v>10</v>
      </c>
      <c r="H17" s="769"/>
      <c r="I17" s="1769">
        <f>F17/G17</f>
        <v>237.1</v>
      </c>
      <c r="J17" s="769"/>
      <c r="K17" s="795"/>
      <c r="L17" s="795"/>
    </row>
    <row r="18" spans="1:12" ht="14.25" thickTop="1" thickBot="1" x14ac:dyDescent="0.25">
      <c r="A18" s="1767" t="s">
        <v>685</v>
      </c>
      <c r="B18" s="1768"/>
      <c r="C18" s="771"/>
      <c r="D18" s="771"/>
      <c r="E18" s="771"/>
      <c r="F18" s="850"/>
      <c r="G18" s="851"/>
      <c r="H18" s="773"/>
      <c r="I18" s="1760">
        <f>SUM(I16,I17)</f>
        <v>2198645.1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workbookViewId="0">
      <selection sqref="A1:F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1969</v>
      </c>
      <c r="B1" s="2266"/>
      <c r="C1" s="2266"/>
      <c r="D1" s="2266"/>
      <c r="E1" s="2266"/>
      <c r="F1" s="2267"/>
      <c r="G1" s="855"/>
    </row>
    <row r="2" spans="1:7" ht="15" customHeight="1" thickBot="1" x14ac:dyDescent="0.25">
      <c r="A2" s="2268" t="s">
        <v>477</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1"/>
      <c r="B5" s="2272"/>
      <c r="C5" s="2272"/>
      <c r="D5" s="2272"/>
      <c r="E5" s="2272"/>
      <c r="F5" s="2272"/>
    </row>
    <row r="6" spans="1:7" ht="13.5" customHeight="1" thickBot="1" x14ac:dyDescent="0.25">
      <c r="A6" s="2262" t="s">
        <v>1104</v>
      </c>
      <c r="B6" s="2263"/>
      <c r="C6" s="2263"/>
      <c r="D6" s="2263"/>
      <c r="E6" s="2263"/>
      <c r="F6" s="2264"/>
      <c r="G6" s="865"/>
    </row>
    <row r="7" spans="1:7" s="865" customFormat="1" ht="12" thickTop="1" x14ac:dyDescent="0.2">
      <c r="A7" s="866" t="s">
        <v>502</v>
      </c>
      <c r="B7" s="867"/>
      <c r="C7" s="868"/>
      <c r="D7" s="867"/>
      <c r="E7" s="868"/>
      <c r="F7" s="867"/>
    </row>
    <row r="8" spans="1:7" x14ac:dyDescent="0.2">
      <c r="A8" s="869" t="s">
        <v>459</v>
      </c>
      <c r="B8" s="870" t="s">
        <v>1465</v>
      </c>
      <c r="C8" s="871"/>
      <c r="D8" s="869" t="s">
        <v>501</v>
      </c>
      <c r="E8" s="868" t="s">
        <v>958</v>
      </c>
      <c r="F8" s="1908">
        <f>'Expenditures 15-22'!K114</f>
        <v>26882011</v>
      </c>
      <c r="G8" s="865"/>
    </row>
    <row r="9" spans="1:7" x14ac:dyDescent="0.2">
      <c r="A9" s="869" t="s">
        <v>460</v>
      </c>
      <c r="B9" s="870" t="s">
        <v>1871</v>
      </c>
      <c r="C9" s="871"/>
      <c r="D9" s="869" t="s">
        <v>501</v>
      </c>
      <c r="E9" s="868"/>
      <c r="F9" s="1909">
        <f>'Expenditures 15-22'!K151</f>
        <v>5672774</v>
      </c>
      <c r="G9" s="872"/>
    </row>
    <row r="10" spans="1:7" x14ac:dyDescent="0.2">
      <c r="A10" s="869" t="s">
        <v>499</v>
      </c>
      <c r="B10" s="870" t="s">
        <v>1872</v>
      </c>
      <c r="C10" s="871"/>
      <c r="D10" s="869" t="s">
        <v>501</v>
      </c>
      <c r="E10" s="868"/>
      <c r="F10" s="1909">
        <f>'Expenditures 15-22'!K174</f>
        <v>1602108</v>
      </c>
      <c r="G10" s="872"/>
    </row>
    <row r="11" spans="1:7" x14ac:dyDescent="0.2">
      <c r="A11" s="869" t="s">
        <v>461</v>
      </c>
      <c r="B11" s="870" t="s">
        <v>1873</v>
      </c>
      <c r="C11" s="871"/>
      <c r="D11" s="869" t="s">
        <v>501</v>
      </c>
      <c r="E11" s="868"/>
      <c r="F11" s="1909">
        <f>'Expenditures 15-22'!K210</f>
        <v>1151900</v>
      </c>
      <c r="G11" s="872"/>
    </row>
    <row r="12" spans="1:7" x14ac:dyDescent="0.2">
      <c r="A12" s="869" t="s">
        <v>462</v>
      </c>
      <c r="B12" s="870" t="s">
        <v>1874</v>
      </c>
      <c r="C12" s="871"/>
      <c r="D12" s="869" t="s">
        <v>501</v>
      </c>
      <c r="E12" s="868"/>
      <c r="F12" s="1909">
        <f>'Expenditures 15-22'!K295</f>
        <v>997558</v>
      </c>
      <c r="G12" s="872"/>
    </row>
    <row r="13" spans="1:7" x14ac:dyDescent="0.2">
      <c r="A13" s="869" t="s">
        <v>106</v>
      </c>
      <c r="B13" s="870" t="s">
        <v>1875</v>
      </c>
      <c r="C13" s="871"/>
      <c r="D13" s="869" t="s">
        <v>501</v>
      </c>
      <c r="E13" s="868"/>
      <c r="F13" s="1909">
        <f>'Expenditures 15-22'!K342</f>
        <v>358594</v>
      </c>
      <c r="G13" s="873"/>
    </row>
    <row r="14" spans="1:7" ht="12" customHeight="1" thickBot="1" x14ac:dyDescent="0.25">
      <c r="A14" s="1770"/>
      <c r="B14" s="1771"/>
      <c r="C14" s="1772"/>
      <c r="D14" s="1773" t="s">
        <v>501</v>
      </c>
      <c r="E14" s="1774" t="s">
        <v>958</v>
      </c>
      <c r="F14" s="1775">
        <f>SUM(F8:F13)</f>
        <v>36664945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1993</v>
      </c>
      <c r="C30" s="880">
        <f>'Revenues 9-14'!B150</f>
        <v>3499</v>
      </c>
      <c r="D30" s="881" t="str">
        <f>'Revenues 9-14'!A150</f>
        <v>Adult Ed - Other (Describe &amp; Itemize)</v>
      </c>
      <c r="E30" s="868"/>
      <c r="F30" s="1914">
        <f>('Revenues 9-14'!D150+'Revenues 9-14'!F150)</f>
        <v>0</v>
      </c>
      <c r="G30" s="865"/>
    </row>
    <row r="31" spans="1:7" x14ac:dyDescent="0.2">
      <c r="A31" s="869" t="s">
        <v>1097</v>
      </c>
      <c r="B31" s="870" t="s">
        <v>1994</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1995</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1996</v>
      </c>
      <c r="C33" s="875">
        <f>'Revenues 9-14'!B222</f>
        <v>4810</v>
      </c>
      <c r="D33" s="883" t="str">
        <f>'Revenues 9-14'!A222</f>
        <v>Federal - Adult Education</v>
      </c>
      <c r="E33" s="868"/>
      <c r="F33" s="1913">
        <f>'Revenues 9-14'!D222</f>
        <v>0</v>
      </c>
      <c r="G33" s="865"/>
    </row>
    <row r="34" spans="1:7" x14ac:dyDescent="0.2">
      <c r="A34" s="869" t="s">
        <v>459</v>
      </c>
      <c r="B34" s="869" t="s">
        <v>1466</v>
      </c>
      <c r="C34" s="886" t="str">
        <f>'Expenditures 15-22'!B7</f>
        <v>1125</v>
      </c>
      <c r="D34" s="887" t="str">
        <f>'Expenditures 15-22'!A7</f>
        <v>Pre-K Programs</v>
      </c>
      <c r="E34" s="868"/>
      <c r="F34" s="1913">
        <f>'Expenditures 15-22'!K7-SUM('Expenditures 15-22'!G7,'Expenditures 15-22'!I7)</f>
        <v>130795</v>
      </c>
      <c r="G34" s="865"/>
    </row>
    <row r="35" spans="1:7" x14ac:dyDescent="0.2">
      <c r="A35" s="869" t="s">
        <v>459</v>
      </c>
      <c r="B35" s="869" t="s">
        <v>1467</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1468</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1469</v>
      </c>
      <c r="C38" s="886">
        <f>'Expenditures 15-22'!B15</f>
        <v>1600</v>
      </c>
      <c r="D38" s="888" t="str">
        <f>'Expenditures 15-22'!A15</f>
        <v>Summer School Programs</v>
      </c>
      <c r="E38" s="868"/>
      <c r="F38" s="1913">
        <f>'Expenditures 15-22'!K15-SUM('Expenditures 15-22'!G15,'Expenditures 15-22'!I15)</f>
        <v>50909</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1470</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1471</v>
      </c>
      <c r="C52" s="889" t="str">
        <f>'Expenditures 15-22'!B75</f>
        <v>3000</v>
      </c>
      <c r="D52" s="888" t="s">
        <v>449</v>
      </c>
      <c r="E52" s="868"/>
      <c r="F52" s="1913">
        <f>'Expenditures 15-22'!K75-SUM('Expenditures 15-22'!G75,'Expenditures 15-22'!I75)</f>
        <v>17571</v>
      </c>
      <c r="G52" s="865"/>
    </row>
    <row r="53" spans="1:7" x14ac:dyDescent="0.2">
      <c r="A53" s="869" t="s">
        <v>459</v>
      </c>
      <c r="B53" s="869" t="s">
        <v>1472</v>
      </c>
      <c r="C53" s="889">
        <f>'Expenditures 15-22'!B102</f>
        <v>4000</v>
      </c>
      <c r="D53" s="888" t="str">
        <f>'Expenditures 15-22'!A102</f>
        <v>Total Payments to Other Govt Units</v>
      </c>
      <c r="E53" s="868"/>
      <c r="F53" s="1913">
        <f>'Expenditures 15-22'!K102</f>
        <v>270846</v>
      </c>
      <c r="G53" s="865"/>
    </row>
    <row r="54" spans="1:7" x14ac:dyDescent="0.2">
      <c r="A54" s="869" t="s">
        <v>459</v>
      </c>
      <c r="B54" s="869" t="s">
        <v>1473</v>
      </c>
      <c r="C54" s="889" t="s">
        <v>982</v>
      </c>
      <c r="D54" s="885" t="s">
        <v>1095</v>
      </c>
      <c r="E54" s="868"/>
      <c r="F54" s="1913">
        <f>'Expenditures 15-22'!G114</f>
        <v>609454</v>
      </c>
      <c r="G54" s="865"/>
    </row>
    <row r="55" spans="1:7" x14ac:dyDescent="0.2">
      <c r="A55" s="869" t="s">
        <v>459</v>
      </c>
      <c r="B55" s="869" t="s">
        <v>1474</v>
      </c>
      <c r="C55" s="889" t="s">
        <v>982</v>
      </c>
      <c r="D55" s="885" t="s">
        <v>291</v>
      </c>
      <c r="E55" s="868"/>
      <c r="F55" s="1913">
        <f>'Expenditures 15-22'!I114</f>
        <v>2371</v>
      </c>
      <c r="G55" s="865"/>
    </row>
    <row r="56" spans="1:7" x14ac:dyDescent="0.2">
      <c r="A56" s="869" t="s">
        <v>460</v>
      </c>
      <c r="B56" s="869" t="s">
        <v>1475</v>
      </c>
      <c r="C56" s="886" t="str">
        <f>'Expenditures 15-22'!B130</f>
        <v>3000</v>
      </c>
      <c r="D56" s="892" t="s">
        <v>449</v>
      </c>
      <c r="E56" s="868"/>
      <c r="F56" s="1913">
        <f>'Expenditures 15-22'!K130-SUM('Expenditures 15-22'!G130+'Expenditures 15-22'!I130)</f>
        <v>0</v>
      </c>
      <c r="G56" s="865"/>
    </row>
    <row r="57" spans="1:7" x14ac:dyDescent="0.2">
      <c r="A57" s="869" t="s">
        <v>460</v>
      </c>
      <c r="B57" s="869" t="s">
        <v>1876</v>
      </c>
      <c r="C57" s="889">
        <f>'Expenditures 15-22'!B139</f>
        <v>4000</v>
      </c>
      <c r="D57" s="887" t="str">
        <f>'Expenditures 15-22'!A139</f>
        <v>Total Payments to Other Govt Units</v>
      </c>
      <c r="E57" s="868"/>
      <c r="F57" s="1913">
        <f>'Expenditures 15-22'!K139</f>
        <v>0</v>
      </c>
      <c r="G57" s="865"/>
    </row>
    <row r="58" spans="1:7" x14ac:dyDescent="0.2">
      <c r="A58" s="869" t="s">
        <v>460</v>
      </c>
      <c r="B58" s="869" t="s">
        <v>1877</v>
      </c>
      <c r="C58" s="886" t="s">
        <v>982</v>
      </c>
      <c r="D58" s="885" t="s">
        <v>1095</v>
      </c>
      <c r="E58" s="868"/>
      <c r="F58" s="1915">
        <f>'Expenditures 15-22'!G151</f>
        <v>2750329</v>
      </c>
      <c r="G58" s="865"/>
    </row>
    <row r="59" spans="1:7" x14ac:dyDescent="0.2">
      <c r="A59" s="893" t="s">
        <v>460</v>
      </c>
      <c r="B59" s="856" t="s">
        <v>1878</v>
      </c>
      <c r="C59" s="894" t="s">
        <v>982</v>
      </c>
      <c r="D59" s="856" t="s">
        <v>291</v>
      </c>
      <c r="F59" s="1916">
        <f>'Expenditures 15-22'!I151</f>
        <v>0</v>
      </c>
      <c r="G59" s="865"/>
    </row>
    <row r="60" spans="1:7" x14ac:dyDescent="0.2">
      <c r="A60" s="893" t="s">
        <v>499</v>
      </c>
      <c r="B60" s="856" t="s">
        <v>1879</v>
      </c>
      <c r="C60" s="894">
        <v>4000</v>
      </c>
      <c r="D60" s="856" t="s">
        <v>312</v>
      </c>
      <c r="F60" s="1914">
        <f>'Expenditures 15-22'!K160</f>
        <v>0</v>
      </c>
      <c r="G60" s="865"/>
    </row>
    <row r="61" spans="1:7" x14ac:dyDescent="0.2">
      <c r="A61" s="895" t="s">
        <v>499</v>
      </c>
      <c r="B61" s="895" t="s">
        <v>1880</v>
      </c>
      <c r="C61" s="896" t="str">
        <f>'Expenditures 15-22'!B170</f>
        <v>5300</v>
      </c>
      <c r="D61" s="897" t="s">
        <v>311</v>
      </c>
      <c r="E61" s="879"/>
      <c r="F61" s="1913">
        <f>'Expenditures 15-22'!K170</f>
        <v>1483125</v>
      </c>
      <c r="G61" s="865"/>
    </row>
    <row r="62" spans="1:7" x14ac:dyDescent="0.2">
      <c r="A62" s="869" t="s">
        <v>461</v>
      </c>
      <c r="B62" s="869" t="s">
        <v>1881</v>
      </c>
      <c r="C62" s="886">
        <f>'Expenditures 15-22'!B185</f>
        <v>3000</v>
      </c>
      <c r="D62" s="876" t="s">
        <v>449</v>
      </c>
      <c r="E62" s="868"/>
      <c r="F62" s="1913">
        <f>'Expenditures 15-22'!K185-SUM('Expenditures 15-22'!G185,'Expenditures 15-22'!I185)</f>
        <v>0</v>
      </c>
      <c r="G62" s="865"/>
    </row>
    <row r="63" spans="1:7" x14ac:dyDescent="0.2">
      <c r="A63" s="869" t="s">
        <v>461</v>
      </c>
      <c r="B63" s="869" t="s">
        <v>1882</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1883</v>
      </c>
      <c r="C64" s="896" t="str">
        <f>'Expenditures 15-22'!B206</f>
        <v>5300</v>
      </c>
      <c r="D64" s="892" t="s">
        <v>311</v>
      </c>
      <c r="E64" s="868"/>
      <c r="F64" s="1913">
        <f>'Expenditures 15-22'!K206</f>
        <v>180862</v>
      </c>
      <c r="G64" s="865"/>
    </row>
    <row r="65" spans="1:8" x14ac:dyDescent="0.2">
      <c r="A65" s="869" t="s">
        <v>461</v>
      </c>
      <c r="B65" s="869" t="s">
        <v>1884</v>
      </c>
      <c r="C65" s="886" t="s">
        <v>982</v>
      </c>
      <c r="D65" s="885" t="s">
        <v>1095</v>
      </c>
      <c r="E65" s="868"/>
      <c r="F65" s="1913">
        <f>'Expenditures 15-22'!G210</f>
        <v>115424</v>
      </c>
      <c r="G65" s="865"/>
    </row>
    <row r="66" spans="1:8" x14ac:dyDescent="0.2">
      <c r="A66" s="869" t="s">
        <v>461</v>
      </c>
      <c r="B66" s="869" t="s">
        <v>1885</v>
      </c>
      <c r="C66" s="886" t="s">
        <v>982</v>
      </c>
      <c r="D66" s="885" t="s">
        <v>291</v>
      </c>
      <c r="E66" s="868"/>
      <c r="F66" s="1913">
        <f>'Expenditures 15-22'!I210</f>
        <v>0</v>
      </c>
      <c r="G66" s="865"/>
    </row>
    <row r="67" spans="1:8" x14ac:dyDescent="0.2">
      <c r="A67" s="869" t="s">
        <v>462</v>
      </c>
      <c r="B67" s="869" t="s">
        <v>1886</v>
      </c>
      <c r="C67" s="886" t="str">
        <f>'Expenditures 15-22'!B216</f>
        <v>1125</v>
      </c>
      <c r="D67" s="892" t="str">
        <f>'Expenditures 15-22'!A216</f>
        <v>Pre-K Programs</v>
      </c>
      <c r="E67" s="868"/>
      <c r="F67" s="1913">
        <f>'Expenditures 15-22'!K216</f>
        <v>5964</v>
      </c>
      <c r="G67" s="865"/>
    </row>
    <row r="68" spans="1:8" x14ac:dyDescent="0.2">
      <c r="A68" s="869" t="s">
        <v>462</v>
      </c>
      <c r="B68" s="869" t="s">
        <v>1476</v>
      </c>
      <c r="C68" s="886" t="str">
        <f>'Expenditures 15-22'!B218</f>
        <v>1225</v>
      </c>
      <c r="D68" s="892" t="str">
        <f>'Expenditures 15-22'!A218</f>
        <v>Special Education Programs - Pre-K</v>
      </c>
      <c r="E68" s="868"/>
      <c r="F68" s="1913">
        <f>'Expenditures 15-22'!K218</f>
        <v>0</v>
      </c>
      <c r="G68" s="865"/>
    </row>
    <row r="69" spans="1:8" x14ac:dyDescent="0.2">
      <c r="A69" s="869" t="s">
        <v>462</v>
      </c>
      <c r="B69" s="869" t="s">
        <v>1887</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1888</v>
      </c>
      <c r="C70" s="886">
        <f>'Expenditures 15-22'!B221</f>
        <v>1300</v>
      </c>
      <c r="D70" s="887" t="str">
        <f>'Expenditures 15-22'!A221</f>
        <v>Adult/Continuing Education Programs</v>
      </c>
      <c r="E70" s="868"/>
      <c r="F70" s="1913">
        <f>'Expenditures 15-22'!K221</f>
        <v>0</v>
      </c>
      <c r="G70" s="865"/>
    </row>
    <row r="71" spans="1:8" x14ac:dyDescent="0.2">
      <c r="A71" s="869" t="s">
        <v>462</v>
      </c>
      <c r="B71" s="869" t="s">
        <v>1889</v>
      </c>
      <c r="C71" s="886">
        <f>'Expenditures 15-22'!B224</f>
        <v>1600</v>
      </c>
      <c r="D71" s="887" t="str">
        <f>'Expenditures 15-22'!A224</f>
        <v>Summer School Programs</v>
      </c>
      <c r="E71" s="868"/>
      <c r="F71" s="1913">
        <f>'Expenditures 15-22'!K224</f>
        <v>3677</v>
      </c>
      <c r="G71" s="865"/>
    </row>
    <row r="72" spans="1:8" x14ac:dyDescent="0.2">
      <c r="A72" s="869" t="s">
        <v>462</v>
      </c>
      <c r="B72" s="869" t="s">
        <v>1890</v>
      </c>
      <c r="C72" s="886">
        <f>'Expenditures 15-22'!B280</f>
        <v>3000</v>
      </c>
      <c r="D72" s="876" t="s">
        <v>449</v>
      </c>
      <c r="E72" s="868"/>
      <c r="F72" s="1913">
        <f>'Expenditures 15-22'!K280</f>
        <v>0</v>
      </c>
      <c r="G72" s="865"/>
    </row>
    <row r="73" spans="1:8" x14ac:dyDescent="0.2">
      <c r="A73" s="869" t="s">
        <v>462</v>
      </c>
      <c r="B73" s="869" t="s">
        <v>1891</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1892</v>
      </c>
      <c r="C74" s="886" t="s">
        <v>860</v>
      </c>
      <c r="D74" s="887" t="s">
        <v>1484</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1893</v>
      </c>
      <c r="E76" s="1774" t="s">
        <v>958</v>
      </c>
      <c r="F76" s="1778">
        <f>SUM(F18:F74)</f>
        <v>5621327</v>
      </c>
      <c r="G76" s="865"/>
    </row>
    <row r="77" spans="1:8" s="893" customFormat="1" ht="12" customHeight="1" thickTop="1" thickBot="1" x14ac:dyDescent="0.25">
      <c r="A77" s="1779"/>
      <c r="B77" s="1776"/>
      <c r="C77" s="1772"/>
      <c r="D77" s="1777" t="s">
        <v>1894</v>
      </c>
      <c r="E77" s="1774"/>
      <c r="F77" s="1780">
        <f>(F14-F76)</f>
        <v>31043618</v>
      </c>
      <c r="G77" s="869"/>
    </row>
    <row r="78" spans="1:8" s="893" customFormat="1" ht="12" customHeight="1" thickTop="1" x14ac:dyDescent="0.2">
      <c r="A78" s="1781"/>
      <c r="B78" s="1776"/>
      <c r="C78" s="1772"/>
      <c r="D78" s="1777" t="s">
        <v>2056</v>
      </c>
      <c r="E78" s="1774"/>
      <c r="F78" s="898">
        <v>2866.9</v>
      </c>
      <c r="G78" s="899"/>
      <c r="H78" s="869"/>
    </row>
    <row r="79" spans="1:8" s="893" customFormat="1" ht="12" customHeight="1" thickBot="1" x14ac:dyDescent="0.25">
      <c r="A79" s="1782"/>
      <c r="B79" s="1776"/>
      <c r="C79" s="1772"/>
      <c r="D79" s="1777" t="s">
        <v>1895</v>
      </c>
      <c r="E79" s="1774" t="s">
        <v>958</v>
      </c>
      <c r="F79" s="1783">
        <f>IF(F78&gt;0,F77/F78," Complete Line 78")</f>
        <v>10828.287697512993</v>
      </c>
      <c r="G79" s="869"/>
    </row>
    <row r="80" spans="1:8" s="893" customFormat="1" ht="8.25" customHeight="1" thickTop="1" x14ac:dyDescent="0.2">
      <c r="A80" s="900"/>
      <c r="B80" s="869"/>
      <c r="C80" s="871"/>
      <c r="D80" s="901"/>
      <c r="E80" s="868"/>
      <c r="F80" s="902"/>
      <c r="G80" s="869"/>
    </row>
    <row r="81" spans="1:7" s="893" customFormat="1" ht="12" thickBot="1" x14ac:dyDescent="0.25">
      <c r="A81" s="2262" t="s">
        <v>1105</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11448</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593356</v>
      </c>
      <c r="G94" s="912"/>
    </row>
    <row r="95" spans="1:7" x14ac:dyDescent="0.2">
      <c r="A95" s="908" t="s">
        <v>140</v>
      </c>
      <c r="B95" s="908" t="s">
        <v>175</v>
      </c>
      <c r="C95" s="910">
        <v>1700</v>
      </c>
      <c r="D95" s="918" t="str">
        <f>'Revenues 9-14'!A82</f>
        <v>Total District/School Activity Income</v>
      </c>
      <c r="E95" s="906"/>
      <c r="F95" s="1789">
        <f>SUM('Revenues 9-14'!C82,'Revenues 9-14'!D82)</f>
        <v>250172</v>
      </c>
      <c r="G95" s="912"/>
    </row>
    <row r="96" spans="1:7" x14ac:dyDescent="0.2">
      <c r="A96" s="908" t="s">
        <v>459</v>
      </c>
      <c r="B96" s="908" t="s">
        <v>176</v>
      </c>
      <c r="C96" s="910">
        <f>'Revenues 9-14'!B84</f>
        <v>1811</v>
      </c>
      <c r="D96" s="911" t="str">
        <f>'Revenues 9-14'!A84</f>
        <v>Rentals - Regular Textbooks</v>
      </c>
      <c r="E96" s="906"/>
      <c r="F96" s="1789">
        <f>'Revenues 9-14'!C84</f>
        <v>301658</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63727</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1997</v>
      </c>
      <c r="C105" s="913">
        <v>3100</v>
      </c>
      <c r="D105" s="919" t="str">
        <f>'Revenues 9-14'!A132</f>
        <v>Total Special Education</v>
      </c>
      <c r="E105" s="906"/>
      <c r="F105" s="1789">
        <f>SUM('Revenues 9-14'!C132:D132,'Revenues 9-14'!F132)</f>
        <v>504734</v>
      </c>
      <c r="G105" s="912"/>
    </row>
    <row r="106" spans="1:7" x14ac:dyDescent="0.2">
      <c r="A106" s="908" t="s">
        <v>673</v>
      </c>
      <c r="B106" s="908" t="s">
        <v>1998</v>
      </c>
      <c r="C106" s="920">
        <v>3200</v>
      </c>
      <c r="D106" s="911" t="str">
        <f>'Revenues 9-14'!A141</f>
        <v>Total Career and Technical Education</v>
      </c>
      <c r="E106" s="906"/>
      <c r="F106" s="1789">
        <f>SUM('Revenues 9-14'!C141,'Revenues 9-14'!D141,'Revenues 9-14'!G141)</f>
        <v>48177</v>
      </c>
      <c r="G106" s="912"/>
    </row>
    <row r="107" spans="1:7" x14ac:dyDescent="0.2">
      <c r="A107" s="921" t="s">
        <v>664</v>
      </c>
      <c r="B107" s="908" t="s">
        <v>1999</v>
      </c>
      <c r="C107" s="920">
        <v>3300</v>
      </c>
      <c r="D107" s="911" t="str">
        <f>'Revenues 9-14'!A145</f>
        <v>Total Bilingual Ed</v>
      </c>
      <c r="E107" s="906"/>
      <c r="F107" s="1789">
        <f>SUM('Revenues 9-14'!C145,'Revenues 9-14'!G145)</f>
        <v>0</v>
      </c>
      <c r="G107" s="912"/>
    </row>
    <row r="108" spans="1:7" x14ac:dyDescent="0.2">
      <c r="A108" s="908" t="s">
        <v>459</v>
      </c>
      <c r="B108" s="908" t="s">
        <v>2000</v>
      </c>
      <c r="C108" s="920">
        <f>'Revenues 9-14'!B146</f>
        <v>3360</v>
      </c>
      <c r="D108" s="911" t="str">
        <f>'Revenues 9-14'!A146</f>
        <v>State Free Lunch &amp; Breakfast</v>
      </c>
      <c r="E108" s="906"/>
      <c r="F108" s="1789">
        <f>'Revenues 9-14'!C146</f>
        <v>2642</v>
      </c>
      <c r="G108" s="912"/>
    </row>
    <row r="109" spans="1:7" x14ac:dyDescent="0.2">
      <c r="A109" s="908" t="s">
        <v>673</v>
      </c>
      <c r="B109" s="908" t="s">
        <v>2001</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89">
        <f>SUM('Revenues 9-14'!C148,'Revenues 9-14'!D148)</f>
        <v>38718</v>
      </c>
      <c r="G110" s="912"/>
    </row>
    <row r="111" spans="1:7" x14ac:dyDescent="0.2">
      <c r="A111" s="908" t="s">
        <v>668</v>
      </c>
      <c r="B111" s="908" t="s">
        <v>2003</v>
      </c>
      <c r="C111" s="922">
        <v>3500</v>
      </c>
      <c r="D111" s="911" t="str">
        <f>'Revenues 9-14'!A155</f>
        <v>Total Transportation</v>
      </c>
      <c r="E111" s="906"/>
      <c r="F111" s="1789">
        <f>SUM('Revenues 9-14'!C155,'Revenues 9-14'!D155,'Revenues 9-14'!F155,'Revenues 9-14'!G155)</f>
        <v>277449</v>
      </c>
      <c r="G111" s="912"/>
    </row>
    <row r="112" spans="1:7" x14ac:dyDescent="0.2">
      <c r="A112" s="908" t="s">
        <v>459</v>
      </c>
      <c r="B112" s="908" t="s">
        <v>2004</v>
      </c>
      <c r="C112" s="920">
        <f>'Revenues 9-14'!B156</f>
        <v>3610</v>
      </c>
      <c r="D112" s="911" t="str">
        <f>'Revenues 9-14'!A156</f>
        <v>Learning Improvement - Change Grants</v>
      </c>
      <c r="E112" s="906"/>
      <c r="F112" s="1789">
        <f>'Revenues 9-14'!C156</f>
        <v>0</v>
      </c>
      <c r="G112" s="912"/>
    </row>
    <row r="113" spans="1:7" x14ac:dyDescent="0.2">
      <c r="A113" s="908" t="s">
        <v>668</v>
      </c>
      <c r="B113" s="908" t="s">
        <v>2005</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2007</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2008</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2009</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2010</v>
      </c>
      <c r="C118" s="924">
        <f>'Revenues 9-14'!B163</f>
        <v>3780</v>
      </c>
      <c r="D118" s="925" t="str">
        <f>'Revenues 9-14'!A163</f>
        <v>Technology - Technology for Success</v>
      </c>
      <c r="E118" s="906"/>
      <c r="F118" s="1907">
        <f>SUM('Revenues 9-14'!C163:G163)</f>
        <v>0</v>
      </c>
      <c r="G118" s="912"/>
    </row>
    <row r="119" spans="1:7" x14ac:dyDescent="0.2">
      <c r="A119" s="923" t="s">
        <v>504</v>
      </c>
      <c r="B119" s="923" t="s">
        <v>2011</v>
      </c>
      <c r="C119" s="924">
        <f>'Revenues 9-14'!B164</f>
        <v>3815</v>
      </c>
      <c r="D119" s="925" t="str">
        <f>'Revenues 9-14'!A164</f>
        <v>State Charter Schools</v>
      </c>
      <c r="E119" s="906"/>
      <c r="F119" s="1907">
        <f>SUM('Revenues 9-14'!C164,'Revenues 9-14'!F164)</f>
        <v>0</v>
      </c>
      <c r="G119" s="912"/>
    </row>
    <row r="120" spans="1:7" x14ac:dyDescent="0.2">
      <c r="A120" s="927" t="s">
        <v>460</v>
      </c>
      <c r="B120" s="927" t="s">
        <v>2012</v>
      </c>
      <c r="C120" s="928">
        <f>'Revenues 9-14'!B167</f>
        <v>3925</v>
      </c>
      <c r="D120" s="929" t="str">
        <f>'Revenues 9-14'!A167</f>
        <v>School Infrastructure - Maintenance Projects</v>
      </c>
      <c r="E120" s="906"/>
      <c r="F120" s="1789">
        <f>'Revenues 9-14'!D167</f>
        <v>0</v>
      </c>
      <c r="G120" s="930"/>
    </row>
    <row r="121" spans="1:7" x14ac:dyDescent="0.2">
      <c r="A121" s="927" t="s">
        <v>500</v>
      </c>
      <c r="B121" s="927" t="s">
        <v>2013</v>
      </c>
      <c r="C121" s="928">
        <f>'Revenues 9-14'!B168</f>
        <v>3999</v>
      </c>
      <c r="D121" s="929" t="s">
        <v>543</v>
      </c>
      <c r="E121" s="931"/>
      <c r="F121" s="1789">
        <f>SUM('Revenues 9-14'!C168:G168,'Revenues 9-14'!J168)</f>
        <v>14581</v>
      </c>
      <c r="G121" s="930"/>
    </row>
    <row r="122" spans="1:7" x14ac:dyDescent="0.2">
      <c r="A122" s="927" t="s">
        <v>459</v>
      </c>
      <c r="B122" s="927" t="s">
        <v>2014</v>
      </c>
      <c r="C122" s="932">
        <f>'Revenues 9-14'!B177</f>
        <v>4045</v>
      </c>
      <c r="D122" s="929" t="str">
        <f>'Revenues 9-14'!A177 &amp; " (Subtract)"</f>
        <v>Head Start (Subtract)</v>
      </c>
      <c r="E122" s="906"/>
      <c r="F122" s="1789">
        <f>SUM(-'Revenues 9-14'!C177)</f>
        <v>0</v>
      </c>
      <c r="G122" s="930"/>
    </row>
    <row r="123" spans="1:7" x14ac:dyDescent="0.2">
      <c r="A123" s="927" t="s">
        <v>668</v>
      </c>
      <c r="B123" s="927" t="s">
        <v>2015</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2016</v>
      </c>
      <c r="C124" s="932">
        <v>4100</v>
      </c>
      <c r="D124" s="933" t="str">
        <f>'Revenues 9-14'!A188</f>
        <v>Total Title V</v>
      </c>
      <c r="E124" s="906"/>
      <c r="F124" s="1789">
        <f>SUM('Revenues 9-14'!C188,'Revenues 9-14'!D188,'Revenues 9-14'!F188,'Revenues 9-14'!G188)</f>
        <v>0</v>
      </c>
      <c r="G124" s="930"/>
    </row>
    <row r="125" spans="1:7" x14ac:dyDescent="0.2">
      <c r="A125" s="927" t="s">
        <v>664</v>
      </c>
      <c r="B125" s="927" t="s">
        <v>2017</v>
      </c>
      <c r="C125" s="932">
        <v>4200</v>
      </c>
      <c r="D125" s="929" t="str">
        <f>'Revenues 9-14'!A198</f>
        <v>Total Food Service</v>
      </c>
      <c r="E125" s="906"/>
      <c r="F125" s="1789">
        <f>SUM('Revenues 9-14'!C198,'Revenues 9-14'!G198)</f>
        <v>218199</v>
      </c>
      <c r="G125" s="930"/>
    </row>
    <row r="126" spans="1:7" x14ac:dyDescent="0.2">
      <c r="A126" s="927" t="s">
        <v>668</v>
      </c>
      <c r="B126" s="927" t="s">
        <v>2018</v>
      </c>
      <c r="C126" s="932">
        <v>4300</v>
      </c>
      <c r="D126" s="933" t="str">
        <f>'Revenues 9-14'!A204</f>
        <v>Total Title I</v>
      </c>
      <c r="E126" s="906"/>
      <c r="F126" s="1789">
        <f>SUM('Revenues 9-14'!C204,'Revenues 9-14'!D204,'Revenues 9-14'!F204,'Revenues 9-14'!G204)</f>
        <v>163351</v>
      </c>
      <c r="G126" s="930"/>
    </row>
    <row r="127" spans="1:7" x14ac:dyDescent="0.2">
      <c r="A127" s="927" t="s">
        <v>668</v>
      </c>
      <c r="B127" s="927" t="s">
        <v>2019</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2020</v>
      </c>
      <c r="C128" s="932">
        <f>'Revenues 9-14'!B213</f>
        <v>4620</v>
      </c>
      <c r="D128" s="933" t="str">
        <f>'Revenues 9-14'!A213</f>
        <v>Fed - Spec Education - IDEA - Flow Through</v>
      </c>
      <c r="E128" s="906"/>
      <c r="F128" s="1789">
        <f>SUM('Revenues 9-14'!C213:D213,'Revenues 9-14'!F213:G213)</f>
        <v>338780</v>
      </c>
      <c r="G128" s="930"/>
    </row>
    <row r="129" spans="1:7" x14ac:dyDescent="0.2">
      <c r="A129" s="927" t="s">
        <v>668</v>
      </c>
      <c r="B129" s="927" t="s">
        <v>2021</v>
      </c>
      <c r="C129" s="932">
        <f>'Revenues 9-14'!B214</f>
        <v>4625</v>
      </c>
      <c r="D129" s="933" t="str">
        <f>'Revenues 9-14'!A214</f>
        <v>Fed - Spec Education - IDEA - Room &amp; Board</v>
      </c>
      <c r="E129" s="906"/>
      <c r="F129" s="1789">
        <f>SUM('Revenues 9-14'!C214,'Revenues 9-14'!D214,'Revenues 9-14'!F214,'Revenues 9-14'!G214)</f>
        <v>262626</v>
      </c>
      <c r="G129" s="930"/>
    </row>
    <row r="130" spans="1:7" x14ac:dyDescent="0.2">
      <c r="A130" s="927" t="s">
        <v>668</v>
      </c>
      <c r="B130" s="927" t="s">
        <v>2022</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10790</v>
      </c>
      <c r="G131" s="930"/>
    </row>
    <row r="132" spans="1:7" x14ac:dyDescent="0.2">
      <c r="A132" s="927" t="s">
        <v>673</v>
      </c>
      <c r="B132" s="927" t="s">
        <v>2023</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2024</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89">
        <v>0</v>
      </c>
      <c r="G138" s="905"/>
    </row>
    <row r="139" spans="1:7" s="867" customFormat="1" hidden="1" x14ac:dyDescent="0.2">
      <c r="A139" s="934" t="s">
        <v>206</v>
      </c>
      <c r="B139" s="934" t="s">
        <v>2030</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2033</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1413</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1414</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2038</v>
      </c>
      <c r="C157" s="940" t="s">
        <v>841</v>
      </c>
      <c r="D157" s="941" t="s">
        <v>777</v>
      </c>
      <c r="E157" s="942"/>
      <c r="F157" s="1789">
        <f>SUM(F133:F156)</f>
        <v>0</v>
      </c>
      <c r="G157" s="905"/>
    </row>
    <row r="158" spans="1:7" s="867" customFormat="1" x14ac:dyDescent="0.2">
      <c r="A158" s="938" t="s">
        <v>459</v>
      </c>
      <c r="B158" s="939" t="s">
        <v>2039</v>
      </c>
      <c r="C158" s="940" t="s">
        <v>1424</v>
      </c>
      <c r="D158" s="941" t="s">
        <v>1425</v>
      </c>
      <c r="E158" s="942"/>
      <c r="F158" s="1789">
        <f>SUM('Revenues 9-14'!C253)</f>
        <v>0</v>
      </c>
      <c r="G158" s="905"/>
    </row>
    <row r="159" spans="1:7" s="867" customFormat="1" x14ac:dyDescent="0.2">
      <c r="A159" s="938" t="s">
        <v>500</v>
      </c>
      <c r="B159" s="939" t="s">
        <v>2040</v>
      </c>
      <c r="C159" s="940" t="s">
        <v>1463</v>
      </c>
      <c r="D159" s="941" t="s">
        <v>1464</v>
      </c>
      <c r="E159" s="942"/>
      <c r="F159" s="1789">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2043</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2044</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2045</v>
      </c>
      <c r="C164" s="932">
        <f>'Revenues 9-14'!B259</f>
        <v>4932</v>
      </c>
      <c r="D164" s="933" t="str">
        <f>'Revenues 9-14'!A259</f>
        <v>Title II - Teacher Quality</v>
      </c>
      <c r="E164" s="906"/>
      <c r="F164" s="1907">
        <f>SUM('Revenues 9-14'!C259,'Revenues 9-14'!D259,'Revenues 9-14'!F259,'Revenues 9-14'!G259)</f>
        <v>44561</v>
      </c>
      <c r="G164" s="930"/>
    </row>
    <row r="165" spans="1:7" x14ac:dyDescent="0.2">
      <c r="A165" s="927" t="s">
        <v>668</v>
      </c>
      <c r="B165" s="927" t="s">
        <v>2046</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1991</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1992</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2047</v>
      </c>
      <c r="C168" s="932">
        <f>'Revenues 9-14'!B263</f>
        <v>4991</v>
      </c>
      <c r="D168" s="933" t="str">
        <f>'Revenues 9-14'!A263</f>
        <v>Medicaid Matching Funds - Administrative Outreach</v>
      </c>
      <c r="E168" s="906"/>
      <c r="F168" s="1789">
        <f>SUM('Revenues 9-14'!C263:D263,'Revenues 9-14'!F263:G263)</f>
        <v>44007</v>
      </c>
      <c r="G168" s="947">
        <v>6320</v>
      </c>
    </row>
    <row r="169" spans="1:7" x14ac:dyDescent="0.2">
      <c r="A169" s="927" t="s">
        <v>668</v>
      </c>
      <c r="B169" s="927" t="s">
        <v>2048</v>
      </c>
      <c r="C169" s="932">
        <f>'Revenues 9-14'!B264</f>
        <v>4992</v>
      </c>
      <c r="D169" s="933" t="str">
        <f>'Revenues 9-14'!A264</f>
        <v>Medicaid Matching Funds - Fee-for-Service Program</v>
      </c>
      <c r="E169" s="906"/>
      <c r="F169" s="1789">
        <f>SUM('Revenues 9-14'!C264:D264,'Revenues 9-14'!F264:G264)</f>
        <v>71559</v>
      </c>
      <c r="G169" s="947"/>
    </row>
    <row r="170" spans="1:7" x14ac:dyDescent="0.2">
      <c r="A170" s="948" t="s">
        <v>668</v>
      </c>
      <c r="B170" s="944" t="s">
        <v>2049</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1914</v>
      </c>
      <c r="C171" s="1920">
        <v>3100</v>
      </c>
      <c r="D171" s="1921" t="s">
        <v>1916</v>
      </c>
      <c r="E171" s="906"/>
      <c r="F171" s="1906">
        <v>902534</v>
      </c>
      <c r="G171" s="927"/>
    </row>
    <row r="172" spans="1:7" x14ac:dyDescent="0.2">
      <c r="A172" s="1918" t="s">
        <v>664</v>
      </c>
      <c r="B172" s="1919" t="s">
        <v>1914</v>
      </c>
      <c r="C172" s="1920">
        <v>3300</v>
      </c>
      <c r="D172" s="1921" t="s">
        <v>1917</v>
      </c>
      <c r="E172" s="906"/>
      <c r="F172" s="1906">
        <v>415</v>
      </c>
      <c r="G172" s="927"/>
    </row>
    <row r="173" spans="1:7" ht="6" customHeight="1" x14ac:dyDescent="0.2">
      <c r="A173" s="927"/>
      <c r="B173" s="927"/>
      <c r="C173" s="949"/>
      <c r="D173" s="927"/>
      <c r="E173" s="906"/>
      <c r="F173" s="950"/>
      <c r="G173" s="947"/>
    </row>
    <row r="174" spans="1:7" x14ac:dyDescent="0.2">
      <c r="A174" s="1770"/>
      <c r="B174" s="1784"/>
      <c r="C174" s="1785"/>
      <c r="D174" s="1786" t="s">
        <v>2050</v>
      </c>
      <c r="E174" s="1787" t="s">
        <v>958</v>
      </c>
      <c r="F174" s="1788">
        <f>SUM(F84:F132,F157:F172)</f>
        <v>4163484</v>
      </c>
    </row>
    <row r="175" spans="1:7" ht="12" customHeight="1" x14ac:dyDescent="0.2">
      <c r="A175" s="1770"/>
      <c r="B175" s="1784"/>
      <c r="C175" s="1785"/>
      <c r="D175" s="1786" t="s">
        <v>2051</v>
      </c>
      <c r="E175" s="1787"/>
      <c r="F175" s="1789">
        <f>'PCTC-OEPP 27-28'!F77-F174</f>
        <v>26880134</v>
      </c>
    </row>
    <row r="176" spans="1:7" ht="12" customHeight="1" x14ac:dyDescent="0.2">
      <c r="A176" s="1770"/>
      <c r="B176" s="1784"/>
      <c r="C176" s="1785"/>
      <c r="D176" s="1786" t="s">
        <v>1811</v>
      </c>
      <c r="E176" s="1787"/>
      <c r="F176" s="1789">
        <f>'Cap Outlay Deprec 26'!I18</f>
        <v>2198645.1</v>
      </c>
    </row>
    <row r="177" spans="1:7" ht="12" customHeight="1" x14ac:dyDescent="0.2">
      <c r="A177" s="1770"/>
      <c r="B177" s="1784"/>
      <c r="C177" s="1785"/>
      <c r="D177" s="1786" t="s">
        <v>2052</v>
      </c>
      <c r="E177" s="1787"/>
      <c r="F177" s="1789">
        <f>F175+F176</f>
        <v>29078779.100000001</v>
      </c>
    </row>
    <row r="178" spans="1:7" ht="12" customHeight="1" x14ac:dyDescent="0.2">
      <c r="A178" s="1770"/>
      <c r="B178" s="1790"/>
      <c r="C178" s="1785"/>
      <c r="D178" s="1786" t="str">
        <f>D78</f>
        <v>9 Month ADA from District Average Daily Attendance/Prior General State Aid Inquiry 2018-2019</v>
      </c>
      <c r="E178" s="1787"/>
      <c r="F178" s="1791">
        <f>'PCTC-OEPP 27-28'!F78</f>
        <v>2866.9</v>
      </c>
      <c r="G178" s="930"/>
    </row>
    <row r="179" spans="1:7" ht="12" customHeight="1" thickBot="1" x14ac:dyDescent="0.25">
      <c r="A179" s="1770"/>
      <c r="B179" s="1790"/>
      <c r="C179" s="1785"/>
      <c r="D179" s="1786" t="s">
        <v>2053</v>
      </c>
      <c r="E179" s="1787" t="s">
        <v>1542</v>
      </c>
      <c r="F179" s="1792">
        <f>F177/F178</f>
        <v>10142.934563465764</v>
      </c>
      <c r="G179" s="856">
        <v>6323</v>
      </c>
    </row>
    <row r="180" spans="1:7" ht="12" thickTop="1" x14ac:dyDescent="0.2">
      <c r="B180" s="930"/>
      <c r="C180" s="949"/>
      <c r="D180" s="930"/>
      <c r="E180" s="949"/>
      <c r="F180" s="930"/>
      <c r="G180" s="951">
        <v>6326</v>
      </c>
    </row>
    <row r="181" spans="1:7" ht="12.2" customHeight="1" x14ac:dyDescent="0.2">
      <c r="A181" s="930" t="s">
        <v>1915</v>
      </c>
      <c r="B181" s="930"/>
      <c r="C181" s="949"/>
      <c r="D181" s="930"/>
      <c r="E181" s="949"/>
      <c r="F181" s="930"/>
      <c r="G181" s="930"/>
    </row>
    <row r="182" spans="1:7" s="1922" customFormat="1" ht="12.2" customHeight="1" x14ac:dyDescent="0.2">
      <c r="A182" s="1922" t="s">
        <v>1988</v>
      </c>
      <c r="B182" s="1923"/>
      <c r="C182" s="1924"/>
      <c r="D182" s="1923"/>
      <c r="E182" s="1924"/>
      <c r="F182" s="1923"/>
      <c r="G182" s="1923"/>
    </row>
    <row r="183" spans="1:7" s="1922" customFormat="1" ht="12.2" customHeight="1" x14ac:dyDescent="0.2">
      <c r="A183" s="1925" t="s">
        <v>1990</v>
      </c>
      <c r="C183" s="1924"/>
      <c r="D183" s="1923"/>
      <c r="E183" s="1924"/>
      <c r="F183" s="1923"/>
      <c r="G183" s="1923"/>
    </row>
    <row r="184" spans="1:7" ht="12" customHeight="1" x14ac:dyDescent="0.2">
      <c r="C184" s="949"/>
      <c r="D184" s="930"/>
      <c r="E184" s="949"/>
      <c r="F184" s="930"/>
      <c r="G184" s="930"/>
    </row>
    <row r="185" spans="1:7" x14ac:dyDescent="0.2">
      <c r="A185" s="1926" t="s">
        <v>1919</v>
      </c>
      <c r="B185" s="1927" t="s">
        <v>1918</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zoomScaleNormal="100" workbookViewId="0">
      <selection activeCell="A17" sqref="A17"/>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1826</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6" t="s">
        <v>1812</v>
      </c>
      <c r="B4" s="2277"/>
      <c r="C4" s="2277"/>
      <c r="D4" s="2277"/>
      <c r="E4" s="2277"/>
      <c r="F4" s="2277"/>
      <c r="G4" s="2278"/>
    </row>
    <row r="5" spans="1:7" x14ac:dyDescent="0.25">
      <c r="A5" s="2279"/>
      <c r="B5" s="2280"/>
      <c r="C5" s="2280"/>
      <c r="D5" s="2280"/>
      <c r="E5" s="2280"/>
      <c r="F5" s="2280"/>
      <c r="G5" s="2281"/>
    </row>
    <row r="6" spans="1:7" ht="18.75" x14ac:dyDescent="0.25">
      <c r="A6" s="1534" t="s">
        <v>1813</v>
      </c>
      <c r="B6" s="1535"/>
      <c r="C6" s="1535"/>
      <c r="D6" s="1535"/>
      <c r="E6" s="1535"/>
      <c r="F6" s="1535"/>
      <c r="G6" s="1536"/>
    </row>
    <row r="7" spans="1:7" ht="30.75" customHeight="1" x14ac:dyDescent="0.25">
      <c r="A7" s="2282" t="s">
        <v>1926</v>
      </c>
      <c r="B7" s="2283"/>
      <c r="C7" s="2283"/>
      <c r="D7" s="2283"/>
      <c r="E7" s="2283"/>
      <c r="F7" s="2283"/>
      <c r="G7" s="2284"/>
    </row>
    <row r="8" spans="1:7" ht="15.75" customHeight="1" x14ac:dyDescent="0.25">
      <c r="A8" s="2285" t="s">
        <v>1901</v>
      </c>
      <c r="B8" s="2286"/>
      <c r="C8" s="2286"/>
      <c r="D8" s="2286"/>
      <c r="E8" s="2286"/>
      <c r="F8" s="2286"/>
      <c r="G8" s="2287"/>
    </row>
    <row r="9" spans="1:7" ht="35.25" customHeight="1" x14ac:dyDescent="0.25">
      <c r="A9" s="2282" t="s">
        <v>1929</v>
      </c>
      <c r="B9" s="2283"/>
      <c r="C9" s="2283"/>
      <c r="D9" s="2283"/>
      <c r="E9" s="2283"/>
      <c r="F9" s="2283"/>
      <c r="G9" s="2284"/>
    </row>
    <row r="10" spans="1:7" ht="15" customHeight="1" x14ac:dyDescent="0.25">
      <c r="A10" s="1537" t="s">
        <v>1814</v>
      </c>
      <c r="B10" s="1538"/>
      <c r="C10" s="1538"/>
      <c r="D10" s="1538"/>
      <c r="E10" s="1538"/>
      <c r="F10" s="1538"/>
      <c r="G10" s="1539"/>
    </row>
    <row r="11" spans="1:7" ht="17.25" customHeight="1" x14ac:dyDescent="0.25">
      <c r="A11" s="2282" t="s">
        <v>1928</v>
      </c>
      <c r="B11" s="2283"/>
      <c r="C11" s="2283"/>
      <c r="D11" s="2283"/>
      <c r="E11" s="2283"/>
      <c r="F11" s="2283"/>
      <c r="G11" s="2284"/>
    </row>
    <row r="12" spans="1:7" ht="15" customHeight="1" x14ac:dyDescent="0.25">
      <c r="A12" s="1537" t="s">
        <v>1819</v>
      </c>
      <c r="B12" s="1538"/>
      <c r="C12" s="1538"/>
      <c r="D12" s="1538"/>
      <c r="E12" s="1538"/>
      <c r="F12" s="1538"/>
      <c r="G12" s="1539"/>
    </row>
    <row r="13" spans="1:7" ht="32.25" customHeight="1" x14ac:dyDescent="0.25">
      <c r="A13" s="2273" t="s">
        <v>1970</v>
      </c>
      <c r="B13" s="2274"/>
      <c r="C13" s="2274"/>
      <c r="D13" s="2274"/>
      <c r="E13" s="2274"/>
      <c r="F13" s="2274"/>
      <c r="G13" s="2275"/>
    </row>
    <row r="14" spans="1:7" x14ac:dyDescent="0.25">
      <c r="A14" s="1661" t="s">
        <v>1827</v>
      </c>
      <c r="B14" s="1662"/>
      <c r="C14" s="1662"/>
      <c r="D14" s="1662"/>
      <c r="E14" s="1662"/>
      <c r="F14" s="1662"/>
      <c r="G14" s="1663"/>
    </row>
    <row r="15" spans="1:7" ht="61.5" customHeight="1" x14ac:dyDescent="0.25">
      <c r="A15" s="1546" t="s">
        <v>1820</v>
      </c>
      <c r="B15" s="1546" t="s">
        <v>1821</v>
      </c>
      <c r="C15" s="1546" t="s">
        <v>1822</v>
      </c>
      <c r="D15" s="1547" t="s">
        <v>1823</v>
      </c>
      <c r="E15" s="1547" t="s">
        <v>1815</v>
      </c>
      <c r="F15" s="1547" t="s">
        <v>1824</v>
      </c>
      <c r="G15" s="1547" t="s">
        <v>1825</v>
      </c>
    </row>
    <row r="16" spans="1:7" x14ac:dyDescent="0.25">
      <c r="A16" s="1648" t="s">
        <v>1828</v>
      </c>
      <c r="B16" s="1649" t="s">
        <v>1818</v>
      </c>
      <c r="C16" s="1650" t="s">
        <v>1816</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1353</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8" t="s">
        <v>1676</v>
      </c>
      <c r="B5" s="2289"/>
      <c r="C5" s="2289"/>
      <c r="D5" s="2289"/>
      <c r="E5" s="2289"/>
      <c r="F5" s="2289"/>
      <c r="G5" s="229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1927</v>
      </c>
      <c r="B10" s="971"/>
      <c r="C10" s="976"/>
      <c r="D10" s="972"/>
      <c r="E10" s="973"/>
      <c r="F10" s="974"/>
      <c r="G10" s="975"/>
      <c r="H10" s="162"/>
      <c r="I10" s="162"/>
    </row>
    <row r="11" spans="1:9" s="668" customFormat="1" ht="22.5" customHeight="1" x14ac:dyDescent="0.2">
      <c r="A11" s="2293" t="s">
        <v>1971</v>
      </c>
      <c r="B11" s="2294"/>
      <c r="C11" s="2294"/>
      <c r="D11" s="2295"/>
      <c r="E11" s="977">
        <v>60523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1373</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19272969</v>
      </c>
      <c r="F19" s="1799"/>
      <c r="G19" s="1801">
        <f>'Expenditures 15-22'!K33-SUM('Expenditures 15-22'!G33,'Expenditures 15-22'!I33)+'Expenditures 15-22'!D229</f>
        <v>19272969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1999024</v>
      </c>
      <c r="F21" s="1802"/>
      <c r="G21" s="1805">
        <f>'Expenditures 15-22'!K42-SUM('Expenditures 15-22'!G42,'Expenditures 15-22'!I42)+'Expenditures 15-22'!K120-SUM('Expenditures 15-22'!G120,'Expenditures 15-22'!I120)+'Expenditures 15-22'!K180-SUM('Expenditures 15-22'!G180,'Expenditures 15-22'!I180)+'Expenditures 15-22'!D238</f>
        <v>1999024</v>
      </c>
      <c r="H21" s="987"/>
      <c r="I21" s="162"/>
    </row>
    <row r="22" spans="1:9" s="668" customFormat="1" ht="12" customHeight="1" x14ac:dyDescent="0.2">
      <c r="A22" s="994" t="s">
        <v>564</v>
      </c>
      <c r="B22" s="995"/>
      <c r="C22" s="993">
        <v>2200</v>
      </c>
      <c r="D22" s="1802"/>
      <c r="E22" s="1804">
        <f>'Expenditures 15-22'!K47-SUM('Expenditures 15-22'!G47,'Expenditures 15-22'!I47)+'Expenditures 15-22'!D243</f>
        <v>1416442</v>
      </c>
      <c r="F22" s="1802"/>
      <c r="G22" s="1805">
        <f>'Expenditures 15-22'!K47-SUM('Expenditures 15-22'!G47,'Expenditures 15-22'!I47)+'Expenditures 15-22'!D243</f>
        <v>1416442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1188686</v>
      </c>
      <c r="F23" s="1802"/>
      <c r="G23" s="1804">
        <f>'Expenditures 15-22'!K53-SUM('Expenditures 15-22'!G53,'Expenditures 15-22'!I53)+'Expenditures 15-22'!D257+'Expenditures 15-22'!K330-SUM('Expenditures 15-22'!G330,'Expenditures 15-22'!I330)</f>
        <v>1188686</v>
      </c>
      <c r="H23" s="987"/>
      <c r="I23" s="162"/>
    </row>
    <row r="24" spans="1:9" s="668" customFormat="1" ht="12" customHeight="1" x14ac:dyDescent="0.2">
      <c r="A24" s="994" t="s">
        <v>566</v>
      </c>
      <c r="B24" s="995"/>
      <c r="C24" s="993">
        <v>2400</v>
      </c>
      <c r="D24" s="1802"/>
      <c r="E24" s="1804">
        <f>'Expenditures 15-22'!K57-SUM('Expenditures 15-22'!G57,'Expenditures 15-22'!I57)+'Expenditures 15-22'!D261</f>
        <v>1667226</v>
      </c>
      <c r="F24" s="1802"/>
      <c r="G24" s="1805">
        <f>'Expenditures 15-22'!K57-SUM('Expenditures 15-22'!G57,'Expenditures 15-22'!I57)+'Expenditures 15-22'!D261</f>
        <v>1667226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223869</v>
      </c>
      <c r="E26" s="1804">
        <f>'Expenditures 15-22'!K122-SUM('Expenditures 15-22'!G122,'Expenditures 15-22'!I122)+E7</f>
        <v>0</v>
      </c>
      <c r="F26" s="1804">
        <f>'Expenditures 15-22'!K59-SUM('Expenditures 15-22'!G59,'Expenditures 15-22'!I59)+'Expenditures 15-22'!D263-E7</f>
        <v>223869</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176579</v>
      </c>
      <c r="E27" s="1804">
        <f>E8</f>
        <v>0</v>
      </c>
      <c r="F27" s="1804">
        <f>'Expenditures 15-22'!K60-SUM('Expenditures 15-22'!G60,'Expenditures 15-22'!I60)+'Expenditures 15-22'!D264-E8</f>
        <v>176579</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3021092</v>
      </c>
      <c r="F28" s="1806">
        <f>'Expenditures 15-22'!K61-SUM('Expenditures 15-22'!G61,'Expenditures 15-22'!I61)+'Expenditures 15-22'!K124-SUM('Expenditures 15-22'!G124,'Expenditures 15-22'!I124)+'Expenditures 15-22'!D266-E9</f>
        <v>3021092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918155</v>
      </c>
      <c r="F29" s="1802"/>
      <c r="G29" s="1805">
        <f>'Expenditures 15-22'!K62-SUM('Expenditures 15-22'!G62,'Expenditures 15-22'!I62)+'Expenditures 15-22'!K125-SUM('Expenditures 15-22'!G125,'Expenditures 15-22'!I125)+'Expenditures 15-22'!K182-SUM('Expenditures 15-22'!G182,'Expenditures 15-22'!I182)+'Expenditures 15-22'!D267</f>
        <v>918155</v>
      </c>
      <c r="H29" s="985"/>
    </row>
    <row r="30" spans="1:9" ht="12" customHeight="1" x14ac:dyDescent="0.2">
      <c r="A30" s="994" t="s">
        <v>100</v>
      </c>
      <c r="B30" s="997"/>
      <c r="C30" s="993">
        <v>2560</v>
      </c>
      <c r="D30" s="1802"/>
      <c r="E30" s="1804">
        <f>'Expenditures 15-22'!K63-SUM('Expenditures 15-22'!G63,'Expenditures 15-22'!I63)+'Expenditures 15-22'!D268-E10</f>
        <v>695871</v>
      </c>
      <c r="F30" s="1802"/>
      <c r="G30" s="1804">
        <f>'Expenditures 15-22'!K63-SUM('Expenditures 15-22'!G63,'Expenditures 15-22'!I63)+'Expenditures 15-22'!D268-E10</f>
        <v>695871</v>
      </c>
    </row>
    <row r="31" spans="1:9" ht="12" customHeight="1" x14ac:dyDescent="0.2">
      <c r="A31" s="994" t="s">
        <v>101</v>
      </c>
      <c r="B31" s="997"/>
      <c r="C31" s="993">
        <v>2570</v>
      </c>
      <c r="D31" s="1804">
        <f>'Expenditures 15-22'!K64-SUM('Expenditures 15-22'!G64,'Expenditures 15-22'!I64)+'Expenditures 15-22'!D269-E12</f>
        <v>13547</v>
      </c>
      <c r="E31" s="1804">
        <f>E12</f>
        <v>0</v>
      </c>
      <c r="F31" s="1804">
        <f>'Expenditures 15-22'!K64-SUM('Expenditures 15-22'!G64,'Expenditures 15-22'!I64)+'Expenditures 15-22'!D269-E12</f>
        <v>13547</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59581</v>
      </c>
      <c r="F35" s="1802"/>
      <c r="G35" s="1804">
        <f>'Expenditures 15-22'!K69-SUM('Expenditures 15-22'!G69,'Expenditures 15-22'!I69)+'Expenditures 15-22'!D274</f>
        <v>59581</v>
      </c>
    </row>
    <row r="36" spans="1:7" ht="12" customHeight="1" x14ac:dyDescent="0.2">
      <c r="A36" s="994" t="s">
        <v>403</v>
      </c>
      <c r="B36" s="997"/>
      <c r="C36" s="993">
        <v>2640</v>
      </c>
      <c r="D36" s="1804">
        <f>'Expenditures 15-22'!K70-SUM('Expenditures 15-22'!G70,'Expenditures 15-22'!I70)+'Expenditures 15-22'!D275-E13</f>
        <v>277927</v>
      </c>
      <c r="E36" s="1804">
        <f>E13</f>
        <v>0</v>
      </c>
      <c r="F36" s="1804">
        <f>'Expenditures 15-22'!K70-SUM('Expenditures 15-22'!G70,'Expenditures 15-22'!I70)+'Expenditures 15-22'!D275-E13</f>
        <v>277927</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2562</v>
      </c>
      <c r="F38" s="1802"/>
      <c r="G38" s="1804">
        <f>'Expenditures 15-22'!K73-SUM('Expenditures 15-22'!G73,'Expenditures 15-22'!I73)+'Expenditures 15-22'!K128-SUM('Expenditures 15-22'!G128,'Expenditures 15-22'!I128)+'Expenditures 15-22'!K183-SUM('Expenditures 15-22'!G183,'Expenditures 15-22'!I183)+'Expenditures 15-22'!D278</f>
        <v>2562</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17571</v>
      </c>
      <c r="F39" s="1802"/>
      <c r="G39" s="1804">
        <f>'Expenditures 15-22'!K75-SUM('Expenditures 15-22'!G75,'Expenditures 15-22'!I75)+'Expenditures 15-22'!K130-SUM('Expenditures 15-22'!G130,'Expenditures 15-22'!I130)+'Expenditures 15-22'!K185-SUM('Expenditures 15-22'!G185,'Expenditures 15-22'!I185)+'Expenditures 15-22'!D280</f>
        <v>17571</v>
      </c>
    </row>
    <row r="40" spans="1:7" ht="12" customHeight="1" x14ac:dyDescent="0.2">
      <c r="A40" s="990" t="s">
        <v>1817</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691922</v>
      </c>
      <c r="E41" s="1806">
        <f>SUM(E19:E40)</f>
        <v>30259179</v>
      </c>
      <c r="F41" s="1806">
        <f>SUM(F19:F39)</f>
        <v>3713014</v>
      </c>
      <c r="G41" s="1806">
        <f>SUM(G19:G40)</f>
        <v>27238087</v>
      </c>
    </row>
    <row r="42" spans="1:7" x14ac:dyDescent="0.2">
      <c r="A42" s="987"/>
      <c r="B42" s="162"/>
      <c r="C42" s="1001"/>
      <c r="D42" s="2291" t="s">
        <v>522</v>
      </c>
      <c r="E42" s="2292"/>
      <c r="F42" s="1002" t="s">
        <v>523</v>
      </c>
      <c r="G42" s="1003"/>
    </row>
    <row r="43" spans="1:7" ht="12" customHeight="1" x14ac:dyDescent="0.2">
      <c r="A43" s="987"/>
      <c r="B43" s="162"/>
      <c r="C43" s="1001"/>
      <c r="D43" s="1807" t="s">
        <v>473</v>
      </c>
      <c r="E43" s="1808">
        <f>D41</f>
        <v>691922</v>
      </c>
      <c r="F43" s="1807" t="s">
        <v>473</v>
      </c>
      <c r="G43" s="1808">
        <f>F41</f>
        <v>3713014</v>
      </c>
    </row>
    <row r="44" spans="1:7" ht="12" customHeight="1" x14ac:dyDescent="0.2">
      <c r="A44" s="987"/>
      <c r="B44" s="162"/>
      <c r="C44" s="1001"/>
      <c r="D44" s="1807" t="s">
        <v>474</v>
      </c>
      <c r="E44" s="1808">
        <f>E41</f>
        <v>30259179</v>
      </c>
      <c r="F44" s="1807" t="s">
        <v>474</v>
      </c>
      <c r="G44" s="1808">
        <f>G41</f>
        <v>27238087</v>
      </c>
    </row>
    <row r="45" spans="1:7" ht="12" customHeight="1" x14ac:dyDescent="0.2">
      <c r="A45" s="987"/>
      <c r="B45" s="162"/>
      <c r="C45" s="162"/>
      <c r="D45" s="1809" t="s">
        <v>1006</v>
      </c>
      <c r="E45" s="1810">
        <f>(E43/E44)</f>
        <v>2.2866515975202104E-2</v>
      </c>
      <c r="F45" s="1809" t="s">
        <v>1006</v>
      </c>
      <c r="G45" s="1810">
        <f>(G43/G44)</f>
        <v>0.13631698878118717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zoomScaleNormal="100" workbookViewId="0">
      <selection sqref="A1:F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7.5703125" style="1878" bestFit="1" customWidth="1"/>
    <col min="9" max="9" width="4" style="1878" bestFit="1" customWidth="1"/>
    <col min="10" max="10" width="2.7109375" style="1878" bestFit="1" customWidth="1"/>
    <col min="11" max="11" width="9" style="1878" customWidth="1"/>
    <col min="12" max="16384" width="9.140625" style="1847"/>
  </cols>
  <sheetData>
    <row r="1" spans="1:10" x14ac:dyDescent="0.2">
      <c r="A1" s="2299" t="s">
        <v>1376</v>
      </c>
      <c r="B1" s="2299"/>
      <c r="C1" s="2299"/>
      <c r="D1" s="2299"/>
      <c r="E1" s="2299"/>
      <c r="F1" s="2299"/>
    </row>
    <row r="2" spans="1:10" x14ac:dyDescent="0.2">
      <c r="A2" s="1887" t="s">
        <v>1906</v>
      </c>
      <c r="B2" s="1848"/>
      <c r="C2" s="1887"/>
      <c r="D2" s="1848"/>
      <c r="E2" s="1848"/>
      <c r="F2" s="1849"/>
    </row>
    <row r="3" spans="1:10" x14ac:dyDescent="0.2">
      <c r="A3" s="1887" t="s">
        <v>1972</v>
      </c>
      <c r="B3" s="1848"/>
      <c r="C3" s="1887"/>
      <c r="D3" s="1848"/>
      <c r="E3" s="1848"/>
      <c r="F3" s="1849"/>
    </row>
    <row r="4" spans="1:10" ht="3.75" customHeight="1" x14ac:dyDescent="0.2">
      <c r="A4" s="1848"/>
      <c r="B4" s="1848"/>
      <c r="C4" s="1848"/>
      <c r="D4" s="1848"/>
      <c r="E4" s="1848"/>
      <c r="F4" s="1849"/>
    </row>
    <row r="5" spans="1:10" ht="15" x14ac:dyDescent="0.25">
      <c r="A5" s="2300" t="s">
        <v>1543</v>
      </c>
      <c r="B5" s="2301"/>
      <c r="C5" s="2302"/>
      <c r="D5" s="2302"/>
      <c r="E5" s="2302"/>
      <c r="F5" s="2302"/>
    </row>
    <row r="6" spans="1:10" ht="12" customHeight="1" x14ac:dyDescent="0.25">
      <c r="A6" s="1850"/>
      <c r="B6" s="1851"/>
      <c r="C6" s="2303" t="str">
        <f>COVER!A17</f>
        <v>Morton Community Unit School District 709</v>
      </c>
      <c r="D6" s="2303"/>
      <c r="E6" s="2303"/>
      <c r="F6" s="1852"/>
    </row>
    <row r="7" spans="1:10" ht="11.25" customHeight="1" thickBot="1" x14ac:dyDescent="0.3">
      <c r="A7" s="1850"/>
      <c r="B7" s="1851"/>
      <c r="C7" s="2304" t="str">
        <f>COVER!A13</f>
        <v>53-090-7090-26</v>
      </c>
      <c r="D7" s="2304"/>
      <c r="E7" s="2304"/>
      <c r="F7" s="1852"/>
    </row>
    <row r="8" spans="1:10" ht="25.5" customHeight="1" thickBot="1" x14ac:dyDescent="0.25">
      <c r="A8" s="1893" t="s">
        <v>1902</v>
      </c>
      <c r="B8" s="1853"/>
      <c r="C8" s="1889" t="s">
        <v>1678</v>
      </c>
      <c r="D8" s="1888" t="s">
        <v>1679</v>
      </c>
      <c r="E8" s="1890" t="s">
        <v>1377</v>
      </c>
      <c r="F8" s="1888" t="s">
        <v>1680</v>
      </c>
      <c r="H8" s="1854" t="b">
        <v>0</v>
      </c>
    </row>
    <row r="9" spans="1:10" ht="15.75" customHeight="1" x14ac:dyDescent="0.2">
      <c r="A9" s="1855" t="s">
        <v>1539</v>
      </c>
      <c r="B9" s="1856"/>
      <c r="C9" s="1857"/>
      <c r="D9" s="1857"/>
      <c r="E9" s="1858"/>
      <c r="F9" s="1859"/>
    </row>
    <row r="10" spans="1:10" ht="27.75" customHeight="1" x14ac:dyDescent="0.2">
      <c r="A10" s="1860" t="s">
        <v>1677</v>
      </c>
      <c r="B10" s="1861"/>
      <c r="C10" s="1862"/>
      <c r="D10" s="1862"/>
      <c r="E10" s="1891" t="s">
        <v>1378</v>
      </c>
      <c r="F10" s="1892" t="s">
        <v>1379</v>
      </c>
    </row>
    <row r="11" spans="1:10" ht="12" customHeight="1" x14ac:dyDescent="0.2">
      <c r="A11" s="1863" t="s">
        <v>1380</v>
      </c>
      <c r="B11" s="1864"/>
      <c r="C11" s="1865"/>
      <c r="D11" s="1865"/>
      <c r="E11" s="1866"/>
      <c r="F11" s="1867"/>
      <c r="H11" s="1878">
        <f>IF(C11="X",5,0)</f>
        <v>0</v>
      </c>
      <c r="I11" s="1878">
        <f>IF(D11="X",5,0)</f>
        <v>0</v>
      </c>
      <c r="J11" s="1878">
        <f>IF(E11="X",5,0)</f>
        <v>0</v>
      </c>
    </row>
    <row r="12" spans="1:10" ht="12" customHeight="1" x14ac:dyDescent="0.2">
      <c r="A12" s="1863" t="s">
        <v>1381</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1382</v>
      </c>
      <c r="B13" s="1864"/>
      <c r="C13" s="1865"/>
      <c r="D13" s="1865"/>
      <c r="E13" s="1868"/>
      <c r="F13" s="1867"/>
      <c r="H13" s="1878">
        <f t="shared" si="0"/>
        <v>0</v>
      </c>
      <c r="I13" s="1878">
        <f t="shared" si="1"/>
        <v>0</v>
      </c>
      <c r="J13" s="1878">
        <f t="shared" si="2"/>
        <v>0</v>
      </c>
    </row>
    <row r="14" spans="1:10" ht="12" customHeight="1" x14ac:dyDescent="0.2">
      <c r="A14" s="1863" t="s">
        <v>1383</v>
      </c>
      <c r="B14" s="1864"/>
      <c r="C14" s="1865"/>
      <c r="D14" s="1865"/>
      <c r="E14" s="1868"/>
      <c r="F14" s="1867"/>
      <c r="H14" s="1878">
        <f t="shared" si="0"/>
        <v>0</v>
      </c>
      <c r="I14" s="1878">
        <f t="shared" si="1"/>
        <v>0</v>
      </c>
      <c r="J14" s="1878">
        <f t="shared" si="2"/>
        <v>0</v>
      </c>
    </row>
    <row r="15" spans="1:10" ht="12" customHeight="1" x14ac:dyDescent="0.2">
      <c r="A15" s="1863" t="s">
        <v>1384</v>
      </c>
      <c r="B15" s="1864"/>
      <c r="C15" s="1865" t="s">
        <v>2058</v>
      </c>
      <c r="D15" s="1865" t="s">
        <v>2058</v>
      </c>
      <c r="E15" s="1868"/>
      <c r="F15" s="1867" t="s">
        <v>2081</v>
      </c>
      <c r="H15" s="1878">
        <f t="shared" si="0"/>
        <v>5</v>
      </c>
      <c r="I15" s="1878">
        <f t="shared" si="1"/>
        <v>5</v>
      </c>
      <c r="J15" s="1878">
        <f t="shared" si="2"/>
        <v>0</v>
      </c>
    </row>
    <row r="16" spans="1:10" ht="12" customHeight="1" x14ac:dyDescent="0.2">
      <c r="A16" s="1863" t="s">
        <v>1385</v>
      </c>
      <c r="B16" s="1864"/>
      <c r="C16" s="1865"/>
      <c r="D16" s="1865"/>
      <c r="E16" s="1868"/>
      <c r="F16" s="1867"/>
      <c r="H16" s="1878">
        <f t="shared" si="0"/>
        <v>0</v>
      </c>
      <c r="I16" s="1878">
        <f t="shared" si="1"/>
        <v>0</v>
      </c>
      <c r="J16" s="1878">
        <f t="shared" si="2"/>
        <v>0</v>
      </c>
    </row>
    <row r="17" spans="1:12" ht="12" customHeight="1" x14ac:dyDescent="0.2">
      <c r="A17" s="1863" t="s">
        <v>1386</v>
      </c>
      <c r="B17" s="1864"/>
      <c r="C17" s="1865"/>
      <c r="D17" s="1865"/>
      <c r="E17" s="1868"/>
      <c r="F17" s="1867"/>
      <c r="H17" s="1878">
        <f t="shared" si="0"/>
        <v>0</v>
      </c>
      <c r="I17" s="1878">
        <f t="shared" si="1"/>
        <v>0</v>
      </c>
      <c r="J17" s="1878">
        <f t="shared" si="2"/>
        <v>0</v>
      </c>
    </row>
    <row r="18" spans="1:12" ht="12" customHeight="1" x14ac:dyDescent="0.2">
      <c r="A18" s="1863" t="s">
        <v>1387</v>
      </c>
      <c r="B18" s="1864"/>
      <c r="C18" s="1865"/>
      <c r="D18" s="1865"/>
      <c r="E18" s="1868"/>
      <c r="F18" s="1867"/>
      <c r="H18" s="1878">
        <f t="shared" si="0"/>
        <v>0</v>
      </c>
      <c r="I18" s="1878">
        <f t="shared" si="1"/>
        <v>0</v>
      </c>
      <c r="J18" s="1878">
        <f t="shared" si="2"/>
        <v>0</v>
      </c>
    </row>
    <row r="19" spans="1:12" ht="12" customHeight="1" x14ac:dyDescent="0.2">
      <c r="A19" s="1863" t="s">
        <v>1524</v>
      </c>
      <c r="B19" s="1864"/>
      <c r="C19" s="1865"/>
      <c r="D19" s="1865"/>
      <c r="E19" s="1868"/>
      <c r="F19" s="1867"/>
      <c r="H19" s="1878">
        <f t="shared" si="0"/>
        <v>0</v>
      </c>
      <c r="I19" s="1878">
        <f t="shared" si="1"/>
        <v>0</v>
      </c>
      <c r="J19" s="1878">
        <f t="shared" si="2"/>
        <v>0</v>
      </c>
    </row>
    <row r="20" spans="1:12" ht="12" customHeight="1" x14ac:dyDescent="0.2">
      <c r="A20" s="1863" t="s">
        <v>1525</v>
      </c>
      <c r="B20" s="1864"/>
      <c r="C20" s="1865"/>
      <c r="D20" s="1865"/>
      <c r="E20" s="1868"/>
      <c r="F20" s="1867"/>
      <c r="H20" s="1878">
        <f t="shared" si="0"/>
        <v>0</v>
      </c>
      <c r="I20" s="1878">
        <f t="shared" si="1"/>
        <v>0</v>
      </c>
      <c r="J20" s="1878">
        <f t="shared" si="2"/>
        <v>0</v>
      </c>
    </row>
    <row r="21" spans="1:12" ht="12" customHeight="1" x14ac:dyDescent="0.2">
      <c r="A21" s="1863" t="s">
        <v>1526</v>
      </c>
      <c r="B21" s="1864"/>
      <c r="C21" s="1865"/>
      <c r="D21" s="1865"/>
      <c r="E21" s="1868"/>
      <c r="F21" s="1867"/>
      <c r="H21" s="1878">
        <f t="shared" si="0"/>
        <v>0</v>
      </c>
      <c r="I21" s="1878">
        <f t="shared" si="1"/>
        <v>0</v>
      </c>
      <c r="J21" s="1878">
        <f t="shared" si="2"/>
        <v>0</v>
      </c>
    </row>
    <row r="22" spans="1:12" ht="12" customHeight="1" x14ac:dyDescent="0.2">
      <c r="A22" s="1863" t="s">
        <v>1527</v>
      </c>
      <c r="B22" s="1864"/>
      <c r="C22" s="1865"/>
      <c r="D22" s="1865"/>
      <c r="E22" s="1868"/>
      <c r="F22" s="1867"/>
      <c r="H22" s="1878">
        <f t="shared" si="0"/>
        <v>0</v>
      </c>
      <c r="I22" s="1878">
        <f t="shared" si="1"/>
        <v>0</v>
      </c>
      <c r="J22" s="1878">
        <f t="shared" si="2"/>
        <v>0</v>
      </c>
    </row>
    <row r="23" spans="1:12" ht="12" customHeight="1" x14ac:dyDescent="0.2">
      <c r="A23" s="1863" t="s">
        <v>1528</v>
      </c>
      <c r="B23" s="1864"/>
      <c r="C23" s="1865"/>
      <c r="D23" s="1865"/>
      <c r="E23" s="1868"/>
      <c r="F23" s="1867"/>
      <c r="H23" s="1878">
        <f t="shared" si="0"/>
        <v>0</v>
      </c>
      <c r="I23" s="1878">
        <f t="shared" si="1"/>
        <v>0</v>
      </c>
      <c r="J23" s="1878">
        <f t="shared" si="2"/>
        <v>0</v>
      </c>
    </row>
    <row r="24" spans="1:12" ht="12" customHeight="1" x14ac:dyDescent="0.2">
      <c r="A24" s="1863" t="s">
        <v>1529</v>
      </c>
      <c r="B24" s="1864"/>
      <c r="C24" s="1865"/>
      <c r="D24" s="1865"/>
      <c r="E24" s="1868"/>
      <c r="F24" s="1867"/>
      <c r="H24" s="1878">
        <f t="shared" si="0"/>
        <v>0</v>
      </c>
      <c r="I24" s="1878">
        <f t="shared" si="1"/>
        <v>0</v>
      </c>
      <c r="J24" s="1878">
        <f t="shared" si="2"/>
        <v>0</v>
      </c>
    </row>
    <row r="25" spans="1:12" ht="12" customHeight="1" x14ac:dyDescent="0.2">
      <c r="A25" s="1863" t="s">
        <v>1530</v>
      </c>
      <c r="B25" s="1864"/>
      <c r="C25" s="1865"/>
      <c r="D25" s="1865"/>
      <c r="E25" s="1868"/>
      <c r="F25" s="1867"/>
      <c r="H25" s="1878">
        <f t="shared" si="0"/>
        <v>0</v>
      </c>
      <c r="I25" s="1878">
        <f t="shared" si="1"/>
        <v>0</v>
      </c>
      <c r="J25" s="1878">
        <f t="shared" si="2"/>
        <v>0</v>
      </c>
    </row>
    <row r="26" spans="1:12" ht="12" customHeight="1" x14ac:dyDescent="0.2">
      <c r="A26" s="1863" t="s">
        <v>1531</v>
      </c>
      <c r="B26" s="1864"/>
      <c r="C26" s="1865" t="s">
        <v>2058</v>
      </c>
      <c r="D26" s="1865" t="s">
        <v>2058</v>
      </c>
      <c r="E26" s="1868"/>
      <c r="F26" s="1867" t="s">
        <v>2082</v>
      </c>
      <c r="H26" s="1878">
        <f t="shared" si="0"/>
        <v>5</v>
      </c>
      <c r="I26" s="1878">
        <f t="shared" si="1"/>
        <v>5</v>
      </c>
      <c r="J26" s="1878">
        <f t="shared" si="2"/>
        <v>0</v>
      </c>
    </row>
    <row r="27" spans="1:12" ht="18.75" x14ac:dyDescent="0.2">
      <c r="A27" s="1863" t="s">
        <v>1532</v>
      </c>
      <c r="B27" s="1864"/>
      <c r="C27" s="1865"/>
      <c r="D27" s="1865"/>
      <c r="E27" s="1868"/>
      <c r="F27" s="1867"/>
      <c r="H27" s="1878">
        <f t="shared" si="0"/>
        <v>0</v>
      </c>
      <c r="I27" s="1878">
        <f t="shared" si="1"/>
        <v>0</v>
      </c>
      <c r="J27" s="1878">
        <f t="shared" si="2"/>
        <v>0</v>
      </c>
    </row>
    <row r="28" spans="1:12" ht="12" customHeight="1" x14ac:dyDescent="0.2">
      <c r="A28" s="1863" t="s">
        <v>1533</v>
      </c>
      <c r="B28" s="1864"/>
      <c r="C28" s="1865"/>
      <c r="D28" s="1865"/>
      <c r="E28" s="1868"/>
      <c r="F28" s="1867"/>
      <c r="H28" s="1878">
        <f t="shared" si="0"/>
        <v>0</v>
      </c>
      <c r="I28" s="1878">
        <f t="shared" si="1"/>
        <v>0</v>
      </c>
      <c r="J28" s="1878">
        <f t="shared" si="2"/>
        <v>0</v>
      </c>
    </row>
    <row r="29" spans="1:12" ht="12" customHeight="1" x14ac:dyDescent="0.2">
      <c r="A29" s="1863" t="s">
        <v>1534</v>
      </c>
      <c r="B29" s="1864"/>
      <c r="C29" s="1865"/>
      <c r="D29" s="1865"/>
      <c r="E29" s="1868"/>
      <c r="F29" s="1867"/>
      <c r="H29" s="1878">
        <f t="shared" si="0"/>
        <v>0</v>
      </c>
      <c r="I29" s="1878">
        <f t="shared" si="1"/>
        <v>0</v>
      </c>
      <c r="J29" s="1878">
        <f t="shared" si="2"/>
        <v>0</v>
      </c>
    </row>
    <row r="30" spans="1:12" ht="12" customHeight="1" x14ac:dyDescent="0.2">
      <c r="A30" s="1863" t="s">
        <v>1535</v>
      </c>
      <c r="B30" s="1864"/>
      <c r="C30" s="1865"/>
      <c r="D30" s="1865"/>
      <c r="E30" s="1868"/>
      <c r="F30" s="1867"/>
      <c r="H30" s="1878">
        <f t="shared" si="0"/>
        <v>0</v>
      </c>
      <c r="I30" s="1878">
        <f t="shared" si="1"/>
        <v>0</v>
      </c>
      <c r="J30" s="1878">
        <f t="shared" si="2"/>
        <v>0</v>
      </c>
    </row>
    <row r="31" spans="1:12" ht="12" customHeight="1" x14ac:dyDescent="0.2">
      <c r="A31" s="1863" t="s">
        <v>1536</v>
      </c>
      <c r="B31" s="1864"/>
      <c r="C31" s="1865"/>
      <c r="D31" s="1865"/>
      <c r="E31" s="1868"/>
      <c r="F31" s="1867"/>
      <c r="H31" s="1878">
        <f t="shared" si="0"/>
        <v>0</v>
      </c>
      <c r="I31" s="1878">
        <f t="shared" si="1"/>
        <v>0</v>
      </c>
      <c r="J31" s="1878">
        <f t="shared" si="2"/>
        <v>0</v>
      </c>
      <c r="L31" s="1869"/>
    </row>
    <row r="32" spans="1:12" ht="12" customHeight="1" x14ac:dyDescent="0.2">
      <c r="A32" s="1863" t="s">
        <v>1537</v>
      </c>
      <c r="B32" s="1864"/>
      <c r="C32" s="1865"/>
      <c r="D32" s="1865"/>
      <c r="E32" s="1868"/>
      <c r="F32" s="1867"/>
      <c r="H32" s="1878">
        <f t="shared" si="0"/>
        <v>0</v>
      </c>
      <c r="I32" s="1878">
        <f t="shared" si="1"/>
        <v>0</v>
      </c>
      <c r="J32" s="1878">
        <f t="shared" si="2"/>
        <v>0</v>
      </c>
    </row>
    <row r="33" spans="1:11" ht="12" customHeight="1" x14ac:dyDescent="0.2">
      <c r="A33" s="1863" t="s">
        <v>1538</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1389</v>
      </c>
      <c r="B35" s="1872"/>
      <c r="C35" s="2305"/>
      <c r="D35" s="2305"/>
      <c r="E35" s="2305"/>
      <c r="F35" s="2306"/>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310"/>
      <c r="B38" s="2311"/>
      <c r="C38" s="2311"/>
      <c r="D38" s="2311"/>
      <c r="E38" s="2311"/>
      <c r="F38" s="2312"/>
    </row>
    <row r="39" spans="1:11" ht="4.5" hidden="1" customHeight="1" x14ac:dyDescent="0.2">
      <c r="A39" s="1873"/>
      <c r="B39" s="1873"/>
      <c r="C39" s="1873"/>
      <c r="D39" s="1873"/>
      <c r="E39" s="1873"/>
      <c r="F39" s="1873"/>
    </row>
    <row r="40" spans="1:11" s="1870" customFormat="1" ht="12" customHeight="1" x14ac:dyDescent="0.25">
      <c r="A40" s="1874" t="s">
        <v>1388</v>
      </c>
      <c r="B40" s="1875"/>
      <c r="C40" s="2313"/>
      <c r="D40" s="2313"/>
      <c r="E40" s="2313"/>
      <c r="F40" s="2314"/>
      <c r="H40" s="1879"/>
      <c r="I40" s="1879"/>
      <c r="J40" s="1879"/>
      <c r="K40" s="1879"/>
    </row>
    <row r="41" spans="1:11" s="1870" customFormat="1" ht="12" customHeight="1" x14ac:dyDescent="0.25">
      <c r="A41" s="2315" t="s">
        <v>2083</v>
      </c>
      <c r="B41" s="2316"/>
      <c r="C41" s="2316"/>
      <c r="D41" s="2316"/>
      <c r="E41" s="2316"/>
      <c r="F41" s="2317"/>
      <c r="H41" s="1879"/>
      <c r="I41" s="1879"/>
      <c r="J41" s="1879"/>
      <c r="K41" s="1879"/>
    </row>
    <row r="42" spans="1:11" s="1870" customFormat="1" ht="12" customHeight="1" x14ac:dyDescent="0.25">
      <c r="A42" s="2315" t="s">
        <v>2084</v>
      </c>
      <c r="B42" s="2316"/>
      <c r="C42" s="2316"/>
      <c r="D42" s="2316"/>
      <c r="E42" s="2316"/>
      <c r="F42" s="2317"/>
      <c r="H42" s="1879"/>
      <c r="I42" s="1879"/>
      <c r="J42" s="1879"/>
      <c r="K42" s="1879"/>
    </row>
    <row r="43" spans="1:11" s="1870" customFormat="1" ht="15" x14ac:dyDescent="0.25">
      <c r="A43" s="2307" t="s">
        <v>2085</v>
      </c>
      <c r="B43" s="2308"/>
      <c r="C43" s="2308"/>
      <c r="D43" s="2308"/>
      <c r="E43" s="2308"/>
      <c r="F43" s="2309"/>
      <c r="H43" s="1879"/>
      <c r="I43" s="1879"/>
      <c r="J43" s="1879"/>
      <c r="K43" s="1879"/>
    </row>
    <row r="44" spans="1:11" s="1870" customFormat="1" ht="12" hidden="1" customHeight="1" x14ac:dyDescent="0.25">
      <c r="A44" s="2307"/>
      <c r="B44" s="2308"/>
      <c r="C44" s="2308"/>
      <c r="D44" s="2308"/>
      <c r="E44" s="2308"/>
      <c r="F44" s="230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3" t="str">
        <f>COVER!A17</f>
        <v>Morton Community Unit School District 709</v>
      </c>
      <c r="J6" s="2324"/>
      <c r="Q6" s="1664"/>
    </row>
    <row r="7" spans="1:17" x14ac:dyDescent="0.2">
      <c r="A7" s="2325" t="s">
        <v>869</v>
      </c>
      <c r="B7" s="2326"/>
      <c r="C7" s="2326"/>
      <c r="D7" s="2326"/>
      <c r="E7" s="2327"/>
      <c r="F7" s="1017"/>
      <c r="G7" s="1009"/>
      <c r="H7" s="1016" t="s">
        <v>372</v>
      </c>
      <c r="I7" s="2328" t="str">
        <f>COVER!A13</f>
        <v>53-090-7090-26</v>
      </c>
      <c r="J7" s="232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1973</v>
      </c>
      <c r="F9" s="1023"/>
      <c r="G9" s="1023"/>
      <c r="H9" s="1896" t="s">
        <v>1974</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9" t="s">
        <v>481</v>
      </c>
      <c r="B11" s="2330"/>
      <c r="C11" s="233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366475</v>
      </c>
      <c r="F12" s="1039"/>
      <c r="G12" s="1811">
        <f t="shared" ref="G12:G18" si="0">SUM(E12:F12)</f>
        <v>366475</v>
      </c>
      <c r="H12" s="1040">
        <v>375028</v>
      </c>
      <c r="I12" s="1039"/>
      <c r="J12" s="1811">
        <f t="shared" ref="J12:J18" si="1">SUM(H12:I12)</f>
        <v>375028</v>
      </c>
    </row>
    <row r="13" spans="1:17" ht="15" customHeight="1" x14ac:dyDescent="0.2">
      <c r="A13" s="1035">
        <v>2</v>
      </c>
      <c r="B13" s="1036" t="s">
        <v>42</v>
      </c>
      <c r="C13" s="1037"/>
      <c r="D13" s="1038">
        <v>2330</v>
      </c>
      <c r="E13" s="1811">
        <f>'Expenditures 15-22'!K51</f>
        <v>274273</v>
      </c>
      <c r="F13" s="1039"/>
      <c r="G13" s="1811">
        <f t="shared" si="0"/>
        <v>274273</v>
      </c>
      <c r="H13" s="1040">
        <v>281491</v>
      </c>
      <c r="I13" s="1039"/>
      <c r="J13" s="1811">
        <f t="shared" si="1"/>
        <v>281491</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199721</v>
      </c>
      <c r="F15" s="1811">
        <f>'Expenditures 15-22'!K122</f>
        <v>0</v>
      </c>
      <c r="G15" s="1811">
        <f t="shared" si="0"/>
        <v>199721</v>
      </c>
      <c r="H15" s="1040">
        <v>217254</v>
      </c>
      <c r="I15" s="1040">
        <v>1000</v>
      </c>
      <c r="J15" s="1811">
        <f t="shared" si="1"/>
        <v>218254</v>
      </c>
    </row>
    <row r="16" spans="1:17" ht="15" customHeight="1" x14ac:dyDescent="0.2">
      <c r="A16" s="1035">
        <v>5</v>
      </c>
      <c r="B16" s="1036" t="s">
        <v>101</v>
      </c>
      <c r="C16" s="1037"/>
      <c r="D16" s="1038">
        <v>2570</v>
      </c>
      <c r="E16" s="1811">
        <f>'Expenditures 15-22'!K64</f>
        <v>15745</v>
      </c>
      <c r="F16" s="1039"/>
      <c r="G16" s="1811">
        <f t="shared" si="0"/>
        <v>15745</v>
      </c>
      <c r="H16" s="1040">
        <v>11600</v>
      </c>
      <c r="I16" s="1039"/>
      <c r="J16" s="1811">
        <f t="shared" si="1"/>
        <v>11600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2" t="s">
        <v>7</v>
      </c>
      <c r="C18" s="2333"/>
      <c r="D18" s="2334"/>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856214</v>
      </c>
      <c r="F19" s="1813">
        <f t="shared" si="2"/>
        <v>0</v>
      </c>
      <c r="G19" s="1813">
        <f t="shared" si="2"/>
        <v>856214</v>
      </c>
      <c r="H19" s="1813">
        <f t="shared" si="2"/>
        <v>885373</v>
      </c>
      <c r="I19" s="1813">
        <f t="shared" si="2"/>
        <v>1000</v>
      </c>
      <c r="J19" s="1813">
        <f t="shared" si="2"/>
        <v>886373</v>
      </c>
    </row>
    <row r="20" spans="1:10" ht="13.5" thickTop="1" x14ac:dyDescent="0.2">
      <c r="A20" s="1035">
        <v>9</v>
      </c>
      <c r="B20" s="2335" t="s">
        <v>1975</v>
      </c>
      <c r="C20" s="2335"/>
      <c r="D20" s="2336"/>
      <c r="E20" s="1046"/>
      <c r="F20" s="1046"/>
      <c r="G20" s="1046"/>
      <c r="H20" s="1046"/>
      <c r="I20" s="1046"/>
      <c r="J20" s="1814">
        <f>IF(AND(G19&gt;0,J19&gt;0),(((J19-G19)/G19)),"Enter Budget Data")</f>
        <v>3.5223670717834561E-2</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1033</v>
      </c>
      <c r="D27" s="1052"/>
      <c r="E27" s="1053"/>
      <c r="F27" s="2337" t="s">
        <v>1506</v>
      </c>
      <c r="G27" s="2337"/>
    </row>
    <row r="28" spans="1:10" ht="28.5" customHeight="1" x14ac:dyDescent="0.2">
      <c r="B28" s="1047"/>
      <c r="C28" s="2339"/>
      <c r="D28" s="2339"/>
      <c r="E28" s="1054"/>
      <c r="F28" s="2339"/>
      <c r="G28" s="2339"/>
    </row>
    <row r="29" spans="1:10" x14ac:dyDescent="0.2">
      <c r="B29" s="1047"/>
      <c r="C29" s="1055" t="s">
        <v>1558</v>
      </c>
      <c r="E29" s="1056"/>
      <c r="F29" s="2338" t="s">
        <v>1507</v>
      </c>
      <c r="G29" s="233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1977</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882</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zoomScaleNormal="10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2342" t="s">
        <v>2150</v>
      </c>
    </row>
    <row r="6" spans="1:2" x14ac:dyDescent="0.2">
      <c r="A6" s="1068"/>
      <c r="B6" s="2342"/>
    </row>
    <row r="7" spans="1:2" x14ac:dyDescent="0.2">
      <c r="A7" s="1068">
        <v>2</v>
      </c>
      <c r="B7" s="8" t="s">
        <v>2139</v>
      </c>
    </row>
    <row r="8" spans="1:2" x14ac:dyDescent="0.2">
      <c r="A8" s="1068">
        <v>3</v>
      </c>
      <c r="B8" s="8" t="s">
        <v>2134</v>
      </c>
    </row>
    <row r="9" spans="1:2" x14ac:dyDescent="0.2">
      <c r="A9" s="1068">
        <v>4</v>
      </c>
      <c r="B9" s="1946" t="s">
        <v>2135</v>
      </c>
    </row>
    <row r="10" spans="1:2" x14ac:dyDescent="0.2">
      <c r="A10" s="1068">
        <v>5</v>
      </c>
      <c r="B10" s="1945" t="s">
        <v>2140</v>
      </c>
    </row>
    <row r="11" spans="1:2" x14ac:dyDescent="0.2">
      <c r="A11" s="1068">
        <v>6</v>
      </c>
      <c r="B11" s="1945" t="s">
        <v>2136</v>
      </c>
    </row>
    <row r="12" spans="1:2" x14ac:dyDescent="0.2">
      <c r="A12" s="1068">
        <v>7</v>
      </c>
      <c r="B12" s="2342" t="s">
        <v>2137</v>
      </c>
    </row>
    <row r="13" spans="1:2" x14ac:dyDescent="0.2">
      <c r="B13" s="2342"/>
    </row>
    <row r="14" spans="1:2" x14ac:dyDescent="0.2">
      <c r="B14" s="2342"/>
    </row>
    <row r="15" spans="1:2" x14ac:dyDescent="0.2">
      <c r="A15" s="1068">
        <v>8</v>
      </c>
      <c r="B15" s="2342" t="s">
        <v>2142</v>
      </c>
    </row>
    <row r="16" spans="1:2" x14ac:dyDescent="0.2">
      <c r="A16" s="1068"/>
      <c r="B16" s="2342"/>
    </row>
    <row r="17" spans="1:2" x14ac:dyDescent="0.2">
      <c r="A17" s="1068">
        <v>9</v>
      </c>
      <c r="B17" s="8" t="s">
        <v>2132</v>
      </c>
    </row>
    <row r="18" spans="1:2" x14ac:dyDescent="0.2">
      <c r="A18" s="1068">
        <v>10</v>
      </c>
      <c r="B18" s="8" t="s">
        <v>2141</v>
      </c>
    </row>
    <row r="19" spans="1:2" x14ac:dyDescent="0.2">
      <c r="A19" s="1068">
        <v>11</v>
      </c>
      <c r="B19" s="2342" t="s">
        <v>2138</v>
      </c>
    </row>
    <row r="20" spans="1:2" x14ac:dyDescent="0.2">
      <c r="A20" s="1068"/>
      <c r="B20" s="2342"/>
    </row>
    <row r="21" spans="1:2" x14ac:dyDescent="0.2">
      <c r="A21" s="1068">
        <v>12</v>
      </c>
      <c r="B21" s="8" t="s">
        <v>2133</v>
      </c>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c r="B62" s="258" t="str">
        <f>COVER!A17</f>
        <v>Morton Community Unit School District 709</v>
      </c>
    </row>
    <row r="63" spans="1:2" x14ac:dyDescent="0.2">
      <c r="B63" s="1070" t="str">
        <f>COVER!A13</f>
        <v>53-090-7090-26</v>
      </c>
    </row>
  </sheetData>
  <mergeCells count="4">
    <mergeCell ref="B12:B14"/>
    <mergeCell ref="B19:B20"/>
    <mergeCell ref="B15:B16"/>
    <mergeCell ref="B5:B6"/>
  </mergeCells>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1853</v>
      </c>
      <c r="C4" s="162" t="s">
        <v>1169</v>
      </c>
      <c r="D4" s="169" t="s">
        <v>10</v>
      </c>
      <c r="E4" s="170" t="s">
        <v>22</v>
      </c>
    </row>
    <row r="5" spans="1:5" x14ac:dyDescent="0.2">
      <c r="A5" s="168" t="s">
        <v>1855</v>
      </c>
      <c r="C5" s="162" t="s">
        <v>1169</v>
      </c>
      <c r="D5" s="169" t="s">
        <v>10</v>
      </c>
      <c r="E5" s="170" t="s">
        <v>22</v>
      </c>
    </row>
    <row r="6" spans="1:5" x14ac:dyDescent="0.2">
      <c r="A6" s="168" t="s">
        <v>1854</v>
      </c>
      <c r="C6" s="162" t="s">
        <v>1169</v>
      </c>
      <c r="D6" s="167" t="s">
        <v>11</v>
      </c>
      <c r="E6" s="170" t="s">
        <v>941</v>
      </c>
    </row>
    <row r="7" spans="1:5" x14ac:dyDescent="0.2">
      <c r="A7" s="168" t="s">
        <v>1856</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1857</v>
      </c>
      <c r="C11" s="162" t="s">
        <v>1169</v>
      </c>
      <c r="D11" s="169" t="s">
        <v>14</v>
      </c>
      <c r="E11" s="170" t="s">
        <v>1156</v>
      </c>
    </row>
    <row r="12" spans="1:5" x14ac:dyDescent="0.2">
      <c r="B12" s="169" t="s">
        <v>1858</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1859</v>
      </c>
      <c r="C15" s="162" t="s">
        <v>1169</v>
      </c>
      <c r="D15" s="169" t="s">
        <v>17</v>
      </c>
      <c r="E15" s="170" t="s">
        <v>636</v>
      </c>
    </row>
    <row r="16" spans="1:5" x14ac:dyDescent="0.2">
      <c r="A16" s="172"/>
      <c r="B16" s="162" t="s">
        <v>1860</v>
      </c>
      <c r="C16" s="162" t="s">
        <v>1169</v>
      </c>
      <c r="D16" s="169" t="s">
        <v>681</v>
      </c>
      <c r="E16" s="170" t="s">
        <v>1040</v>
      </c>
    </row>
    <row r="17" spans="1:5" x14ac:dyDescent="0.2">
      <c r="B17" s="167" t="s">
        <v>988</v>
      </c>
      <c r="C17" s="162" t="s">
        <v>1169</v>
      </c>
    </row>
    <row r="18" spans="1:5" x14ac:dyDescent="0.2">
      <c r="B18" s="167" t="s">
        <v>1866</v>
      </c>
      <c r="D18" s="169" t="s">
        <v>18</v>
      </c>
      <c r="E18" s="170" t="s">
        <v>1041</v>
      </c>
    </row>
    <row r="19" spans="1:5" x14ac:dyDescent="0.2">
      <c r="A19" s="168" t="s">
        <v>1099</v>
      </c>
      <c r="C19" s="162" t="s">
        <v>1169</v>
      </c>
      <c r="D19" s="169"/>
      <c r="E19" s="171"/>
    </row>
    <row r="20" spans="1:5" x14ac:dyDescent="0.2">
      <c r="B20" s="167" t="s">
        <v>1861</v>
      </c>
      <c r="C20" s="162" t="s">
        <v>1169</v>
      </c>
      <c r="D20" s="169" t="s">
        <v>19</v>
      </c>
      <c r="E20" s="170" t="s">
        <v>51</v>
      </c>
    </row>
    <row r="21" spans="1:5" x14ac:dyDescent="0.2">
      <c r="B21" s="167" t="s">
        <v>1862</v>
      </c>
      <c r="C21" s="162" t="s">
        <v>1169</v>
      </c>
      <c r="D21" s="169" t="s">
        <v>20</v>
      </c>
      <c r="E21" s="170" t="s">
        <v>1607</v>
      </c>
    </row>
    <row r="22" spans="1:5" x14ac:dyDescent="0.2">
      <c r="A22" s="168"/>
      <c r="B22" s="162" t="s">
        <v>1850</v>
      </c>
      <c r="C22" s="162" t="s">
        <v>1169</v>
      </c>
      <c r="D22" s="167" t="s">
        <v>1852</v>
      </c>
      <c r="E22" s="1836" t="s">
        <v>1608</v>
      </c>
    </row>
    <row r="23" spans="1:5" x14ac:dyDescent="0.2">
      <c r="A23" s="168"/>
      <c r="B23" s="162" t="s">
        <v>1851</v>
      </c>
      <c r="D23" s="167" t="s">
        <v>637</v>
      </c>
      <c r="E23" s="1836" t="s">
        <v>959</v>
      </c>
    </row>
    <row r="24" spans="1:5" x14ac:dyDescent="0.2">
      <c r="A24" s="168" t="s">
        <v>1606</v>
      </c>
      <c r="C24" s="162" t="s">
        <v>1169</v>
      </c>
      <c r="D24" s="167" t="s">
        <v>1390</v>
      </c>
      <c r="E24" s="170" t="s">
        <v>960</v>
      </c>
    </row>
    <row r="25" spans="1:5" x14ac:dyDescent="0.2">
      <c r="A25" s="168" t="s">
        <v>1863</v>
      </c>
      <c r="C25" s="162" t="s">
        <v>1169</v>
      </c>
      <c r="D25" s="169" t="s">
        <v>21</v>
      </c>
      <c r="E25" s="170" t="s">
        <v>1042</v>
      </c>
    </row>
    <row r="26" spans="1:5" x14ac:dyDescent="0.2">
      <c r="A26" s="168" t="s">
        <v>1864</v>
      </c>
      <c r="C26" s="162" t="s">
        <v>1169</v>
      </c>
      <c r="D26" s="169" t="s">
        <v>563</v>
      </c>
      <c r="E26" s="170" t="s">
        <v>1043</v>
      </c>
    </row>
    <row r="27" spans="1:5" x14ac:dyDescent="0.2">
      <c r="A27" s="168" t="s">
        <v>1865</v>
      </c>
      <c r="C27" s="162" t="s">
        <v>1169</v>
      </c>
      <c r="D27" s="169" t="s">
        <v>557</v>
      </c>
      <c r="E27" s="170" t="s">
        <v>683</v>
      </c>
    </row>
    <row r="28" spans="1:5" x14ac:dyDescent="0.2">
      <c r="A28" s="168" t="s">
        <v>1867</v>
      </c>
      <c r="D28" s="169" t="s">
        <v>684</v>
      </c>
      <c r="E28" s="170" t="s">
        <v>1363</v>
      </c>
    </row>
    <row r="29" spans="1:5" x14ac:dyDescent="0.2">
      <c r="A29" s="168" t="s">
        <v>1868</v>
      </c>
      <c r="D29" s="169" t="s">
        <v>1391</v>
      </c>
      <c r="E29" s="170" t="s">
        <v>1372</v>
      </c>
    </row>
    <row r="30" spans="1:5" x14ac:dyDescent="0.2">
      <c r="A30" s="173" t="s">
        <v>1869</v>
      </c>
      <c r="C30" s="162" t="s">
        <v>1169</v>
      </c>
      <c r="D30" s="169" t="s">
        <v>40</v>
      </c>
      <c r="E30" s="170" t="s">
        <v>982</v>
      </c>
    </row>
    <row r="31" spans="1:5" x14ac:dyDescent="0.2">
      <c r="A31" s="168" t="s">
        <v>1518</v>
      </c>
      <c r="C31" s="162" t="s">
        <v>1169</v>
      </c>
      <c r="D31" s="167"/>
      <c r="E31" s="171"/>
    </row>
    <row r="32" spans="1:5" x14ac:dyDescent="0.2">
      <c r="B32" s="167" t="s">
        <v>1870</v>
      </c>
      <c r="C32" s="162" t="s">
        <v>1169</v>
      </c>
      <c r="D32" s="169" t="s">
        <v>1519</v>
      </c>
      <c r="E32" s="170" t="s">
        <v>1392</v>
      </c>
    </row>
    <row r="33" spans="1:5" x14ac:dyDescent="0.2">
      <c r="A33" s="172"/>
      <c r="D33" s="169"/>
      <c r="E33" s="171"/>
    </row>
    <row r="34" spans="1:5" x14ac:dyDescent="0.2">
      <c r="A34" s="172"/>
      <c r="D34" s="169"/>
      <c r="E34" s="171"/>
    </row>
    <row r="35" spans="1:5" ht="15.75" customHeight="1" thickBot="1" x14ac:dyDescent="0.25">
      <c r="A35" s="2059" t="s">
        <v>1065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691</v>
      </c>
      <c r="B40" s="2056"/>
      <c r="C40" s="2056"/>
      <c r="D40" s="2056"/>
      <c r="E40" s="2056"/>
    </row>
    <row r="41" spans="1:5" x14ac:dyDescent="0.2">
      <c r="A41" s="2057" t="s">
        <v>1605</v>
      </c>
      <c r="B41" s="2057"/>
      <c r="C41" s="2057"/>
      <c r="D41" s="2057"/>
      <c r="E41" s="2057"/>
    </row>
    <row r="42" spans="1:5" ht="12.75" customHeight="1" x14ac:dyDescent="0.2">
      <c r="A42" s="2058" t="s">
        <v>1022</v>
      </c>
      <c r="B42" s="2058"/>
      <c r="C42" s="2058"/>
      <c r="D42" s="2058"/>
      <c r="E42" s="2058"/>
    </row>
    <row r="43" spans="1:5" ht="6.75" customHeight="1" x14ac:dyDescent="0.2">
      <c r="A43" s="167"/>
      <c r="B43" s="176"/>
    </row>
    <row r="44" spans="1:5" x14ac:dyDescent="0.2">
      <c r="A44" s="185" t="s">
        <v>983</v>
      </c>
      <c r="B44" s="186" t="s">
        <v>1896</v>
      </c>
    </row>
    <row r="45" spans="1:5" ht="6.75" customHeight="1" x14ac:dyDescent="0.2">
      <c r="A45" s="187"/>
      <c r="B45" s="186"/>
    </row>
    <row r="46" spans="1:5" x14ac:dyDescent="0.2">
      <c r="A46" s="185" t="s">
        <v>984</v>
      </c>
      <c r="B46" s="169" t="s">
        <v>1610</v>
      </c>
    </row>
    <row r="47" spans="1:5" ht="9.75" customHeight="1" x14ac:dyDescent="0.2">
      <c r="A47" s="189"/>
      <c r="B47" s="188"/>
    </row>
    <row r="48" spans="1:5" x14ac:dyDescent="0.2">
      <c r="A48" s="169" t="s">
        <v>1609</v>
      </c>
      <c r="B48" s="169" t="s">
        <v>1614</v>
      </c>
      <c r="C48" s="177"/>
    </row>
    <row r="49" spans="1:3" ht="9.75" customHeight="1" x14ac:dyDescent="0.2">
      <c r="A49" s="188"/>
      <c r="B49" s="188"/>
      <c r="C49" s="177"/>
    </row>
    <row r="50" spans="1:3" x14ac:dyDescent="0.2">
      <c r="A50" s="200" t="s">
        <v>1611</v>
      </c>
      <c r="B50" s="198" t="s">
        <v>1615</v>
      </c>
    </row>
    <row r="51" spans="1:3" x14ac:dyDescent="0.2">
      <c r="B51" s="169" t="s">
        <v>1765</v>
      </c>
    </row>
    <row r="52" spans="1:3" x14ac:dyDescent="0.2">
      <c r="A52" s="190"/>
      <c r="B52" s="188" t="s">
        <v>1785</v>
      </c>
    </row>
    <row r="53" spans="1:3" ht="4.5" customHeight="1" x14ac:dyDescent="0.2">
      <c r="A53" s="190"/>
      <c r="B53" s="190"/>
    </row>
    <row r="54" spans="1:3" x14ac:dyDescent="0.2">
      <c r="A54" s="190"/>
      <c r="B54" s="201" t="s">
        <v>1612</v>
      </c>
    </row>
    <row r="55" spans="1:3" ht="8.25" customHeight="1" x14ac:dyDescent="0.2">
      <c r="A55" s="190"/>
      <c r="B55" s="191"/>
    </row>
    <row r="56" spans="1:3" x14ac:dyDescent="0.2">
      <c r="A56" s="192"/>
      <c r="B56" s="169" t="s">
        <v>1766</v>
      </c>
    </row>
    <row r="57" spans="1:3" x14ac:dyDescent="0.2">
      <c r="A57" s="193"/>
      <c r="B57" s="190" t="s">
        <v>1768</v>
      </c>
    </row>
    <row r="58" spans="1:3" x14ac:dyDescent="0.2">
      <c r="A58" s="194"/>
      <c r="B58" s="190" t="s">
        <v>1769</v>
      </c>
    </row>
    <row r="59" spans="1:3" x14ac:dyDescent="0.2">
      <c r="A59" s="195"/>
      <c r="B59" s="1485" t="s">
        <v>1770</v>
      </c>
    </row>
    <row r="60" spans="1:3" x14ac:dyDescent="0.2">
      <c r="A60" s="196"/>
      <c r="B60" s="1485" t="s">
        <v>1771</v>
      </c>
    </row>
    <row r="61" spans="1:3" ht="6" customHeight="1" x14ac:dyDescent="0.2">
      <c r="A61" s="197"/>
      <c r="B61" s="189"/>
    </row>
    <row r="62" spans="1:3" x14ac:dyDescent="0.2">
      <c r="A62" s="169" t="s">
        <v>1613</v>
      </c>
      <c r="B62" s="198" t="s">
        <v>1767</v>
      </c>
    </row>
    <row r="63" spans="1:3" x14ac:dyDescent="0.2">
      <c r="A63" s="188"/>
      <c r="B63" s="169" t="s">
        <v>1782</v>
      </c>
    </row>
    <row r="64" spans="1:3" x14ac:dyDescent="0.2">
      <c r="A64" s="195"/>
      <c r="B64" s="1487" t="s">
        <v>1772</v>
      </c>
    </row>
    <row r="65" spans="1:9" x14ac:dyDescent="0.2">
      <c r="A65" s="188"/>
      <c r="B65" s="169" t="s">
        <v>1783</v>
      </c>
    </row>
    <row r="66" spans="1:9" x14ac:dyDescent="0.2">
      <c r="A66" s="190"/>
      <c r="B66" s="190" t="s">
        <v>1773</v>
      </c>
    </row>
    <row r="67" spans="1:9" ht="12" customHeight="1" x14ac:dyDescent="0.2">
      <c r="A67" s="188"/>
      <c r="B67" s="169" t="s">
        <v>1784</v>
      </c>
    </row>
    <row r="68" spans="1:9" x14ac:dyDescent="0.2">
      <c r="A68" s="189"/>
      <c r="B68" s="190" t="s">
        <v>1774</v>
      </c>
    </row>
    <row r="69" spans="1:9" x14ac:dyDescent="0.2">
      <c r="A69" s="190"/>
      <c r="B69" s="188" t="s">
        <v>1775</v>
      </c>
    </row>
    <row r="70" spans="1:9" ht="13.5" customHeight="1" x14ac:dyDescent="0.2">
      <c r="A70" s="190"/>
      <c r="B70" s="188" t="s">
        <v>1776</v>
      </c>
    </row>
    <row r="71" spans="1:9" ht="12" customHeight="1" x14ac:dyDescent="0.2">
      <c r="A71" s="192"/>
      <c r="B71" s="1486" t="s">
        <v>1616</v>
      </c>
    </row>
    <row r="72" spans="1:9" ht="9" customHeight="1" x14ac:dyDescent="0.2">
      <c r="A72" s="192"/>
      <c r="B72" s="199"/>
    </row>
    <row r="73" spans="1:9" x14ac:dyDescent="0.2">
      <c r="A73" s="189" t="s">
        <v>1617</v>
      </c>
      <c r="B73" s="169" t="s">
        <v>1778</v>
      </c>
    </row>
    <row r="74" spans="1:9" x14ac:dyDescent="0.2">
      <c r="A74" s="189"/>
      <c r="B74" s="169" t="s">
        <v>1777</v>
      </c>
    </row>
    <row r="75" spans="1:9" ht="8.25" customHeight="1" x14ac:dyDescent="0.2">
      <c r="A75" s="189"/>
      <c r="B75" s="189"/>
    </row>
    <row r="76" spans="1:9" ht="12.2" customHeight="1" x14ac:dyDescent="0.2">
      <c r="A76" s="189" t="s">
        <v>1618</v>
      </c>
      <c r="B76" s="198" t="s">
        <v>1779</v>
      </c>
    </row>
    <row r="77" spans="1:9" ht="12.2" customHeight="1" x14ac:dyDescent="0.2">
      <c r="A77" s="190"/>
      <c r="B77" s="169" t="s">
        <v>1619</v>
      </c>
      <c r="C77" s="179"/>
      <c r="D77" s="180"/>
      <c r="E77" s="181"/>
      <c r="F77" s="181"/>
      <c r="G77" s="181"/>
      <c r="H77" s="181"/>
      <c r="I77" s="181"/>
    </row>
    <row r="78" spans="1:9" ht="11.25" customHeight="1" x14ac:dyDescent="0.2">
      <c r="A78" s="190"/>
      <c r="B78" s="190" t="s">
        <v>1781</v>
      </c>
      <c r="C78" s="179"/>
      <c r="D78" s="182"/>
      <c r="E78" s="182"/>
      <c r="F78" s="182"/>
      <c r="G78" s="182"/>
      <c r="H78" s="182"/>
      <c r="I78" s="181"/>
    </row>
    <row r="79" spans="1:9" ht="12.2" customHeight="1" x14ac:dyDescent="0.2">
      <c r="A79" s="190"/>
      <c r="B79" s="169" t="s">
        <v>1620</v>
      </c>
      <c r="C79" s="179"/>
      <c r="D79" s="182"/>
      <c r="E79" s="182"/>
      <c r="F79" s="182"/>
      <c r="G79" s="182"/>
      <c r="H79" s="182"/>
      <c r="I79" s="181"/>
    </row>
    <row r="80" spans="1:9" ht="11.25" customHeight="1" x14ac:dyDescent="0.2">
      <c r="A80" s="189"/>
      <c r="B80" s="190" t="s">
        <v>1780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1411</v>
      </c>
      <c r="D6" s="24"/>
    </row>
    <row r="7" spans="1:4" ht="13.5" customHeight="1" x14ac:dyDescent="0.2">
      <c r="A7" s="23"/>
      <c r="B7" s="25"/>
      <c r="C7" s="65" t="s">
        <v>1412</v>
      </c>
      <c r="D7" s="24"/>
    </row>
    <row r="8" spans="1:4" ht="13.5" customHeight="1" x14ac:dyDescent="0.2">
      <c r="A8" s="23"/>
      <c r="B8" s="146" t="s">
        <v>943</v>
      </c>
      <c r="C8" s="65" t="s">
        <v>1397</v>
      </c>
      <c r="D8" s="24"/>
    </row>
    <row r="9" spans="1:4" ht="13.5" customHeight="1" x14ac:dyDescent="0.2">
      <c r="A9" s="14"/>
      <c r="B9" s="144" t="s">
        <v>944</v>
      </c>
      <c r="C9" s="142" t="s">
        <v>1316</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1396</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1322</v>
      </c>
      <c r="C15" s="142" t="s">
        <v>1323</v>
      </c>
    </row>
    <row r="16" spans="1:4" ht="12.75" customHeight="1" x14ac:dyDescent="0.2">
      <c r="C16" s="142" t="s">
        <v>1324</v>
      </c>
    </row>
    <row r="17" spans="3:3" ht="12.75" customHeight="1" x14ac:dyDescent="0.2">
      <c r="C17" s="66" t="s">
        <v>1325</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1490</v>
      </c>
    </row>
    <row r="15" spans="1:6" x14ac:dyDescent="0.2">
      <c r="A15" s="389" t="s">
        <v>857</v>
      </c>
    </row>
    <row r="16" spans="1:6" s="1071" customFormat="1" ht="45" customHeight="1" x14ac:dyDescent="0.2">
      <c r="A16" s="1073"/>
      <c r="B16" s="1073" t="s">
        <v>1681</v>
      </c>
    </row>
    <row r="17" spans="1:2" ht="6" customHeight="1" x14ac:dyDescent="0.2"/>
    <row r="18" spans="1:2" ht="24.75" customHeight="1" x14ac:dyDescent="0.2">
      <c r="A18" s="2343" t="s">
        <v>1682</v>
      </c>
      <c r="B18" s="234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819150</xdr:colOff>
                <xdr:row>2</xdr:row>
                <xdr:rowOff>133350</xdr:rowOff>
              </from>
              <to>
                <xdr:col>1</xdr:col>
                <xdr:colOff>1733550</xdr:colOff>
                <xdr:row>7</xdr:row>
                <xdr:rowOff>9525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1687</v>
      </c>
      <c r="B1" s="2345"/>
      <c r="C1" s="2345"/>
      <c r="D1" s="2345"/>
      <c r="E1" s="2345"/>
      <c r="F1" s="2346"/>
    </row>
    <row r="2" spans="1:8" ht="45" customHeight="1" x14ac:dyDescent="0.2">
      <c r="A2" s="2354" t="s">
        <v>1981</v>
      </c>
      <c r="B2" s="2355"/>
      <c r="C2" s="2355"/>
      <c r="D2" s="2355"/>
      <c r="E2" s="2355"/>
      <c r="F2" s="2356"/>
      <c r="G2" s="1074"/>
      <c r="H2" s="1074"/>
    </row>
    <row r="3" spans="1:8" ht="57" customHeight="1" x14ac:dyDescent="0.2">
      <c r="A3" s="2357" t="s">
        <v>1683</v>
      </c>
      <c r="B3" s="2358"/>
      <c r="C3" s="2358"/>
      <c r="D3" s="2358"/>
      <c r="E3" s="2358"/>
      <c r="F3" s="2359"/>
      <c r="G3" s="1074"/>
      <c r="H3" s="1074"/>
    </row>
    <row r="4" spans="1:8" ht="14.25" customHeight="1" x14ac:dyDescent="0.2">
      <c r="A4" s="2363" t="s">
        <v>1982</v>
      </c>
      <c r="B4" s="2364"/>
      <c r="C4" s="2364"/>
      <c r="D4" s="2364"/>
      <c r="E4" s="2364"/>
      <c r="F4" s="2365"/>
      <c r="G4" s="1074"/>
      <c r="H4" s="1074"/>
    </row>
    <row r="5" spans="1:8" ht="14.25" customHeight="1" x14ac:dyDescent="0.2">
      <c r="A5" s="2366" t="s">
        <v>1978</v>
      </c>
      <c r="B5" s="2367"/>
      <c r="C5" s="2367"/>
      <c r="D5" s="2367"/>
      <c r="E5" s="2367"/>
      <c r="F5" s="2368"/>
      <c r="G5" s="1074"/>
      <c r="H5" s="1074"/>
    </row>
    <row r="6" spans="1:8" s="1075" customFormat="1" ht="41.25" customHeight="1" x14ac:dyDescent="0.2">
      <c r="A6" s="2360" t="s">
        <v>1688</v>
      </c>
      <c r="B6" s="2361"/>
      <c r="C6" s="2361"/>
      <c r="D6" s="2361"/>
      <c r="E6" s="2361"/>
      <c r="F6" s="2362"/>
    </row>
    <row r="7" spans="1:8" ht="42" customHeight="1" x14ac:dyDescent="0.2">
      <c r="A7" s="1076" t="s">
        <v>481</v>
      </c>
      <c r="B7" s="1077" t="s">
        <v>1493</v>
      </c>
      <c r="C7" s="1077" t="s">
        <v>1494</v>
      </c>
      <c r="D7" s="1077" t="s">
        <v>1492</v>
      </c>
      <c r="E7" s="1077" t="s">
        <v>1495</v>
      </c>
      <c r="F7" s="1077" t="s">
        <v>1364</v>
      </c>
    </row>
    <row r="8" spans="1:8" s="1079" customFormat="1" ht="14.25" customHeight="1" x14ac:dyDescent="0.2">
      <c r="A8" s="1078" t="s">
        <v>1365</v>
      </c>
      <c r="B8" s="1815">
        <f>'Acct Summary 7-8'!C8</f>
        <v>27335967</v>
      </c>
      <c r="C8" s="1815">
        <f>'Acct Summary 7-8'!D8</f>
        <v>6024593</v>
      </c>
      <c r="D8" s="1815">
        <f>'Acct Summary 7-8'!F8</f>
        <v>957405</v>
      </c>
      <c r="E8" s="1815">
        <f>'Acct Summary 7-8'!I8</f>
        <v>317337</v>
      </c>
      <c r="F8" s="1815">
        <f>SUM(B8:E8)</f>
        <v>34635302</v>
      </c>
    </row>
    <row r="9" spans="1:8" s="1079" customFormat="1" ht="14.25" customHeight="1" thickBot="1" x14ac:dyDescent="0.25">
      <c r="A9" s="1078" t="s">
        <v>1366</v>
      </c>
      <c r="B9" s="1816">
        <f>'Acct Summary 7-8'!C17</f>
        <v>26882011</v>
      </c>
      <c r="C9" s="1816">
        <f>'Acct Summary 7-8'!D17</f>
        <v>5672774</v>
      </c>
      <c r="D9" s="1816">
        <f>'Acct Summary 7-8'!F17</f>
        <v>1151900</v>
      </c>
      <c r="E9" s="1815"/>
      <c r="F9" s="1815">
        <f>SUM(B9:E9)</f>
        <v>33706685</v>
      </c>
    </row>
    <row r="10" spans="1:8" s="1079" customFormat="1" ht="14.25" thickTop="1" thickBot="1" x14ac:dyDescent="0.25">
      <c r="A10" s="1080" t="s">
        <v>1367</v>
      </c>
      <c r="B10" s="1817">
        <f>(B8-B9)</f>
        <v>453956</v>
      </c>
      <c r="C10" s="1817">
        <f>(C8-C9)</f>
        <v>351819</v>
      </c>
      <c r="D10" s="1817">
        <f>(D8-D9)</f>
        <v>-194495</v>
      </c>
      <c r="E10" s="1816">
        <f>(E8-E9)</f>
        <v>317337</v>
      </c>
      <c r="F10" s="1818">
        <f>SUM(F8-F9)</f>
        <v>928617</v>
      </c>
    </row>
    <row r="11" spans="1:8" s="1079" customFormat="1" ht="14.25" thickTop="1" thickBot="1" x14ac:dyDescent="0.25">
      <c r="A11" s="1081" t="s">
        <v>1979</v>
      </c>
      <c r="B11" s="1819">
        <f>'Acct Summary 7-8'!C81</f>
        <v>18390507</v>
      </c>
      <c r="C11" s="1819">
        <f>'Acct Summary 7-8'!D81</f>
        <v>9657555</v>
      </c>
      <c r="D11" s="1819">
        <f>'Acct Summary 7-8'!F81</f>
        <v>1147023</v>
      </c>
      <c r="E11" s="1819">
        <f>'Acct Summary 7-8'!I81</f>
        <v>2844496</v>
      </c>
      <c r="F11" s="1820">
        <f>SUM(B11:E11)</f>
        <v>32039581</v>
      </c>
    </row>
    <row r="12" spans="1:8" ht="16.5" customHeight="1" thickTop="1" x14ac:dyDescent="0.2">
      <c r="A12" s="1082"/>
      <c r="B12" s="1083"/>
      <c r="C12" s="2348" t="str">
        <f>IF(AND(F10&lt;0,F11&gt;=0,ABS(F10*3)&gt;ABS(F11)),A16,IF(AND(F10&lt;0,F11&gt;0,ABS(F10*3)&lt;=ABS(F11)),A17,IF(AND(F10&lt;0,F11&lt;0),A16,IF(F11=0,A19,A18))))</f>
        <v>Balanced - no deficit reduction plan is required.</v>
      </c>
      <c r="D12" s="2349"/>
      <c r="E12" s="2349"/>
      <c r="F12" s="2350"/>
    </row>
    <row r="13" spans="1:8" ht="19.5" customHeight="1" x14ac:dyDescent="0.2">
      <c r="A13" s="1084"/>
      <c r="B13" s="1085"/>
      <c r="C13" s="2348"/>
      <c r="D13" s="2349"/>
      <c r="E13" s="2349"/>
      <c r="F13" s="2350"/>
      <c r="H13" s="1074"/>
    </row>
    <row r="14" spans="1:8" ht="19.5" customHeight="1" x14ac:dyDescent="0.2">
      <c r="A14" s="1084"/>
      <c r="B14" s="1085"/>
      <c r="C14" s="2348"/>
      <c r="D14" s="2349"/>
      <c r="E14" s="2349"/>
      <c r="F14" s="2350"/>
      <c r="H14" s="1074"/>
    </row>
    <row r="15" spans="1:8" ht="17.25" customHeight="1" x14ac:dyDescent="0.2">
      <c r="A15" s="1084"/>
      <c r="B15" s="1085"/>
      <c r="C15" s="2351"/>
      <c r="D15" s="2352"/>
      <c r="E15" s="2352"/>
      <c r="F15" s="2353"/>
      <c r="H15" s="1074"/>
    </row>
    <row r="16" spans="1:8" s="310" customFormat="1" ht="51.75" hidden="1" customHeight="1" x14ac:dyDescent="0.2">
      <c r="A16" s="2347" t="s">
        <v>1684</v>
      </c>
      <c r="B16" s="2347"/>
      <c r="C16" s="2347"/>
      <c r="D16" s="2347"/>
      <c r="E16" s="2347"/>
      <c r="F16" s="310" t="s">
        <v>1368</v>
      </c>
    </row>
    <row r="17" spans="1:6" hidden="1" x14ac:dyDescent="0.2">
      <c r="A17" s="316" t="s">
        <v>1685</v>
      </c>
      <c r="F17" s="1086" t="s">
        <v>1369</v>
      </c>
    </row>
    <row r="18" spans="1:6" hidden="1" x14ac:dyDescent="0.2">
      <c r="A18" s="316" t="s">
        <v>1686</v>
      </c>
      <c r="F18" s="316" t="s">
        <v>1407</v>
      </c>
    </row>
    <row r="19" spans="1:6" hidden="1" x14ac:dyDescent="0.2">
      <c r="A19" s="316" t="s">
        <v>1406</v>
      </c>
      <c r="F19" s="316" t="s">
        <v>1371</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topLeftCell="A53"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9" t="s">
        <v>665</v>
      </c>
      <c r="B3" s="2370"/>
      <c r="C3" s="2370"/>
      <c r="D3" s="2371"/>
    </row>
    <row r="4" spans="1:4" x14ac:dyDescent="0.2">
      <c r="A4" s="1152" t="s">
        <v>1689</v>
      </c>
      <c r="B4" s="1153"/>
      <c r="C4" s="1154"/>
      <c r="D4" s="1155"/>
    </row>
    <row r="5" spans="1:4" ht="21" customHeight="1" x14ac:dyDescent="0.2">
      <c r="A5" s="1148"/>
      <c r="B5" s="1149">
        <v>1</v>
      </c>
      <c r="C5" s="1150" t="s">
        <v>1829</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0" t="s">
        <v>1501</v>
      </c>
      <c r="D7" s="2381"/>
    </row>
    <row r="8" spans="1:4" s="668" customFormat="1" ht="12.75" x14ac:dyDescent="0.2">
      <c r="A8" s="1138"/>
      <c r="B8" s="1093"/>
      <c r="C8" s="1096" t="s">
        <v>1500</v>
      </c>
      <c r="D8" s="1097"/>
    </row>
    <row r="9" spans="1:4" s="668" customFormat="1" ht="14.25" customHeight="1" x14ac:dyDescent="0.2">
      <c r="A9" s="1138"/>
      <c r="B9" s="1093">
        <f>B7+1</f>
        <v>4</v>
      </c>
      <c r="C9" s="1094" t="s">
        <v>1907</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1502</v>
      </c>
      <c r="D14" s="1137"/>
    </row>
    <row r="15" spans="1:4" s="668" customFormat="1" ht="21.75" customHeight="1" x14ac:dyDescent="0.2">
      <c r="A15" s="2372" t="s">
        <v>1008</v>
      </c>
      <c r="B15" s="2373"/>
      <c r="C15" s="2373"/>
      <c r="D15" s="2374"/>
    </row>
    <row r="16" spans="1:4" s="668" customFormat="1" ht="24" customHeight="1" x14ac:dyDescent="0.2">
      <c r="A16" s="2375" t="s">
        <v>663</v>
      </c>
      <c r="B16" s="2376"/>
      <c r="C16" s="2376"/>
      <c r="D16" s="2377"/>
    </row>
    <row r="17" spans="1:10" s="668" customFormat="1" ht="12.75" customHeight="1" x14ac:dyDescent="0.2">
      <c r="A17" s="1156" t="s">
        <v>1690</v>
      </c>
      <c r="B17" s="1157"/>
      <c r="C17" s="1158"/>
      <c r="D17" s="1159"/>
    </row>
    <row r="18" spans="1:10" s="668" customFormat="1" ht="12.75" customHeight="1" x14ac:dyDescent="0.2">
      <c r="A18" s="1160" t="s">
        <v>1691</v>
      </c>
      <c r="B18" s="1161"/>
      <c r="C18" s="1162"/>
      <c r="D18" s="1163"/>
    </row>
    <row r="19" spans="1:10" ht="6.75" customHeight="1" thickBot="1" x14ac:dyDescent="0.25">
      <c r="A19" s="1164"/>
      <c r="B19" s="1165"/>
      <c r="C19" s="1166"/>
      <c r="D19" s="1167"/>
    </row>
    <row r="20" spans="1:10" s="1171" customFormat="1" ht="12.75" thickTop="1" x14ac:dyDescent="0.2">
      <c r="A20" s="1168"/>
      <c r="B20" s="1169" t="s">
        <v>1692</v>
      </c>
      <c r="C20" s="1170"/>
      <c r="D20" s="1173" t="s">
        <v>710</v>
      </c>
    </row>
    <row r="21" spans="1:10" x14ac:dyDescent="0.2">
      <c r="A21" s="1098"/>
      <c r="B21" s="1099">
        <v>1</v>
      </c>
      <c r="C21" s="2384" t="s">
        <v>314</v>
      </c>
      <c r="D21" s="2385"/>
    </row>
    <row r="22" spans="1:10" ht="12.75" x14ac:dyDescent="0.2">
      <c r="A22" s="1139"/>
      <c r="B22" s="1140">
        <v>2</v>
      </c>
      <c r="C22" s="2382" t="s">
        <v>1521</v>
      </c>
      <c r="D22" s="238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1329</v>
      </c>
      <c r="D24" s="1142" t="str">
        <f>IF(COVER!O11="X","OK",IF(AND('Aud Quest 2'!J90=0,'Aud Quest 2'!I77&lt;DATE(2017,12,31)),"ENTER ACCOUNTING INFO",IF(AND('Aud Quest 2'!J90&gt;0,'Aud Quest 2'!I77&lt;DATE(2017,12,31)),"OK")))</f>
        <v>OK</v>
      </c>
    </row>
    <row r="25" spans="1:10" x14ac:dyDescent="0.2">
      <c r="A25" s="1100"/>
      <c r="B25" s="1101"/>
      <c r="C25" s="1102" t="s">
        <v>1523</v>
      </c>
      <c r="D25" s="1103" t="str">
        <f>IF(AND(COVER!J29="X",COVER!J30="X",COVER!L30&lt;&gt;"X"),"OK",IF(AND(COVER!J29="X",COVER!J30&lt;&gt;"X",COVER!L30="X"),"OK",IF(AND(COVER!L29="X",COVER!J30&lt;&gt;"X"),"OK","PLEASE CHECK YES or NO.")))</f>
        <v>OK</v>
      </c>
    </row>
    <row r="26" spans="1:10" x14ac:dyDescent="0.2">
      <c r="A26" s="1100"/>
      <c r="B26" s="1143"/>
      <c r="C26" s="1104" t="s">
        <v>1522</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6" t="s">
        <v>536</v>
      </c>
      <c r="D43" s="2387"/>
    </row>
    <row r="44" spans="1:12" x14ac:dyDescent="0.2">
      <c r="A44" s="1119"/>
      <c r="B44" s="1121"/>
      <c r="C44" s="1122" t="s">
        <v>1332</v>
      </c>
      <c r="D44" s="1123" t="str">
        <f>IF(SUM('Assets-Liab 5-6'!C13)&lt;&gt;SUM('Assets-Liab 5-6'!C41),"ERROR!","OK")</f>
        <v>OK</v>
      </c>
    </row>
    <row r="45" spans="1:12" x14ac:dyDescent="0.2">
      <c r="A45" s="1119"/>
      <c r="B45" s="1121"/>
      <c r="C45" s="1122" t="s">
        <v>1333</v>
      </c>
      <c r="D45" s="1123" t="str">
        <f>IF(SUM('Assets-Liab 5-6'!D13)&lt;&gt;SUM('Assets-Liab 5-6'!D41),"ERROR!","OK")</f>
        <v>OK</v>
      </c>
    </row>
    <row r="46" spans="1:12" x14ac:dyDescent="0.2">
      <c r="A46" s="1119"/>
      <c r="B46" s="1121"/>
      <c r="C46" s="1122" t="s">
        <v>1334</v>
      </c>
      <c r="D46" s="1123" t="str">
        <f>IF(SUM('Assets-Liab 5-6'!E13)&lt;&gt;SUM('Assets-Liab 5-6'!E41),"ERROR!","OK")</f>
        <v>OK</v>
      </c>
    </row>
    <row r="47" spans="1:12" x14ac:dyDescent="0.2">
      <c r="A47" s="1119"/>
      <c r="B47" s="1121"/>
      <c r="C47" s="1122" t="s">
        <v>1335</v>
      </c>
      <c r="D47" s="1123" t="str">
        <f>IF(SUM('Assets-Liab 5-6'!F13)&lt;&gt;SUM('Assets-Liab 5-6'!F41),"ERROR!","OK")</f>
        <v>OK</v>
      </c>
    </row>
    <row r="48" spans="1:12" x14ac:dyDescent="0.2">
      <c r="A48" s="1119"/>
      <c r="B48" s="1121"/>
      <c r="C48" s="1122" t="s">
        <v>1336</v>
      </c>
      <c r="D48" s="1123" t="str">
        <f>IF(SUM('Assets-Liab 5-6'!G13)&lt;&gt;SUM('Assets-Liab 5-6'!G41),"ERROR!","OK")</f>
        <v>OK</v>
      </c>
    </row>
    <row r="49" spans="1:4" x14ac:dyDescent="0.2">
      <c r="A49" s="1119"/>
      <c r="B49" s="1121"/>
      <c r="C49" s="1122" t="s">
        <v>1337</v>
      </c>
      <c r="D49" s="1123" t="str">
        <f>IF(SUM('Assets-Liab 5-6'!H13)&lt;&gt;SUM('Assets-Liab 5-6'!H41),"ERROR!","OK")</f>
        <v>OK</v>
      </c>
    </row>
    <row r="50" spans="1:4" x14ac:dyDescent="0.2">
      <c r="A50" s="1119"/>
      <c r="B50" s="1121"/>
      <c r="C50" s="1122" t="s">
        <v>1338</v>
      </c>
      <c r="D50" s="1123" t="str">
        <f>IF(SUM('Assets-Liab 5-6'!I13)&lt;&gt;SUM('Assets-Liab 5-6'!I41),"ERROR!","OK")</f>
        <v>OK</v>
      </c>
    </row>
    <row r="51" spans="1:4" x14ac:dyDescent="0.2">
      <c r="A51" s="1119"/>
      <c r="B51" s="1121"/>
      <c r="C51" s="1122" t="s">
        <v>1339</v>
      </c>
      <c r="D51" s="1123" t="str">
        <f>IF(SUM('Assets-Liab 5-6'!J13)&lt;&gt;SUM('Assets-Liab 5-6'!J41),"ERROR!","OK")</f>
        <v>OK</v>
      </c>
    </row>
    <row r="52" spans="1:4" x14ac:dyDescent="0.2">
      <c r="A52" s="1119"/>
      <c r="B52" s="1121"/>
      <c r="C52" s="1122" t="s">
        <v>1340</v>
      </c>
      <c r="D52" s="1123" t="str">
        <f>IF(SUM('Assets-Liab 5-6'!K13)&lt;&gt;SUM('Assets-Liab 5-6'!K41),"ERROR!","OK")</f>
        <v>OK</v>
      </c>
    </row>
    <row r="53" spans="1:4" x14ac:dyDescent="0.2">
      <c r="A53" s="1119"/>
      <c r="B53" s="1121"/>
      <c r="C53" s="1122" t="s">
        <v>1341</v>
      </c>
      <c r="D53" s="1123" t="str">
        <f>IF(SUM('Assets-Liab 5-6'!L13)&lt;&gt;('Assets-Liab 5-6'!L41),"ERROR!","OK")</f>
        <v>OK</v>
      </c>
    </row>
    <row r="54" spans="1:4" x14ac:dyDescent="0.2">
      <c r="A54" s="1119"/>
      <c r="B54" s="1121"/>
      <c r="C54" s="1122" t="s">
        <v>1342</v>
      </c>
      <c r="D54" s="1123" t="str">
        <f>IF(SUM('Assets-Liab 5-6'!M23)&lt;&gt;('Assets-Liab 5-6'!M41),"ERROR!","OK")</f>
        <v>OK</v>
      </c>
    </row>
    <row r="55" spans="1:4" x14ac:dyDescent="0.2">
      <c r="A55" s="1119"/>
      <c r="B55" s="1121"/>
      <c r="C55" s="1122" t="s">
        <v>1343</v>
      </c>
      <c r="D55" s="1123" t="str">
        <f>IF(SUM('Assets-Liab 5-6'!N23)&lt;&gt;('Assets-Liab 5-6'!N41),"ERROR!","OK")</f>
        <v>OK</v>
      </c>
    </row>
    <row r="56" spans="1:4" x14ac:dyDescent="0.2">
      <c r="A56" s="1100"/>
      <c r="B56" s="1120">
        <f>B43+1</f>
        <v>6</v>
      </c>
      <c r="C56" s="2378" t="s">
        <v>784</v>
      </c>
      <c r="D56" s="2379"/>
    </row>
    <row r="57" spans="1:4" s="1116" customFormat="1" x14ac:dyDescent="0.2">
      <c r="A57" s="1100"/>
      <c r="B57" s="1110"/>
      <c r="C57" s="1118" t="s">
        <v>1344</v>
      </c>
      <c r="D57" s="1124" t="str">
        <f>IF('Assets-Liab 5-6'!C38+'Assets-Liab 5-6'!C39='Acct Summary 7-8'!C81,"OK","ERROR!")</f>
        <v>OK</v>
      </c>
    </row>
    <row r="58" spans="1:4" x14ac:dyDescent="0.2">
      <c r="A58" s="1100"/>
      <c r="B58" s="1110"/>
      <c r="C58" s="1118" t="s">
        <v>1345</v>
      </c>
      <c r="D58" s="1124" t="str">
        <f>IF((('Assets-Liab 5-6'!D38+'Assets-Liab 5-6'!D39) ='Acct Summary 7-8'!D81), "OK", "ERROR!" )</f>
        <v>OK</v>
      </c>
    </row>
    <row r="59" spans="1:4" s="1116" customFormat="1" x14ac:dyDescent="0.2">
      <c r="A59" s="1100"/>
      <c r="B59" s="1110"/>
      <c r="C59" s="1118" t="s">
        <v>1346</v>
      </c>
      <c r="D59" s="1124" t="str">
        <f>IF((('Assets-Liab 5-6'!E38 + 'Assets-Liab 5-6'!E39) ='Acct Summary 7-8'!E81), "OK", "ERROR!" )</f>
        <v>OK</v>
      </c>
    </row>
    <row r="60" spans="1:4" x14ac:dyDescent="0.2">
      <c r="A60" s="1100"/>
      <c r="B60" s="1110"/>
      <c r="C60" s="1118" t="s">
        <v>1347</v>
      </c>
      <c r="D60" s="1124" t="str">
        <f>IF((('Assets-Liab 5-6'!F38 + 'Assets-Liab 5-6'!F39) ='Acct Summary 7-8'!F81), "OK", "ERROR!" )</f>
        <v>OK</v>
      </c>
    </row>
    <row r="61" spans="1:4" ht="12.75" customHeight="1" x14ac:dyDescent="0.2">
      <c r="A61" s="1100"/>
      <c r="B61" s="1110"/>
      <c r="C61" s="1118" t="s">
        <v>1360</v>
      </c>
      <c r="D61" s="1124" t="str">
        <f>IF((('Assets-Liab 5-6'!G38 + 'Assets-Liab 5-6'!G39) ='Acct Summary 7-8'!G81), "OK", "ERROR!" )</f>
        <v>OK</v>
      </c>
    </row>
    <row r="62" spans="1:4" x14ac:dyDescent="0.2">
      <c r="A62" s="1100"/>
      <c r="B62" s="1110"/>
      <c r="C62" s="1118" t="s">
        <v>1348</v>
      </c>
      <c r="D62" s="1124" t="str">
        <f>IF((('Assets-Liab 5-6'!H38 + 'Assets-Liab 5-6'!H39) ='Acct Summary 7-8'!H81), "OK", "ERROR!" )</f>
        <v>OK</v>
      </c>
    </row>
    <row r="63" spans="1:4" ht="12.75" customHeight="1" x14ac:dyDescent="0.2">
      <c r="A63" s="1100"/>
      <c r="B63" s="1110"/>
      <c r="C63" s="1118" t="s">
        <v>1349</v>
      </c>
      <c r="D63" s="1124" t="str">
        <f>IF((('Assets-Liab 5-6'!I38 + 'Assets-Liab 5-6'!I39) ='Acct Summary 7-8'!I81), "OK", "ERROR!" )</f>
        <v>OK</v>
      </c>
    </row>
    <row r="64" spans="1:4" x14ac:dyDescent="0.2">
      <c r="A64" s="1100"/>
      <c r="B64" s="1110"/>
      <c r="C64" s="1118" t="s">
        <v>1350</v>
      </c>
      <c r="D64" s="1124" t="str">
        <f>IF((('Assets-Liab 5-6'!J38 + 'Assets-Liab 5-6'!J39) ='Acct Summary 7-8'!J81), "OK", "ERROR!" )</f>
        <v>OK</v>
      </c>
    </row>
    <row r="65" spans="1:4" x14ac:dyDescent="0.2">
      <c r="A65" s="1117"/>
      <c r="B65" s="1110"/>
      <c r="C65" s="1118" t="s">
        <v>1361</v>
      </c>
      <c r="D65" s="1124" t="str">
        <f>IF((('Assets-Liab 5-6'!K38 + 'Assets-Liab 5-6'!K39) ='Acct Summary 7-8'!K81), "OK", "ERROR!" )</f>
        <v>OK</v>
      </c>
    </row>
    <row r="66" spans="1:4" x14ac:dyDescent="0.2">
      <c r="A66" s="1098"/>
      <c r="B66" s="1140">
        <f>B56+1+1</f>
        <v>8</v>
      </c>
      <c r="C66" s="1146" t="s">
        <v>1908</v>
      </c>
      <c r="D66" s="1125"/>
    </row>
    <row r="67" spans="1:4" x14ac:dyDescent="0.2">
      <c r="A67" s="1119"/>
      <c r="B67" s="1140"/>
      <c r="C67" s="1147" t="s">
        <v>1021</v>
      </c>
      <c r="D67" s="1125"/>
    </row>
    <row r="68" spans="1:4" x14ac:dyDescent="0.2">
      <c r="A68" s="1100"/>
      <c r="B68" s="1110"/>
      <c r="C68" s="1102" t="s">
        <v>1909</v>
      </c>
      <c r="D68" s="1124" t="str">
        <f>IF('Short-Term Long-Term Debt 24'!F49=SUM(,'Acct Summary 7-8'!C33:K33),"OK","ERROR!")</f>
        <v>OK</v>
      </c>
    </row>
    <row r="69" spans="1:4" x14ac:dyDescent="0.2">
      <c r="A69" s="1100"/>
      <c r="B69" s="1110"/>
      <c r="C69" s="1102" t="s">
        <v>1910</v>
      </c>
      <c r="D69" s="1124" t="str">
        <f>IF('Expenditures 15-22'!H170&lt;&gt;'Short-Term Long-Term Debt 24'!H49,"ERROR!","OK")</f>
        <v>ERROR!</v>
      </c>
    </row>
    <row r="70" spans="1:4" x14ac:dyDescent="0.2">
      <c r="A70" s="1098"/>
      <c r="B70" s="1120">
        <f>B66+1</f>
        <v>9</v>
      </c>
      <c r="C70" s="2378" t="s">
        <v>1693</v>
      </c>
      <c r="D70" s="2379"/>
    </row>
    <row r="71" spans="1:4" x14ac:dyDescent="0.2">
      <c r="A71" s="1098"/>
      <c r="B71" s="1120"/>
      <c r="C71" s="1102" t="s">
        <v>1351</v>
      </c>
      <c r="D71" s="1126" t="str">
        <f>IF(SUM('Acct Summary 7-8'!C27:K27) =SUM( 'Acct Summary 7-8'!C49:K49),"OK", "ERROR")</f>
        <v>OK</v>
      </c>
    </row>
    <row r="72" spans="1:4" x14ac:dyDescent="0.2">
      <c r="A72" s="1100"/>
      <c r="B72" s="1110"/>
      <c r="C72" s="1118" t="s">
        <v>1352</v>
      </c>
      <c r="D72" s="1124" t="str">
        <f>IF(SUM('Acct Summary 7-8'!C28:K28)=SUM('Acct Summary 7-8'!C50:K50),"OK","ERROR!")</f>
        <v>OK</v>
      </c>
    </row>
    <row r="73" spans="1:4" ht="24" x14ac:dyDescent="0.2">
      <c r="A73" s="1127"/>
      <c r="B73" s="1110"/>
      <c r="C73" s="1118" t="s">
        <v>1694</v>
      </c>
      <c r="D73" s="1126" t="str">
        <f>IF(SUM('Acct Summary 7-8'!C42:K42)&gt;=SUM( 'Acct Summary 7-8'!C74:K74),"OK", "ERROR")</f>
        <v>OK</v>
      </c>
    </row>
    <row r="74" spans="1:4" x14ac:dyDescent="0.2">
      <c r="A74" s="1098"/>
      <c r="B74" s="1120">
        <f>B70+1</f>
        <v>10</v>
      </c>
      <c r="C74" s="1114" t="s">
        <v>1911</v>
      </c>
      <c r="D74" s="1128"/>
    </row>
    <row r="75" spans="1:4" x14ac:dyDescent="0.2">
      <c r="A75" s="1100"/>
      <c r="B75" s="1110"/>
      <c r="C75" s="1118" t="s">
        <v>1374</v>
      </c>
      <c r="D75" s="1124" t="str">
        <f>IF(SUM('Assets-Liab 5-6'!C38:H38)&gt;=SUM('Rest Tax Levies-Tort Im 25'!G25:K25),"OK","ERROR")</f>
        <v>OK</v>
      </c>
    </row>
    <row r="76" spans="1:4" x14ac:dyDescent="0.2">
      <c r="A76" s="1100"/>
      <c r="B76" s="1110"/>
      <c r="C76" s="1118" t="s">
        <v>1415</v>
      </c>
      <c r="D76" s="1124" t="str">
        <f>IF(SUM('Assets-Liab 5-6'!C39:K39)&gt;0,"OK","ENTRY IS REQUIRED!")</f>
        <v>OK</v>
      </c>
    </row>
    <row r="77" spans="1:4" x14ac:dyDescent="0.2">
      <c r="A77" s="1100"/>
      <c r="B77" s="1129">
        <f>B74+1</f>
        <v>11</v>
      </c>
      <c r="C77" s="1174" t="s">
        <v>1375</v>
      </c>
      <c r="D77" s="1124"/>
    </row>
    <row r="78" spans="1:4" x14ac:dyDescent="0.2">
      <c r="A78" s="1100"/>
      <c r="B78" s="1110"/>
      <c r="C78" s="1118" t="s">
        <v>1912</v>
      </c>
      <c r="D78" s="1124" t="str">
        <f>IF(ISNUMBER('Acct Summary 7-8'!C9),"OK","ENTRY IS REQUIRED!")</f>
        <v>OK</v>
      </c>
    </row>
    <row r="79" spans="1:4" x14ac:dyDescent="0.2">
      <c r="A79" s="1119"/>
      <c r="B79" s="1120">
        <f>B74+1+1</f>
        <v>12</v>
      </c>
      <c r="C79" s="1130" t="s">
        <v>1897</v>
      </c>
      <c r="D79" s="1131" t="str">
        <f>IF(OR(COVER!$B$6="X",'PCTC-OEPP 27-28'!F78&gt;0),"OK","PLEASE ENTER 9 MO ADA.")</f>
        <v>OK</v>
      </c>
    </row>
    <row r="80" spans="1:4" x14ac:dyDescent="0.2">
      <c r="A80" s="1098"/>
      <c r="B80" s="1120">
        <v>13</v>
      </c>
      <c r="C80" s="1130" t="s">
        <v>1913</v>
      </c>
      <c r="D80" s="1131" t="str">
        <f>IF('Contracts Paid in CY 29'!D141&gt;0,"OK","PLEASE ENTER CONTRACTS PAID IN CURRENT YEAR.")</f>
        <v>PLEASE ENTER CONTRACTS PAID IN CURRENT YEAR.</v>
      </c>
    </row>
    <row r="81" spans="1:4" x14ac:dyDescent="0.2">
      <c r="A81" s="1098"/>
      <c r="B81" s="1120">
        <v>14</v>
      </c>
      <c r="C81" s="1130" t="s">
        <v>1421</v>
      </c>
      <c r="D81" s="1123" t="str">
        <f>IF('Shared Outsourced Services 31'!B8="X","OK",IF('Shared Outsourced Services 31'!K34&gt;0,"OK","ENTRY REQUIRED!"))</f>
        <v>OK</v>
      </c>
    </row>
    <row r="82" spans="1:4" x14ac:dyDescent="0.2">
      <c r="A82" s="1119"/>
      <c r="B82" s="1120">
        <v>15</v>
      </c>
      <c r="C82" s="1130" t="s">
        <v>1420</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workbookViewId="0"/>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53-090-7090-26</v>
      </c>
    </row>
    <row r="3" spans="1:2" x14ac:dyDescent="0.2">
      <c r="A3" t="s">
        <v>956</v>
      </c>
      <c r="B3" s="138" t="str">
        <f>COVER!A15</f>
        <v>Tazewell</v>
      </c>
    </row>
    <row r="4" spans="1:2" x14ac:dyDescent="0.2">
      <c r="A4" t="s">
        <v>1007</v>
      </c>
      <c r="B4" s="138" t="str">
        <f>COVER!A17</f>
        <v>Morton Community Unit School District 709</v>
      </c>
    </row>
    <row r="5" spans="1:2" x14ac:dyDescent="0.2">
      <c r="A5" t="s">
        <v>704</v>
      </c>
      <c r="B5" s="138" t="str">
        <f>COVER!A38</f>
        <v>Dr. Jeffrey Hill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1540</v>
      </c>
      <c r="B12" s="138" t="str">
        <f>IF(COVER!J29="x","Yes",IF(COVER!L29="X","No",0))</f>
        <v>Yes</v>
      </c>
    </row>
    <row r="13" spans="1:2" x14ac:dyDescent="0.2">
      <c r="A13" s="1" t="s">
        <v>1541</v>
      </c>
      <c r="B13" s="138" t="str">
        <f>IF(COVER!J30="x","Yes",IF(COVER!L30="x","No",0))</f>
        <v>Yes</v>
      </c>
    </row>
    <row r="14" spans="1:2" x14ac:dyDescent="0.2">
      <c r="A14" t="s">
        <v>476</v>
      </c>
      <c r="B14" s="138" t="str">
        <f>IF(COVER!J31="x","Yes",IF(COVER!L31="x","No",0))</f>
        <v>No</v>
      </c>
    </row>
    <row r="15" spans="1:2" x14ac:dyDescent="0.2">
      <c r="A15" t="s">
        <v>577</v>
      </c>
      <c r="B15" s="138" t="str">
        <f>COVER!T23</f>
        <v>066-004450</v>
      </c>
    </row>
    <row r="16" spans="1:2" x14ac:dyDescent="0.2">
      <c r="A16" t="s">
        <v>422</v>
      </c>
      <c r="B16" s="138" t="str">
        <f>COVER!T13</f>
        <v>CliftonLarsonAllen LLP</v>
      </c>
    </row>
    <row r="17" spans="1:2" x14ac:dyDescent="0.2">
      <c r="A17" t="s">
        <v>884</v>
      </c>
      <c r="B17" s="138" t="str">
        <f>COVER!T15</f>
        <v>Adam Pulley</v>
      </c>
    </row>
    <row r="18" spans="1:2" x14ac:dyDescent="0.2">
      <c r="A18" t="s">
        <v>1150</v>
      </c>
      <c r="B18" s="138" t="str">
        <f>COVER!T17</f>
        <v>301 SW Adams Street, Suite 1000</v>
      </c>
    </row>
    <row r="19" spans="1:2" x14ac:dyDescent="0.2">
      <c r="A19" t="s">
        <v>886</v>
      </c>
      <c r="B19" s="138" t="str">
        <f>COVER!T25</f>
        <v>Adam.Pulley@claconnect.com</v>
      </c>
    </row>
    <row r="20" spans="1:2" x14ac:dyDescent="0.2">
      <c r="A20" t="s">
        <v>887</v>
      </c>
      <c r="B20" s="138" t="str">
        <f>COVER!T19</f>
        <v>Peoria</v>
      </c>
    </row>
    <row r="21" spans="1:2" x14ac:dyDescent="0.2">
      <c r="A21" t="s">
        <v>479</v>
      </c>
      <c r="B21" s="138" t="str">
        <f>COVER!X19</f>
        <v>IL</v>
      </c>
    </row>
    <row r="22" spans="1:2" x14ac:dyDescent="0.2">
      <c r="A22" t="s">
        <v>888</v>
      </c>
      <c r="B22" s="138">
        <f>COVER!Z19</f>
        <v>61602</v>
      </c>
    </row>
    <row r="23" spans="1:2" x14ac:dyDescent="0.2">
      <c r="A23" t="s">
        <v>1152</v>
      </c>
      <c r="B23" s="138" t="str">
        <f>COVER!T21</f>
        <v>309-671-4500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1478</v>
      </c>
      <c r="B49" s="138" t="str">
        <f>IF('Aud Quest 2'!B53="x","Yes",IF('Aud Quest 2'!B53&lt;&gt;"x","0"))</f>
        <v>Yes</v>
      </c>
    </row>
    <row r="50" spans="1:4" x14ac:dyDescent="0.2">
      <c r="A50" s="1" t="s">
        <v>1477</v>
      </c>
      <c r="B50" s="150">
        <f>'Aud Quest 2'!H53</f>
        <v>36161</v>
      </c>
    </row>
    <row r="51" spans="1:4" x14ac:dyDescent="0.2">
      <c r="A51" s="1" t="s">
        <v>1479</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18006106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18390507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18390507</v>
      </c>
      <c r="D92" s="2" t="str">
        <f t="shared" si="0"/>
        <v>Error?</v>
      </c>
    </row>
    <row r="93" spans="1:4" x14ac:dyDescent="0.2">
      <c r="A93" s="5">
        <v>32</v>
      </c>
      <c r="B93" s="138">
        <f>'Assets-Liab 5-6'!C41</f>
        <v>18390507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8917076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9657555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9657555</v>
      </c>
      <c r="D123" s="2" t="str">
        <f t="shared" si="0"/>
        <v>Error?</v>
      </c>
    </row>
    <row r="124" spans="1:4" x14ac:dyDescent="0.2">
      <c r="A124" s="5">
        <v>63</v>
      </c>
      <c r="B124" s="138">
        <f>'Assets-Liab 5-6'!D41</f>
        <v>9657555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117186</v>
      </c>
      <c r="D129" s="2" t="str">
        <f t="shared" si="1"/>
        <v>Error?</v>
      </c>
    </row>
    <row r="130" spans="1:4" x14ac:dyDescent="0.2">
      <c r="A130" s="5">
        <v>69</v>
      </c>
      <c r="B130" s="138">
        <f>'Assets-Liab 5-6'!E12</f>
        <v>0</v>
      </c>
      <c r="D130" s="2" t="str">
        <f t="shared" si="1"/>
        <v>Error?</v>
      </c>
    </row>
    <row r="131" spans="1:4" x14ac:dyDescent="0.2">
      <c r="A131" s="5">
        <v>70</v>
      </c>
      <c r="B131" s="138">
        <f>'Assets-Liab 5-6'!E13</f>
        <v>119734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119734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1115822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1147023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1147023</v>
      </c>
      <c r="D170" s="2" t="str">
        <f t="shared" si="1"/>
        <v>Error?</v>
      </c>
    </row>
    <row r="171" spans="1:4" x14ac:dyDescent="0.2">
      <c r="A171" s="5">
        <v>110</v>
      </c>
      <c r="B171" s="138">
        <f>'Assets-Liab 5-6'!F41</f>
        <v>1147023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563916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647516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647516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4968870</v>
      </c>
      <c r="D273" s="2" t="str">
        <f t="shared" si="3"/>
        <v>Error?</v>
      </c>
    </row>
    <row r="274" spans="1:4" x14ac:dyDescent="0.2">
      <c r="A274" s="5">
        <v>213</v>
      </c>
      <c r="B274" s="138">
        <f>'Assets-Liab 5-6'!M17</f>
        <v>33430734</v>
      </c>
      <c r="D274" s="2" t="str">
        <f t="shared" si="3"/>
        <v>Error?</v>
      </c>
    </row>
    <row r="275" spans="1:4" x14ac:dyDescent="0.2">
      <c r="A275" s="5">
        <v>214</v>
      </c>
      <c r="B275" s="138">
        <f>'Assets-Liab 5-6'!M18</f>
        <v>6350258</v>
      </c>
      <c r="D275" s="2" t="str">
        <f t="shared" si="3"/>
        <v>Error?</v>
      </c>
    </row>
    <row r="276" spans="1:4" x14ac:dyDescent="0.2">
      <c r="A276" s="5">
        <v>215</v>
      </c>
      <c r="B276" s="138">
        <f>'Assets-Liab 5-6'!M19</f>
        <v>4152444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49247601</v>
      </c>
      <c r="C279" s="2" t="s">
        <v>573</v>
      </c>
      <c r="D279" s="2" t="str">
        <f t="shared" si="3"/>
        <v>Error?</v>
      </c>
    </row>
    <row r="280" spans="1:4" x14ac:dyDescent="0.2">
      <c r="A280" s="5">
        <v>219</v>
      </c>
      <c r="B280" s="138">
        <f>'Assets-Liab 5-6'!M40</f>
        <v>49247601</v>
      </c>
      <c r="D280" s="2" t="str">
        <f t="shared" si="3"/>
        <v>Error?</v>
      </c>
    </row>
    <row r="281" spans="1:4" x14ac:dyDescent="0.2">
      <c r="A281" s="5">
        <v>220</v>
      </c>
      <c r="B281" s="138">
        <f>'Assets-Liab 5-6'!M41</f>
        <v>49247601</v>
      </c>
      <c r="C281" s="2" t="s">
        <v>573</v>
      </c>
      <c r="D281" s="2" t="str">
        <f t="shared" si="3"/>
        <v>Error?</v>
      </c>
    </row>
    <row r="282" spans="1:4" x14ac:dyDescent="0.2">
      <c r="A282" s="5">
        <v>221</v>
      </c>
      <c r="B282" s="138">
        <f>'Assets-Liab 5-6'!N21</f>
        <v>119734</v>
      </c>
      <c r="D282" s="2" t="str">
        <f t="shared" si="3"/>
        <v>Error?</v>
      </c>
    </row>
    <row r="283" spans="1:4" x14ac:dyDescent="0.2">
      <c r="A283" s="5">
        <v>222</v>
      </c>
      <c r="B283" s="138">
        <f>'Assets-Liab 5-6'!N22</f>
        <v>6934898</v>
      </c>
      <c r="D283" s="2" t="str">
        <f t="shared" si="3"/>
        <v>Error?</v>
      </c>
    </row>
    <row r="284" spans="1:4" x14ac:dyDescent="0.2">
      <c r="A284" s="5">
        <v>223</v>
      </c>
      <c r="B284" s="138">
        <f>'Assets-Liab 5-6'!N23</f>
        <v>7054632</v>
      </c>
      <c r="C284" s="2" t="s">
        <v>573</v>
      </c>
      <c r="D284" s="2" t="str">
        <f t="shared" si="3"/>
        <v>Error?</v>
      </c>
    </row>
    <row r="285" spans="1:4" x14ac:dyDescent="0.2">
      <c r="A285" s="5">
        <v>224</v>
      </c>
      <c r="B285" s="138">
        <f>'Assets-Liab 5-6'!N36</f>
        <v>7054632</v>
      </c>
      <c r="D285" s="2" t="str">
        <f t="shared" si="3"/>
        <v>Error?</v>
      </c>
    </row>
    <row r="286" spans="1:4" x14ac:dyDescent="0.2">
      <c r="A286" s="10">
        <v>225</v>
      </c>
      <c r="D286" s="2" t="str">
        <f t="shared" si="3"/>
        <v>OK</v>
      </c>
    </row>
    <row r="287" spans="1:4" x14ac:dyDescent="0.2">
      <c r="A287" s="5">
        <v>226</v>
      </c>
      <c r="B287" s="138">
        <f>'Assets-Liab 5-6'!N37</f>
        <v>7054632</v>
      </c>
      <c r="C287" s="2" t="s">
        <v>573</v>
      </c>
      <c r="D287" s="2" t="str">
        <f t="shared" si="3"/>
        <v>Error?</v>
      </c>
    </row>
    <row r="288" spans="1:4" x14ac:dyDescent="0.2">
      <c r="A288" s="5">
        <v>227</v>
      </c>
      <c r="B288" s="138">
        <f>'Assets-Liab 5-6'!N41</f>
        <v>7054632</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9259729</v>
      </c>
      <c r="D705" s="2" t="str">
        <f t="shared" si="10"/>
        <v>Error?</v>
      </c>
    </row>
    <row r="706" spans="1:4" x14ac:dyDescent="0.2">
      <c r="A706" s="5">
        <v>645</v>
      </c>
      <c r="B706" s="138">
        <f>'Expenditures 15-22'!C16</f>
        <v>20621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476950</v>
      </c>
      <c r="D717" s="2" t="str">
        <f t="shared" si="10"/>
        <v>Error?</v>
      </c>
    </row>
    <row r="718" spans="1:4" x14ac:dyDescent="0.2">
      <c r="A718" s="5">
        <v>657</v>
      </c>
      <c r="B718" s="138">
        <f>'Expenditures 15-22'!C14</f>
        <v>664425</v>
      </c>
      <c r="D718" s="2" t="str">
        <f t="shared" si="10"/>
        <v>Error?</v>
      </c>
    </row>
    <row r="719" spans="1:4" x14ac:dyDescent="0.2">
      <c r="A719" s="5">
        <v>658</v>
      </c>
      <c r="B719" s="138">
        <f>'Expenditures 15-22'!C15</f>
        <v>46733</v>
      </c>
      <c r="D719" s="2" t="str">
        <f t="shared" si="10"/>
        <v>Error?</v>
      </c>
    </row>
    <row r="720" spans="1:4" x14ac:dyDescent="0.2">
      <c r="A720" s="5">
        <v>659</v>
      </c>
      <c r="B720" s="138">
        <f>'Expenditures 15-22'!C33</f>
        <v>13295463</v>
      </c>
      <c r="C720" s="2" t="s">
        <v>573</v>
      </c>
      <c r="D720" s="2" t="str">
        <f t="shared" si="10"/>
        <v>Error?</v>
      </c>
    </row>
    <row r="721" spans="1:4" x14ac:dyDescent="0.2">
      <c r="A721" s="5">
        <v>660</v>
      </c>
      <c r="B721" s="138">
        <f>'Expenditures 15-22'!C36</f>
        <v>299588</v>
      </c>
      <c r="D721" s="2" t="str">
        <f t="shared" si="10"/>
        <v>Error?</v>
      </c>
    </row>
    <row r="722" spans="1:4" x14ac:dyDescent="0.2">
      <c r="A722" s="5">
        <v>661</v>
      </c>
      <c r="B722" s="138">
        <f>'Expenditures 15-22'!C37</f>
        <v>446349</v>
      </c>
      <c r="D722" s="2" t="str">
        <f t="shared" si="10"/>
        <v>Error?</v>
      </c>
    </row>
    <row r="723" spans="1:4" x14ac:dyDescent="0.2">
      <c r="A723" s="5">
        <v>662</v>
      </c>
      <c r="B723" s="138">
        <f>'Expenditures 15-22'!C38</f>
        <v>71642</v>
      </c>
      <c r="D723" s="2" t="str">
        <f t="shared" si="10"/>
        <v>Error?</v>
      </c>
    </row>
    <row r="724" spans="1:4" x14ac:dyDescent="0.2">
      <c r="A724" s="5">
        <v>663</v>
      </c>
      <c r="B724" s="138">
        <f>'Expenditures 15-22'!C39</f>
        <v>167274</v>
      </c>
      <c r="D724" s="2" t="str">
        <f t="shared" si="10"/>
        <v>Error?</v>
      </c>
    </row>
    <row r="725" spans="1:4" x14ac:dyDescent="0.2">
      <c r="A725" s="5">
        <v>664</v>
      </c>
      <c r="B725" s="138">
        <f>'Expenditures 15-22'!C40</f>
        <v>329142</v>
      </c>
      <c r="D725" s="2" t="str">
        <f t="shared" si="10"/>
        <v>Error?</v>
      </c>
    </row>
    <row r="726" spans="1:4" x14ac:dyDescent="0.2">
      <c r="A726" s="5">
        <v>665</v>
      </c>
      <c r="B726" s="138">
        <f>'Expenditures 15-22'!C41</f>
        <v>140398</v>
      </c>
      <c r="D726" s="2" t="str">
        <f t="shared" si="10"/>
        <v>Error?</v>
      </c>
    </row>
    <row r="727" spans="1:4" x14ac:dyDescent="0.2">
      <c r="A727" s="5">
        <v>666</v>
      </c>
      <c r="B727" s="138">
        <f>'Expenditures 15-22'!C42</f>
        <v>1454393</v>
      </c>
      <c r="C727" s="2" t="s">
        <v>573</v>
      </c>
      <c r="D727" s="2" t="str">
        <f t="shared" si="10"/>
        <v>Error?</v>
      </c>
    </row>
    <row r="728" spans="1:4" x14ac:dyDescent="0.2">
      <c r="A728" s="5">
        <v>667</v>
      </c>
      <c r="B728" s="138">
        <f>'Expenditures 15-22'!C44</f>
        <v>41336</v>
      </c>
      <c r="D728" s="2" t="str">
        <f t="shared" si="10"/>
        <v>Error?</v>
      </c>
    </row>
    <row r="729" spans="1:4" x14ac:dyDescent="0.2">
      <c r="A729" s="5">
        <v>668</v>
      </c>
      <c r="B729" s="138">
        <f>'Expenditures 15-22'!C45</f>
        <v>650069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691405</v>
      </c>
      <c r="C731" s="2" t="s">
        <v>573</v>
      </c>
      <c r="D731" s="2" t="str">
        <f t="shared" si="10"/>
        <v>Error?</v>
      </c>
    </row>
    <row r="732" spans="1:4" x14ac:dyDescent="0.2">
      <c r="A732" s="5">
        <v>671</v>
      </c>
      <c r="B732" s="138">
        <f>'Expenditures 15-22'!C49</f>
        <v>35045</v>
      </c>
      <c r="D732" s="2" t="str">
        <f t="shared" si="10"/>
        <v>Error?</v>
      </c>
    </row>
    <row r="733" spans="1:4" x14ac:dyDescent="0.2">
      <c r="A733" s="5">
        <v>672</v>
      </c>
      <c r="B733" s="138">
        <f>'Expenditures 15-22'!C50</f>
        <v>281526</v>
      </c>
      <c r="D733" s="2" t="str">
        <f t="shared" si="10"/>
        <v>Error?</v>
      </c>
    </row>
    <row r="734" spans="1:4" x14ac:dyDescent="0.2">
      <c r="A734" s="5">
        <v>673</v>
      </c>
      <c r="B734" s="138">
        <f>'Expenditures 15-22'!C53</f>
        <v>513982</v>
      </c>
      <c r="C734" s="2" t="s">
        <v>573</v>
      </c>
      <c r="D734" s="2" t="str">
        <f t="shared" si="10"/>
        <v>Error?</v>
      </c>
    </row>
    <row r="735" spans="1:4" x14ac:dyDescent="0.2">
      <c r="A735" s="5">
        <v>674</v>
      </c>
      <c r="B735" s="138">
        <f>'Expenditures 15-22'!C55</f>
        <v>1227243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1227243</v>
      </c>
      <c r="C737" s="2" t="s">
        <v>573</v>
      </c>
      <c r="D737" s="2" t="str">
        <f t="shared" si="10"/>
        <v>Error?</v>
      </c>
    </row>
    <row r="738" spans="1:4" x14ac:dyDescent="0.2">
      <c r="A738" s="5">
        <v>677</v>
      </c>
      <c r="B738" s="138">
        <f>'Expenditures 15-22'!C59</f>
        <v>163962</v>
      </c>
      <c r="D738" s="2" t="str">
        <f t="shared" si="10"/>
        <v>Error?</v>
      </c>
    </row>
    <row r="739" spans="1:4" x14ac:dyDescent="0.2">
      <c r="A739" s="5">
        <v>678</v>
      </c>
      <c r="B739" s="138">
        <f>'Expenditures 15-22'!C60</f>
        <v>32605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3586</v>
      </c>
      <c r="D743" s="2" t="str">
        <f t="shared" si="10"/>
        <v>Error?</v>
      </c>
    </row>
    <row r="744" spans="1:4" x14ac:dyDescent="0.2">
      <c r="A744" s="10">
        <v>683</v>
      </c>
      <c r="D744" s="2" t="str">
        <f t="shared" si="10"/>
        <v>OK</v>
      </c>
    </row>
    <row r="745" spans="1:4" x14ac:dyDescent="0.2">
      <c r="A745" s="5">
        <v>684</v>
      </c>
      <c r="B745" s="138">
        <f>'Expenditures 15-22'!C65</f>
        <v>200153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32971</v>
      </c>
      <c r="D748" s="2" t="str">
        <f t="shared" si="10"/>
        <v>Error?</v>
      </c>
    </row>
    <row r="749" spans="1:4" x14ac:dyDescent="0.2">
      <c r="A749" s="5">
        <v>688</v>
      </c>
      <c r="B749" s="138">
        <f>'Expenditures 15-22'!C70</f>
        <v>206453</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239424</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4326600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17622063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2447317</v>
      </c>
      <c r="D763" s="2" t="str">
        <f t="shared" si="10"/>
        <v>Error?</v>
      </c>
    </row>
    <row r="764" spans="1:4" x14ac:dyDescent="0.2">
      <c r="A764" s="5">
        <v>703</v>
      </c>
      <c r="B764" s="138">
        <f>'Expenditures 15-22'!D16</f>
        <v>3097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131687</v>
      </c>
      <c r="D775" s="2" t="str">
        <f t="shared" si="11"/>
        <v>Error?</v>
      </c>
    </row>
    <row r="776" spans="1:4" x14ac:dyDescent="0.2">
      <c r="A776" s="5">
        <v>715</v>
      </c>
      <c r="B776" s="138">
        <f>'Expenditures 15-22'!D14</f>
        <v>126442</v>
      </c>
      <c r="D776" s="2" t="str">
        <f t="shared" si="11"/>
        <v>Error?</v>
      </c>
    </row>
    <row r="777" spans="1:4" x14ac:dyDescent="0.2">
      <c r="A777" s="5">
        <v>716</v>
      </c>
      <c r="B777" s="138">
        <f>'Expenditures 15-22'!D15</f>
        <v>3303</v>
      </c>
      <c r="D777" s="2" t="str">
        <f t="shared" si="11"/>
        <v>Error?</v>
      </c>
    </row>
    <row r="778" spans="1:4" x14ac:dyDescent="0.2">
      <c r="A778" s="5">
        <v>717</v>
      </c>
      <c r="B778" s="138">
        <f>'Expenditures 15-22'!D33</f>
        <v>3382094</v>
      </c>
      <c r="C778" s="2" t="s">
        <v>573</v>
      </c>
      <c r="D778" s="2" t="str">
        <f t="shared" si="11"/>
        <v>Error?</v>
      </c>
    </row>
    <row r="779" spans="1:4" x14ac:dyDescent="0.2">
      <c r="A779" s="5">
        <v>718</v>
      </c>
      <c r="B779" s="138">
        <f>'Expenditures 15-22'!D36</f>
        <v>82134</v>
      </c>
      <c r="D779" s="2" t="str">
        <f t="shared" si="11"/>
        <v>Error?</v>
      </c>
    </row>
    <row r="780" spans="1:4" x14ac:dyDescent="0.2">
      <c r="A780" s="5">
        <v>719</v>
      </c>
      <c r="B780" s="138">
        <f>'Expenditures 15-22'!D37</f>
        <v>102205</v>
      </c>
      <c r="D780" s="2" t="str">
        <f t="shared" si="11"/>
        <v>Error?</v>
      </c>
    </row>
    <row r="781" spans="1:4" x14ac:dyDescent="0.2">
      <c r="A781" s="5">
        <v>720</v>
      </c>
      <c r="B781" s="138">
        <f>'Expenditures 15-22'!D38</f>
        <v>22235</v>
      </c>
      <c r="D781" s="2" t="str">
        <f t="shared" si="11"/>
        <v>Error?</v>
      </c>
    </row>
    <row r="782" spans="1:4" x14ac:dyDescent="0.2">
      <c r="A782" s="5">
        <v>721</v>
      </c>
      <c r="B782" s="138">
        <f>'Expenditures 15-22'!D39</f>
        <v>30344</v>
      </c>
      <c r="D782" s="2" t="str">
        <f t="shared" si="11"/>
        <v>Error?</v>
      </c>
    </row>
    <row r="783" spans="1:4" x14ac:dyDescent="0.2">
      <c r="A783" s="5">
        <v>722</v>
      </c>
      <c r="B783" s="138">
        <f>'Expenditures 15-22'!D40</f>
        <v>60325</v>
      </c>
      <c r="D783" s="2" t="str">
        <f t="shared" si="11"/>
        <v>Error?</v>
      </c>
    </row>
    <row r="784" spans="1:4" x14ac:dyDescent="0.2">
      <c r="A784" s="5">
        <v>723</v>
      </c>
      <c r="B784" s="138">
        <f>'Expenditures 15-22'!D41</f>
        <v>27966</v>
      </c>
      <c r="D784" s="2" t="str">
        <f t="shared" si="11"/>
        <v>Error?</v>
      </c>
    </row>
    <row r="785" spans="1:4" x14ac:dyDescent="0.2">
      <c r="A785" s="5">
        <v>724</v>
      </c>
      <c r="B785" s="138">
        <f>'Expenditures 15-22'!D42</f>
        <v>325209</v>
      </c>
      <c r="C785" s="2" t="s">
        <v>573</v>
      </c>
      <c r="D785" s="2" t="str">
        <f t="shared" si="11"/>
        <v>Error?</v>
      </c>
    </row>
    <row r="786" spans="1:4" x14ac:dyDescent="0.2">
      <c r="A786" s="5">
        <v>725</v>
      </c>
      <c r="B786" s="138">
        <f>'Expenditures 15-22'!D44</f>
        <v>6429</v>
      </c>
      <c r="D786" s="2" t="str">
        <f t="shared" si="11"/>
        <v>Error?</v>
      </c>
    </row>
    <row r="787" spans="1:4" x14ac:dyDescent="0.2">
      <c r="A787" s="5">
        <v>726</v>
      </c>
      <c r="B787" s="138">
        <f>'Expenditures 15-22'!D45</f>
        <v>122555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128984</v>
      </c>
      <c r="C789" s="2" t="s">
        <v>573</v>
      </c>
      <c r="D789" s="2" t="str">
        <f t="shared" si="11"/>
        <v>Error?</v>
      </c>
    </row>
    <row r="790" spans="1:4" x14ac:dyDescent="0.2">
      <c r="A790" s="5">
        <v>729</v>
      </c>
      <c r="B790" s="138">
        <f>'Expenditures 15-22'!D49</f>
        <v>1305</v>
      </c>
      <c r="D790" s="2" t="str">
        <f t="shared" si="11"/>
        <v>Error?</v>
      </c>
    </row>
    <row r="791" spans="1:4" x14ac:dyDescent="0.2">
      <c r="A791" s="5">
        <v>730</v>
      </c>
      <c r="B791" s="138">
        <f>'Expenditures 15-22'!D50</f>
        <v>55922</v>
      </c>
      <c r="D791" s="2" t="str">
        <f t="shared" si="11"/>
        <v>Error?</v>
      </c>
    </row>
    <row r="792" spans="1:4" x14ac:dyDescent="0.2">
      <c r="A792" s="5">
        <v>731</v>
      </c>
      <c r="B792" s="138">
        <f>'Expenditures 15-22'!D53</f>
        <v>101593</v>
      </c>
      <c r="C792" s="2" t="s">
        <v>573</v>
      </c>
      <c r="D792" s="2" t="str">
        <f t="shared" si="11"/>
        <v>Error?</v>
      </c>
    </row>
    <row r="793" spans="1:4" x14ac:dyDescent="0.2">
      <c r="A793" s="5">
        <v>732</v>
      </c>
      <c r="B793" s="138">
        <f>'Expenditures 15-22'!D55</f>
        <v>345193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345193</v>
      </c>
      <c r="C795" s="2" t="s">
        <v>573</v>
      </c>
      <c r="D795" s="2" t="str">
        <f t="shared" si="11"/>
        <v>Error?</v>
      </c>
    </row>
    <row r="796" spans="1:4" x14ac:dyDescent="0.2">
      <c r="A796" s="5">
        <v>735</v>
      </c>
      <c r="B796" s="138">
        <f>'Expenditures 15-22'!D59</f>
        <v>20624</v>
      </c>
      <c r="D796" s="2" t="str">
        <f t="shared" si="11"/>
        <v>Error?</v>
      </c>
    </row>
    <row r="797" spans="1:4" x14ac:dyDescent="0.2">
      <c r="A797" s="5">
        <v>736</v>
      </c>
      <c r="B797" s="138">
        <f>'Expenditures 15-22'!D60</f>
        <v>2464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876</v>
      </c>
      <c r="D801" s="2" t="str">
        <f t="shared" si="11"/>
        <v>Error?</v>
      </c>
    </row>
    <row r="802" spans="1:4" x14ac:dyDescent="0.2">
      <c r="A802" s="10">
        <v>741</v>
      </c>
      <c r="D802" s="2" t="str">
        <f t="shared" si="11"/>
        <v>OK</v>
      </c>
    </row>
    <row r="803" spans="1:4" x14ac:dyDescent="0.2">
      <c r="A803" s="5">
        <v>742</v>
      </c>
      <c r="B803" s="138">
        <f>'Expenditures 15-22'!D65</f>
        <v>23964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47446</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47446</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972389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4354483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82760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290</v>
      </c>
      <c r="D833" s="2" t="str">
        <f t="shared" si="12"/>
        <v>Error?</v>
      </c>
    </row>
    <row r="834" spans="1:4" x14ac:dyDescent="0.2">
      <c r="A834" s="5">
        <v>773</v>
      </c>
      <c r="B834" s="138">
        <f>'Expenditures 15-22'!E14</f>
        <v>107009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221170</v>
      </c>
      <c r="C836" s="2" t="s">
        <v>573</v>
      </c>
      <c r="D836" s="2" t="str">
        <f t="shared" si="12"/>
        <v>Error?</v>
      </c>
    </row>
    <row r="837" spans="1:4" x14ac:dyDescent="0.2">
      <c r="A837" s="5">
        <v>776</v>
      </c>
      <c r="B837" s="138">
        <f>'Expenditures 15-22'!E36</f>
        <v>17237</v>
      </c>
      <c r="D837" s="2" t="str">
        <f t="shared" si="12"/>
        <v>Error?</v>
      </c>
    </row>
    <row r="838" spans="1:4" x14ac:dyDescent="0.2">
      <c r="A838" s="5">
        <v>777</v>
      </c>
      <c r="B838" s="138">
        <f>'Expenditures 15-22'!E37</f>
        <v>25469</v>
      </c>
      <c r="D838" s="2" t="str">
        <f t="shared" si="12"/>
        <v>Error?</v>
      </c>
    </row>
    <row r="839" spans="1:4" x14ac:dyDescent="0.2">
      <c r="A839" s="5">
        <v>778</v>
      </c>
      <c r="B839" s="138">
        <f>'Expenditures 15-22'!E38</f>
        <v>104467</v>
      </c>
      <c r="D839" s="2" t="str">
        <f t="shared" si="12"/>
        <v>Error?</v>
      </c>
    </row>
    <row r="840" spans="1:4" x14ac:dyDescent="0.2">
      <c r="A840" s="5">
        <v>779</v>
      </c>
      <c r="B840" s="138">
        <f>'Expenditures 15-22'!E39</f>
        <v>1464</v>
      </c>
      <c r="D840" s="2" t="str">
        <f t="shared" si="12"/>
        <v>Error?</v>
      </c>
    </row>
    <row r="841" spans="1:4" x14ac:dyDescent="0.2">
      <c r="A841" s="5">
        <v>780</v>
      </c>
      <c r="B841" s="138">
        <f>'Expenditures 15-22'!E40</f>
        <v>282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148919</v>
      </c>
      <c r="C843" s="2" t="s">
        <v>573</v>
      </c>
      <c r="D843" s="2" t="str">
        <f t="shared" si="12"/>
        <v>Error?</v>
      </c>
    </row>
    <row r="844" spans="1:4" x14ac:dyDescent="0.2">
      <c r="A844" s="5">
        <v>783</v>
      </c>
      <c r="B844" s="138">
        <f>'Expenditures 15-22'!E44</f>
        <v>87874</v>
      </c>
      <c r="D844" s="2" t="str">
        <f t="shared" si="12"/>
        <v>Error?</v>
      </c>
    </row>
    <row r="845" spans="1:4" x14ac:dyDescent="0.2">
      <c r="A845" s="5">
        <v>784</v>
      </c>
      <c r="B845" s="138">
        <f>'Expenditures 15-22'!E45</f>
        <v>288214</v>
      </c>
      <c r="D845" s="2" t="str">
        <f t="shared" si="12"/>
        <v>Error?</v>
      </c>
    </row>
    <row r="846" spans="1:4" x14ac:dyDescent="0.2">
      <c r="A846" s="5">
        <v>785</v>
      </c>
      <c r="B846" s="138">
        <f>'Expenditures 15-22'!E46</f>
        <v>20250</v>
      </c>
      <c r="D846" s="2" t="str">
        <f t="shared" si="12"/>
        <v>Error?</v>
      </c>
    </row>
    <row r="847" spans="1:4" x14ac:dyDescent="0.2">
      <c r="A847" s="5">
        <v>786</v>
      </c>
      <c r="B847" s="138">
        <f>'Expenditures 15-22'!E47</f>
        <v>396338</v>
      </c>
      <c r="C847" s="2" t="s">
        <v>573</v>
      </c>
      <c r="D847" s="2" t="str">
        <f t="shared" si="12"/>
        <v>Error?</v>
      </c>
    </row>
    <row r="848" spans="1:4" x14ac:dyDescent="0.2">
      <c r="A848" s="5">
        <v>787</v>
      </c>
      <c r="B848" s="138">
        <f>'Expenditures 15-22'!E49</f>
        <v>102976</v>
      </c>
      <c r="D848" s="2" t="str">
        <f t="shared" si="12"/>
        <v>Error?</v>
      </c>
    </row>
    <row r="849" spans="1:4" x14ac:dyDescent="0.2">
      <c r="A849" s="5">
        <v>788</v>
      </c>
      <c r="B849" s="138">
        <f>'Expenditures 15-22'!E50</f>
        <v>11698</v>
      </c>
      <c r="D849" s="2" t="str">
        <f t="shared" si="12"/>
        <v>Error?</v>
      </c>
    </row>
    <row r="850" spans="1:4" x14ac:dyDescent="0.2">
      <c r="A850" s="5">
        <v>789</v>
      </c>
      <c r="B850" s="138">
        <f>'Expenditures 15-22'!E53</f>
        <v>122601</v>
      </c>
      <c r="C850" s="2" t="s">
        <v>573</v>
      </c>
      <c r="D850" s="2" t="str">
        <f t="shared" si="12"/>
        <v>Error?</v>
      </c>
    </row>
    <row r="851" spans="1:4" x14ac:dyDescent="0.2">
      <c r="A851" s="5">
        <v>790</v>
      </c>
      <c r="B851" s="138">
        <f>'Expenditures 15-22'!E55</f>
        <v>27203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27203</v>
      </c>
      <c r="C853" s="2" t="s">
        <v>573</v>
      </c>
      <c r="D853" s="2" t="str">
        <f t="shared" si="12"/>
        <v>Error?</v>
      </c>
    </row>
    <row r="854" spans="1:4" x14ac:dyDescent="0.2">
      <c r="A854" s="5">
        <v>793</v>
      </c>
      <c r="B854" s="138">
        <f>'Expenditures 15-22'!E59</f>
        <v>5717</v>
      </c>
      <c r="D854" s="2" t="str">
        <f t="shared" si="12"/>
        <v>Error?</v>
      </c>
    </row>
    <row r="855" spans="1:4" x14ac:dyDescent="0.2">
      <c r="A855" s="5">
        <v>794</v>
      </c>
      <c r="B855" s="138">
        <f>'Expenditures 15-22'!E60</f>
        <v>133755</v>
      </c>
      <c r="D855" s="2" t="str">
        <f t="shared" si="12"/>
        <v>Error?</v>
      </c>
    </row>
    <row r="856" spans="1:4" x14ac:dyDescent="0.2">
      <c r="A856" s="5">
        <v>795</v>
      </c>
      <c r="B856" s="138">
        <f>'Expenditures 15-22'!E61</f>
        <v>39351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689438</v>
      </c>
      <c r="D858" s="2" t="str">
        <f t="shared" si="12"/>
        <v>Error?</v>
      </c>
    </row>
    <row r="859" spans="1:4" x14ac:dyDescent="0.2">
      <c r="A859" s="5">
        <v>798</v>
      </c>
      <c r="B859" s="138">
        <f>'Expenditures 15-22'!E64</f>
        <v>8172</v>
      </c>
      <c r="D859" s="2" t="str">
        <f t="shared" si="12"/>
        <v>Error?</v>
      </c>
    </row>
    <row r="860" spans="1:4" x14ac:dyDescent="0.2">
      <c r="A860" s="10">
        <v>799</v>
      </c>
      <c r="D860" s="2" t="str">
        <f t="shared" si="12"/>
        <v>OK</v>
      </c>
    </row>
    <row r="861" spans="1:4" x14ac:dyDescent="0.2">
      <c r="A861" s="5">
        <v>800</v>
      </c>
      <c r="B861" s="138">
        <f>'Expenditures 15-22'!E65</f>
        <v>876433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14311</v>
      </c>
      <c r="D864" s="2" t="str">
        <f t="shared" si="12"/>
        <v>Error?</v>
      </c>
    </row>
    <row r="865" spans="1:4" x14ac:dyDescent="0.2">
      <c r="A865" s="5">
        <v>804</v>
      </c>
      <c r="B865" s="138">
        <f>'Expenditures 15-22'!E70</f>
        <v>10860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25171</v>
      </c>
      <c r="C869" s="2" t="s">
        <v>573</v>
      </c>
      <c r="D869" s="2" t="str">
        <f t="shared" si="12"/>
        <v>Error?</v>
      </c>
    </row>
    <row r="870" spans="1:4" x14ac:dyDescent="0.2">
      <c r="A870" s="5">
        <v>809</v>
      </c>
      <c r="B870" s="138">
        <f>'Expenditures 15-22'!E73</f>
        <v>2517</v>
      </c>
      <c r="D870" s="2" t="str">
        <f t="shared" si="12"/>
        <v>Error?</v>
      </c>
    </row>
    <row r="871" spans="1:4" x14ac:dyDescent="0.2">
      <c r="A871" s="5">
        <v>810</v>
      </c>
      <c r="B871" s="138">
        <f>'Expenditures 15-22'!E74</f>
        <v>1599182</v>
      </c>
      <c r="C871" s="2" t="s">
        <v>573</v>
      </c>
      <c r="D871" s="2" t="str">
        <f t="shared" si="12"/>
        <v>Error?</v>
      </c>
    </row>
    <row r="872" spans="1:4" x14ac:dyDescent="0.2">
      <c r="A872" s="5">
        <v>811</v>
      </c>
      <c r="B872" s="138">
        <f>'Expenditures 15-22'!E75</f>
        <v>14171</v>
      </c>
      <c r="D872" s="2" t="str">
        <f t="shared" si="12"/>
        <v>Error?</v>
      </c>
    </row>
    <row r="873" spans="1:4" x14ac:dyDescent="0.2">
      <c r="A873" s="5">
        <v>812</v>
      </c>
      <c r="B873" s="138">
        <f>'Expenditures 15-22'!E114</f>
        <v>1834523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510048</v>
      </c>
      <c r="D879" s="2" t="str">
        <f t="shared" si="12"/>
        <v>Error?</v>
      </c>
    </row>
    <row r="880" spans="1:4" x14ac:dyDescent="0.2">
      <c r="A880" s="5">
        <v>819</v>
      </c>
      <c r="B880" s="138">
        <f>'Expenditures 15-22'!F16</f>
        <v>354</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25545</v>
      </c>
      <c r="D891" s="2" t="str">
        <f t="shared" si="12"/>
        <v>Error?</v>
      </c>
    </row>
    <row r="892" spans="1:4" x14ac:dyDescent="0.2">
      <c r="A892" s="5">
        <v>831</v>
      </c>
      <c r="B892" s="138">
        <f>'Expenditures 15-22'!F14</f>
        <v>89777</v>
      </c>
      <c r="D892" s="2" t="str">
        <f t="shared" si="12"/>
        <v>Error?</v>
      </c>
    </row>
    <row r="893" spans="1:4" x14ac:dyDescent="0.2">
      <c r="A893" s="5">
        <v>832</v>
      </c>
      <c r="B893" s="138">
        <f>'Expenditures 15-22'!F15</f>
        <v>873</v>
      </c>
      <c r="D893" s="2" t="str">
        <f t="shared" si="12"/>
        <v>Error?</v>
      </c>
    </row>
    <row r="894" spans="1:4" x14ac:dyDescent="0.2">
      <c r="A894" s="5">
        <v>833</v>
      </c>
      <c r="B894" s="138">
        <f>'Expenditures 15-22'!F33</f>
        <v>705938</v>
      </c>
      <c r="C894" s="2" t="s">
        <v>573</v>
      </c>
      <c r="D894" s="2" t="str">
        <f t="shared" si="12"/>
        <v>Error?</v>
      </c>
    </row>
    <row r="895" spans="1:4" x14ac:dyDescent="0.2">
      <c r="A895" s="5">
        <v>834</v>
      </c>
      <c r="B895" s="138">
        <f>'Expenditures 15-22'!F36</f>
        <v>2682</v>
      </c>
      <c r="D895" s="2" t="str">
        <f t="shared" ref="D895:D958" si="13">IF(ISBLANK(B895),"OK",IF(A895-B895=0,"OK","Error?"))</f>
        <v>Error?</v>
      </c>
    </row>
    <row r="896" spans="1:4" x14ac:dyDescent="0.2">
      <c r="A896" s="5">
        <v>835</v>
      </c>
      <c r="B896" s="138">
        <f>'Expenditures 15-22'!F37</f>
        <v>5989</v>
      </c>
      <c r="D896" s="2" t="str">
        <f t="shared" si="13"/>
        <v>Error?</v>
      </c>
    </row>
    <row r="897" spans="1:4" x14ac:dyDescent="0.2">
      <c r="A897" s="5">
        <v>836</v>
      </c>
      <c r="B897" s="138">
        <f>'Expenditures 15-22'!F38</f>
        <v>356</v>
      </c>
      <c r="D897" s="2" t="str">
        <f t="shared" si="13"/>
        <v>Error?</v>
      </c>
    </row>
    <row r="898" spans="1:4" x14ac:dyDescent="0.2">
      <c r="A898" s="5">
        <v>837</v>
      </c>
      <c r="B898" s="138">
        <f>'Expenditures 15-22'!F39</f>
        <v>5042</v>
      </c>
      <c r="D898" s="2" t="str">
        <f t="shared" si="13"/>
        <v>Error?</v>
      </c>
    </row>
    <row r="899" spans="1:4" x14ac:dyDescent="0.2">
      <c r="A899" s="5">
        <v>838</v>
      </c>
      <c r="B899" s="138">
        <f>'Expenditures 15-22'!F40</f>
        <v>2481</v>
      </c>
      <c r="D899" s="2" t="str">
        <f t="shared" si="13"/>
        <v>Error?</v>
      </c>
    </row>
    <row r="900" spans="1:4" x14ac:dyDescent="0.2">
      <c r="A900" s="5">
        <v>839</v>
      </c>
      <c r="B900" s="138">
        <f>'Expenditures 15-22'!F41</f>
        <v>2701</v>
      </c>
      <c r="D900" s="2" t="str">
        <f t="shared" si="13"/>
        <v>Error?</v>
      </c>
    </row>
    <row r="901" spans="1:4" x14ac:dyDescent="0.2">
      <c r="A901" s="5">
        <v>840</v>
      </c>
      <c r="B901" s="138">
        <f>'Expenditures 15-22'!F42</f>
        <v>19251</v>
      </c>
      <c r="C901" s="2" t="s">
        <v>573</v>
      </c>
      <c r="D901" s="2" t="str">
        <f t="shared" si="13"/>
        <v>Error?</v>
      </c>
    </row>
    <row r="902" spans="1:4" x14ac:dyDescent="0.2">
      <c r="A902" s="5">
        <v>841</v>
      </c>
      <c r="B902" s="138">
        <f>'Expenditures 15-22'!F44</f>
        <v>10486</v>
      </c>
      <c r="D902" s="2" t="str">
        <f t="shared" si="13"/>
        <v>Error?</v>
      </c>
    </row>
    <row r="903" spans="1:4" x14ac:dyDescent="0.2">
      <c r="A903" s="5">
        <v>842</v>
      </c>
      <c r="B903" s="138">
        <f>'Expenditures 15-22'!F45</f>
        <v>135034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145520</v>
      </c>
      <c r="C905" s="2" t="s">
        <v>573</v>
      </c>
      <c r="D905" s="2" t="str">
        <f t="shared" si="13"/>
        <v>Error?</v>
      </c>
    </row>
    <row r="906" spans="1:4" x14ac:dyDescent="0.2">
      <c r="A906" s="5">
        <v>845</v>
      </c>
      <c r="B906" s="138">
        <f>'Expenditures 15-22'!F49</f>
        <v>20114</v>
      </c>
      <c r="D906" s="2" t="str">
        <f t="shared" si="13"/>
        <v>Error?</v>
      </c>
    </row>
    <row r="907" spans="1:4" x14ac:dyDescent="0.2">
      <c r="A907" s="5">
        <v>846</v>
      </c>
      <c r="B907" s="138">
        <f>'Expenditures 15-22'!F50</f>
        <v>9326</v>
      </c>
      <c r="D907" s="2" t="str">
        <f t="shared" si="13"/>
        <v>Error?</v>
      </c>
    </row>
    <row r="908" spans="1:4" x14ac:dyDescent="0.2">
      <c r="A908" s="5">
        <v>847</v>
      </c>
      <c r="B908" s="138">
        <f>'Expenditures 15-22'!F53</f>
        <v>47207</v>
      </c>
      <c r="C908" s="2" t="s">
        <v>573</v>
      </c>
      <c r="D908" s="2" t="str">
        <f t="shared" si="13"/>
        <v>Error?</v>
      </c>
    </row>
    <row r="909" spans="1:4" x14ac:dyDescent="0.2">
      <c r="A909" s="5">
        <v>848</v>
      </c>
      <c r="B909" s="138">
        <f>'Expenditures 15-22'!F55</f>
        <v>3343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3343</v>
      </c>
      <c r="C911" s="2" t="s">
        <v>573</v>
      </c>
      <c r="D911" s="2" t="str">
        <f t="shared" si="13"/>
        <v>Error?</v>
      </c>
    </row>
    <row r="912" spans="1:4" x14ac:dyDescent="0.2">
      <c r="A912" s="5">
        <v>851</v>
      </c>
      <c r="B912" s="138">
        <f>'Expenditures 15-22'!F59</f>
        <v>3067</v>
      </c>
      <c r="D912" s="2" t="str">
        <f t="shared" si="13"/>
        <v>Error?</v>
      </c>
    </row>
    <row r="913" spans="1:4" x14ac:dyDescent="0.2">
      <c r="A913" s="5">
        <v>852</v>
      </c>
      <c r="B913" s="138">
        <f>'Expenditures 15-22'!F60</f>
        <v>2359</v>
      </c>
      <c r="D913" s="2" t="str">
        <f t="shared" si="13"/>
        <v>Error?</v>
      </c>
    </row>
    <row r="914" spans="1:4" x14ac:dyDescent="0.2">
      <c r="A914" s="5">
        <v>853</v>
      </c>
      <c r="B914" s="138">
        <f>'Expenditures 15-22'!F61</f>
        <v>5980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6433</v>
      </c>
      <c r="D916" s="2" t="str">
        <f t="shared" si="13"/>
        <v>Error?</v>
      </c>
    </row>
    <row r="917" spans="1:4" x14ac:dyDescent="0.2">
      <c r="A917" s="5">
        <v>856</v>
      </c>
      <c r="B917" s="138">
        <f>'Expenditures 15-22'!F64</f>
        <v>706</v>
      </c>
      <c r="D917" s="2" t="str">
        <f t="shared" si="13"/>
        <v>Error?</v>
      </c>
    </row>
    <row r="918" spans="1:4" x14ac:dyDescent="0.2">
      <c r="A918" s="10">
        <v>857</v>
      </c>
      <c r="D918" s="2" t="str">
        <f t="shared" si="13"/>
        <v>OK</v>
      </c>
    </row>
    <row r="919" spans="1:4" x14ac:dyDescent="0.2">
      <c r="A919" s="5">
        <v>858</v>
      </c>
      <c r="B919" s="138">
        <f>'Expenditures 15-22'!F65</f>
        <v>18545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6002</v>
      </c>
      <c r="D922" s="2" t="str">
        <f t="shared" si="13"/>
        <v>Error?</v>
      </c>
    </row>
    <row r="923" spans="1:4" x14ac:dyDescent="0.2">
      <c r="A923" s="5">
        <v>862</v>
      </c>
      <c r="B923" s="138">
        <f>'Expenditures 15-22'!F70</f>
        <v>1374</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7376</v>
      </c>
      <c r="C927" s="2" t="s">
        <v>573</v>
      </c>
      <c r="D927" s="2" t="str">
        <f t="shared" si="13"/>
        <v>Error?</v>
      </c>
    </row>
    <row r="928" spans="1:4" x14ac:dyDescent="0.2">
      <c r="A928" s="5">
        <v>867</v>
      </c>
      <c r="B928" s="138">
        <f>'Expenditures 15-22'!F73</f>
        <v>45</v>
      </c>
      <c r="D928" s="2" t="str">
        <f t="shared" si="13"/>
        <v>Error?</v>
      </c>
    </row>
    <row r="929" spans="1:4" x14ac:dyDescent="0.2">
      <c r="A929" s="5">
        <v>868</v>
      </c>
      <c r="B929" s="138">
        <f>'Expenditures 15-22'!F74</f>
        <v>241287</v>
      </c>
      <c r="C929" s="2" t="s">
        <v>573</v>
      </c>
      <c r="D929" s="2" t="str">
        <f t="shared" si="13"/>
        <v>Error?</v>
      </c>
    </row>
    <row r="930" spans="1:4" x14ac:dyDescent="0.2">
      <c r="A930" s="5">
        <v>869</v>
      </c>
      <c r="B930" s="138">
        <f>'Expenditures 15-22'!F75</f>
        <v>3400</v>
      </c>
      <c r="D930" s="2" t="str">
        <f t="shared" si="13"/>
        <v>Error?</v>
      </c>
    </row>
    <row r="931" spans="1:4" x14ac:dyDescent="0.2">
      <c r="A931" s="5">
        <v>870</v>
      </c>
      <c r="B931" s="138">
        <f>'Expenditures 15-22'!F114</f>
        <v>950625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109144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1463</v>
      </c>
      <c r="D949" s="2" t="str">
        <f t="shared" si="13"/>
        <v>Error?</v>
      </c>
    </row>
    <row r="950" spans="1:4" x14ac:dyDescent="0.2">
      <c r="A950" s="5">
        <v>889</v>
      </c>
      <c r="B950" s="138">
        <f>'Expenditures 15-22'!G14</f>
        <v>14526</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138679</v>
      </c>
      <c r="C952" s="2" t="s">
        <v>573</v>
      </c>
      <c r="D952" s="2" t="str">
        <f t="shared" si="13"/>
        <v>Error?</v>
      </c>
    </row>
    <row r="953" spans="1:4" x14ac:dyDescent="0.2">
      <c r="A953" s="5">
        <v>892</v>
      </c>
      <c r="B953" s="138">
        <f>'Expenditures 15-22'!G36</f>
        <v>453</v>
      </c>
      <c r="D953" s="2" t="str">
        <f t="shared" si="13"/>
        <v>Error?</v>
      </c>
    </row>
    <row r="954" spans="1:4" x14ac:dyDescent="0.2">
      <c r="A954" s="5">
        <v>893</v>
      </c>
      <c r="B954" s="138">
        <f>'Expenditures 15-22'!G37</f>
        <v>0</v>
      </c>
      <c r="D954" s="2" t="str">
        <f t="shared" si="13"/>
        <v>Error?</v>
      </c>
    </row>
    <row r="955" spans="1:4" x14ac:dyDescent="0.2">
      <c r="A955" s="5">
        <v>894</v>
      </c>
      <c r="B955" s="138">
        <f>'Expenditures 15-22'!G38</f>
        <v>549</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333</v>
      </c>
      <c r="D958" s="2" t="str">
        <f t="shared" si="13"/>
        <v>Error?</v>
      </c>
    </row>
    <row r="959" spans="1:4" x14ac:dyDescent="0.2">
      <c r="A959" s="5">
        <v>898</v>
      </c>
      <c r="B959" s="138">
        <f>'Expenditures 15-22'!G42</f>
        <v>1335</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119178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119178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4927</v>
      </c>
      <c r="D965" s="2" t="str">
        <f t="shared" si="14"/>
        <v>Error?</v>
      </c>
    </row>
    <row r="966" spans="1:4" x14ac:dyDescent="0.2">
      <c r="A966" s="5">
        <v>905</v>
      </c>
      <c r="B966" s="138">
        <f>'Expenditures 15-22'!G53</f>
        <v>10805</v>
      </c>
      <c r="C966" s="2" t="s">
        <v>573</v>
      </c>
      <c r="D966" s="2" t="str">
        <f t="shared" si="14"/>
        <v>Error?</v>
      </c>
    </row>
    <row r="967" spans="1:4" x14ac:dyDescent="0.2">
      <c r="A967" s="5">
        <v>906</v>
      </c>
      <c r="B967" s="138">
        <f>'Expenditures 15-22'!G55</f>
        <v>3149</v>
      </c>
      <c r="D967" s="2" t="str">
        <f t="shared" si="14"/>
        <v>Error?</v>
      </c>
    </row>
    <row r="968" spans="1:4" x14ac:dyDescent="0.2">
      <c r="A968" s="5">
        <v>907</v>
      </c>
      <c r="B968" s="138">
        <f>'Expenditures 15-22'!G56</f>
        <v>0</v>
      </c>
      <c r="D968" s="2" t="str">
        <f t="shared" si="14"/>
        <v>Error?</v>
      </c>
    </row>
    <row r="969" spans="1:4" x14ac:dyDescent="0.2">
      <c r="A969" s="5">
        <v>908</v>
      </c>
      <c r="B969" s="138">
        <f>'Expenditures 15-22'!G57</f>
        <v>3149</v>
      </c>
      <c r="C969" s="2" t="s">
        <v>573</v>
      </c>
      <c r="D969" s="2" t="str">
        <f t="shared" si="14"/>
        <v>Error?</v>
      </c>
    </row>
    <row r="970" spans="1:4" x14ac:dyDescent="0.2">
      <c r="A970" s="5">
        <v>909</v>
      </c>
      <c r="B970" s="138">
        <f>'Expenditures 15-22'!G59</f>
        <v>2679</v>
      </c>
      <c r="D970" s="2" t="str">
        <f t="shared" si="14"/>
        <v>Error?</v>
      </c>
    </row>
    <row r="971" spans="1:4" x14ac:dyDescent="0.2">
      <c r="A971" s="5">
        <v>910</v>
      </c>
      <c r="B971" s="138">
        <f>'Expenditures 15-22'!G60</f>
        <v>280365</v>
      </c>
      <c r="D971" s="2" t="str">
        <f t="shared" si="14"/>
        <v>Error?</v>
      </c>
    </row>
    <row r="972" spans="1:4" x14ac:dyDescent="0.2">
      <c r="A972" s="5">
        <v>911</v>
      </c>
      <c r="B972" s="138">
        <f>'Expenditures 15-22'!G61</f>
        <v>25907</v>
      </c>
      <c r="D972" s="2" t="str">
        <f t="shared" si="14"/>
        <v>Error?</v>
      </c>
    </row>
    <row r="973" spans="1:4" x14ac:dyDescent="0.2">
      <c r="A973" s="5">
        <v>912</v>
      </c>
      <c r="B973" s="138">
        <f>'Expenditures 15-22'!G62</f>
        <v>0</v>
      </c>
      <c r="D973" s="2" t="str">
        <f t="shared" si="14"/>
        <v>Error?</v>
      </c>
    </row>
    <row r="974" spans="1:4" x14ac:dyDescent="0.2">
      <c r="A974" s="5">
        <v>913</v>
      </c>
      <c r="B974" s="138">
        <f>'Expenditures 15-22'!G63</f>
        <v>8465</v>
      </c>
      <c r="D974" s="2" t="str">
        <f t="shared" si="14"/>
        <v>Error?</v>
      </c>
    </row>
    <row r="975" spans="1:4" x14ac:dyDescent="0.2">
      <c r="A975" s="5">
        <v>914</v>
      </c>
      <c r="B975" s="138">
        <f>'Expenditures 15-22'!G64</f>
        <v>2405</v>
      </c>
      <c r="D975" s="2" t="str">
        <f t="shared" si="14"/>
        <v>Error?</v>
      </c>
    </row>
    <row r="976" spans="1:4" x14ac:dyDescent="0.2">
      <c r="A976" s="10">
        <v>915</v>
      </c>
      <c r="D976" s="2" t="str">
        <f t="shared" si="14"/>
        <v>OK</v>
      </c>
    </row>
    <row r="977" spans="1:4" x14ac:dyDescent="0.2">
      <c r="A977" s="5">
        <v>916</v>
      </c>
      <c r="B977" s="138">
        <f>'Expenditures 15-22'!G65</f>
        <v>319821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16487</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16487</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470775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609454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33156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1211769</v>
      </c>
      <c r="C1010" s="2" t="s">
        <v>573</v>
      </c>
      <c r="D1010" s="2" t="str">
        <f t="shared" si="14"/>
        <v>Error?</v>
      </c>
    </row>
    <row r="1011" spans="1:4" x14ac:dyDescent="0.2">
      <c r="A1011" s="5">
        <v>950</v>
      </c>
      <c r="B1011" s="138">
        <f>'Expenditures 15-22'!H36</f>
        <v>819</v>
      </c>
      <c r="D1011" s="2" t="str">
        <f t="shared" si="14"/>
        <v>Error?</v>
      </c>
    </row>
    <row r="1012" spans="1:4" x14ac:dyDescent="0.2">
      <c r="A1012" s="5">
        <v>951</v>
      </c>
      <c r="B1012" s="138">
        <f>'Expenditures 15-22'!H37</f>
        <v>334</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520</v>
      </c>
      <c r="D1016" s="2" t="str">
        <f t="shared" si="14"/>
        <v>Error?</v>
      </c>
    </row>
    <row r="1017" spans="1:4" x14ac:dyDescent="0.2">
      <c r="A1017" s="5">
        <v>956</v>
      </c>
      <c r="B1017" s="138">
        <f>'Expenditures 15-22'!H42</f>
        <v>1673</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544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544</v>
      </c>
      <c r="C1021" s="2" t="s">
        <v>573</v>
      </c>
      <c r="D1021" s="2" t="str">
        <f t="shared" si="14"/>
        <v>Error?</v>
      </c>
    </row>
    <row r="1022" spans="1:4" x14ac:dyDescent="0.2">
      <c r="A1022" s="5">
        <v>961</v>
      </c>
      <c r="B1022" s="138">
        <f>'Expenditures 15-22'!H49</f>
        <v>7516</v>
      </c>
      <c r="D1022" s="2" t="str">
        <f t="shared" si="14"/>
        <v>Error?</v>
      </c>
    </row>
    <row r="1023" spans="1:4" x14ac:dyDescent="0.2">
      <c r="A1023" s="5">
        <v>962</v>
      </c>
      <c r="B1023" s="138">
        <f>'Expenditures 15-22'!H50</f>
        <v>3076</v>
      </c>
      <c r="D1023" s="2" t="str">
        <f t="shared" ref="D1023:D1086" si="15">IF(ISBLANK(B1023),"OK",IF(A1023-B1023=0,"OK","Error?"))</f>
        <v>Error?</v>
      </c>
    </row>
    <row r="1024" spans="1:4" x14ac:dyDescent="0.2">
      <c r="A1024" s="5">
        <v>963</v>
      </c>
      <c r="B1024" s="138">
        <f>'Expenditures 15-22'!H53</f>
        <v>11516</v>
      </c>
      <c r="C1024" s="2" t="s">
        <v>573</v>
      </c>
      <c r="D1024" s="2" t="str">
        <f t="shared" si="15"/>
        <v>Error?</v>
      </c>
    </row>
    <row r="1025" spans="1:4" x14ac:dyDescent="0.2">
      <c r="A1025" s="5">
        <v>964</v>
      </c>
      <c r="B1025" s="138">
        <f>'Expenditures 15-22'!H55</f>
        <v>7061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7061</v>
      </c>
      <c r="C1027" s="2" t="s">
        <v>573</v>
      </c>
      <c r="D1027" s="2" t="str">
        <f t="shared" si="15"/>
        <v>Error?</v>
      </c>
    </row>
    <row r="1028" spans="1:4" x14ac:dyDescent="0.2">
      <c r="A1028" s="5">
        <v>967</v>
      </c>
      <c r="B1028" s="138">
        <f>'Expenditures 15-22'!H59</f>
        <v>3672</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175</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3847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819</v>
      </c>
      <c r="D1038" s="2" t="str">
        <f t="shared" si="15"/>
        <v>Error?</v>
      </c>
    </row>
    <row r="1039" spans="1:4" x14ac:dyDescent="0.2">
      <c r="A1039" s="5">
        <v>978</v>
      </c>
      <c r="B1039" s="138">
        <f>'Expenditures 15-22'!H70</f>
        <v>318</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1137</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25778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270846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99</v>
      </c>
      <c r="D1051" s="2" t="str">
        <f t="shared" si="15"/>
        <v>Error?</v>
      </c>
    </row>
    <row r="1052" spans="1:4" x14ac:dyDescent="0.2">
      <c r="A1052" s="10">
        <v>991</v>
      </c>
      <c r="D1052" s="2" t="str">
        <f t="shared" si="15"/>
        <v>OK</v>
      </c>
    </row>
    <row r="1053" spans="1:4" x14ac:dyDescent="0.2">
      <c r="A1053" s="5">
        <v>992</v>
      </c>
      <c r="B1053" s="138">
        <f>'Expenditures 15-22'!H110</f>
        <v>99</v>
      </c>
      <c r="C1053" s="2" t="s">
        <v>573</v>
      </c>
      <c r="D1053" s="2" t="str">
        <f t="shared" si="15"/>
        <v>Error?</v>
      </c>
    </row>
    <row r="1054" spans="1:4" x14ac:dyDescent="0.2">
      <c r="A1054" s="5">
        <v>993</v>
      </c>
      <c r="B1054" s="138">
        <f>'Expenditures 15-22'!H114</f>
        <v>1508492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12409121</v>
      </c>
      <c r="C1093" s="2" t="s">
        <v>573</v>
      </c>
      <c r="D1093" s="2" t="str">
        <f t="shared" si="16"/>
        <v>Error?</v>
      </c>
    </row>
    <row r="1094" spans="1:4" x14ac:dyDescent="0.2">
      <c r="A1094" s="5">
        <v>1033</v>
      </c>
      <c r="B1094" s="138">
        <f>'Expenditures 15-22'!K16</f>
        <v>24072</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635935</v>
      </c>
      <c r="C1105" s="2" t="s">
        <v>573</v>
      </c>
      <c r="D1105" s="2" t="str">
        <f t="shared" si="16"/>
        <v>Error?</v>
      </c>
    </row>
    <row r="1106" spans="1:4" x14ac:dyDescent="0.2">
      <c r="A1106" s="5">
        <v>1045</v>
      </c>
      <c r="B1106" s="138">
        <f>'Expenditures 15-22'!K14</f>
        <v>1035335</v>
      </c>
      <c r="C1106" s="2" t="s">
        <v>573</v>
      </c>
      <c r="D1106" s="2" t="str">
        <f t="shared" si="16"/>
        <v>Error?</v>
      </c>
    </row>
    <row r="1107" spans="1:4" x14ac:dyDescent="0.2">
      <c r="A1107" s="5">
        <v>1046</v>
      </c>
      <c r="B1107" s="138">
        <f>'Expenditures 15-22'!K15</f>
        <v>50909</v>
      </c>
      <c r="C1107" s="2" t="s">
        <v>573</v>
      </c>
      <c r="D1107" s="2" t="str">
        <f t="shared" si="16"/>
        <v>Error?</v>
      </c>
    </row>
    <row r="1108" spans="1:4" x14ac:dyDescent="0.2">
      <c r="A1108" s="5">
        <v>1047</v>
      </c>
      <c r="B1108" s="138">
        <f>'Expenditures 15-22'!K33</f>
        <v>18955113</v>
      </c>
      <c r="C1108" s="2" t="s">
        <v>573</v>
      </c>
      <c r="D1108" s="2" t="str">
        <f t="shared" si="16"/>
        <v>Error?</v>
      </c>
    </row>
    <row r="1109" spans="1:4" x14ac:dyDescent="0.2">
      <c r="A1109" s="5">
        <v>1048</v>
      </c>
      <c r="B1109" s="138">
        <f>'Expenditures 15-22'!K36</f>
        <v>402913</v>
      </c>
      <c r="C1109" s="2" t="s">
        <v>573</v>
      </c>
      <c r="D1109" s="2" t="str">
        <f t="shared" si="16"/>
        <v>Error?</v>
      </c>
    </row>
    <row r="1110" spans="1:4" x14ac:dyDescent="0.2">
      <c r="A1110" s="5">
        <v>1049</v>
      </c>
      <c r="B1110" s="138">
        <f>'Expenditures 15-22'!K37</f>
        <v>580346</v>
      </c>
      <c r="C1110" s="2" t="s">
        <v>573</v>
      </c>
      <c r="D1110" s="2" t="str">
        <f t="shared" si="16"/>
        <v>Error?</v>
      </c>
    </row>
    <row r="1111" spans="1:4" x14ac:dyDescent="0.2">
      <c r="A1111" s="5">
        <v>1050</v>
      </c>
      <c r="B1111" s="138">
        <f>'Expenditures 15-22'!K38</f>
        <v>199249</v>
      </c>
      <c r="C1111" s="2" t="s">
        <v>573</v>
      </c>
      <c r="D1111" s="2" t="str">
        <f t="shared" si="16"/>
        <v>Error?</v>
      </c>
    </row>
    <row r="1112" spans="1:4" x14ac:dyDescent="0.2">
      <c r="A1112" s="5">
        <v>1051</v>
      </c>
      <c r="B1112" s="138">
        <f>'Expenditures 15-22'!K39</f>
        <v>204124</v>
      </c>
      <c r="C1112" s="2" t="s">
        <v>573</v>
      </c>
      <c r="D1112" s="2" t="str">
        <f t="shared" si="16"/>
        <v>Error?</v>
      </c>
    </row>
    <row r="1113" spans="1:4" x14ac:dyDescent="0.2">
      <c r="A1113" s="5">
        <v>1052</v>
      </c>
      <c r="B1113" s="138">
        <f>'Expenditures 15-22'!K40</f>
        <v>392230</v>
      </c>
      <c r="C1113" s="2" t="s">
        <v>573</v>
      </c>
      <c r="D1113" s="2" t="str">
        <f t="shared" si="16"/>
        <v>Error?</v>
      </c>
    </row>
    <row r="1114" spans="1:4" x14ac:dyDescent="0.2">
      <c r="A1114" s="5">
        <v>1053</v>
      </c>
      <c r="B1114" s="138">
        <f>'Expenditures 15-22'!K41</f>
        <v>171918</v>
      </c>
      <c r="C1114" s="2" t="s">
        <v>573</v>
      </c>
      <c r="D1114" s="2" t="str">
        <f t="shared" si="16"/>
        <v>Error?</v>
      </c>
    </row>
    <row r="1115" spans="1:4" x14ac:dyDescent="0.2">
      <c r="A1115" s="5">
        <v>1054</v>
      </c>
      <c r="B1115" s="138">
        <f>'Expenditures 15-22'!K42</f>
        <v>1950780</v>
      </c>
      <c r="C1115" s="2" t="s">
        <v>573</v>
      </c>
      <c r="D1115" s="2" t="str">
        <f t="shared" si="16"/>
        <v>Error?</v>
      </c>
    </row>
    <row r="1116" spans="1:4" x14ac:dyDescent="0.2">
      <c r="A1116" s="5">
        <v>1055</v>
      </c>
      <c r="B1116" s="138">
        <f>'Expenditures 15-22'!K44</f>
        <v>146125</v>
      </c>
      <c r="C1116" s="2" t="s">
        <v>573</v>
      </c>
      <c r="D1116" s="2" t="str">
        <f t="shared" si="16"/>
        <v>Error?</v>
      </c>
    </row>
    <row r="1117" spans="1:4" x14ac:dyDescent="0.2">
      <c r="A1117" s="5">
        <v>1056</v>
      </c>
      <c r="B1117" s="138">
        <f>'Expenditures 15-22'!K45</f>
        <v>1317965</v>
      </c>
      <c r="C1117" s="2" t="s">
        <v>573</v>
      </c>
      <c r="D1117" s="2" t="str">
        <f t="shared" si="16"/>
        <v>Error?</v>
      </c>
    </row>
    <row r="1118" spans="1:4" x14ac:dyDescent="0.2">
      <c r="A1118" s="5">
        <v>1057</v>
      </c>
      <c r="B1118" s="138">
        <f>'Expenditures 15-22'!K46</f>
        <v>20250</v>
      </c>
      <c r="C1118" s="2" t="s">
        <v>573</v>
      </c>
      <c r="D1118" s="2" t="str">
        <f t="shared" si="16"/>
        <v>Error?</v>
      </c>
    </row>
    <row r="1119" spans="1:4" x14ac:dyDescent="0.2">
      <c r="A1119" s="5">
        <v>1058</v>
      </c>
      <c r="B1119" s="138">
        <f>'Expenditures 15-22'!K47</f>
        <v>1484340</v>
      </c>
      <c r="C1119" s="2" t="s">
        <v>573</v>
      </c>
      <c r="D1119" s="2" t="str">
        <f t="shared" si="16"/>
        <v>Error?</v>
      </c>
    </row>
    <row r="1120" spans="1:4" x14ac:dyDescent="0.2">
      <c r="A1120" s="5">
        <v>1059</v>
      </c>
      <c r="B1120" s="138">
        <f>'Expenditures 15-22'!K49</f>
        <v>166956</v>
      </c>
      <c r="C1120" s="2" t="s">
        <v>573</v>
      </c>
      <c r="D1120" s="2" t="str">
        <f t="shared" si="16"/>
        <v>Error?</v>
      </c>
    </row>
    <row r="1121" spans="1:4" x14ac:dyDescent="0.2">
      <c r="A1121" s="5">
        <v>1060</v>
      </c>
      <c r="B1121" s="138">
        <f>'Expenditures 15-22'!K50</f>
        <v>366475</v>
      </c>
      <c r="C1121" s="2" t="s">
        <v>573</v>
      </c>
      <c r="D1121" s="2" t="str">
        <f t="shared" si="16"/>
        <v>Error?</v>
      </c>
    </row>
    <row r="1122" spans="1:4" x14ac:dyDescent="0.2">
      <c r="A1122" s="5">
        <v>1061</v>
      </c>
      <c r="B1122" s="138">
        <f>'Expenditures 15-22'!K53</f>
        <v>807704</v>
      </c>
      <c r="C1122" s="2" t="s">
        <v>573</v>
      </c>
      <c r="D1122" s="2" t="str">
        <f t="shared" si="16"/>
        <v>Error?</v>
      </c>
    </row>
    <row r="1123" spans="1:4" x14ac:dyDescent="0.2">
      <c r="A1123" s="5">
        <v>1062</v>
      </c>
      <c r="B1123" s="138">
        <f>'Expenditures 15-22'!K55</f>
        <v>1613192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1613192</v>
      </c>
      <c r="C1125" s="2" t="s">
        <v>573</v>
      </c>
      <c r="D1125" s="2" t="str">
        <f t="shared" si="16"/>
        <v>Error?</v>
      </c>
    </row>
    <row r="1126" spans="1:4" x14ac:dyDescent="0.2">
      <c r="A1126" s="5">
        <v>1065</v>
      </c>
      <c r="B1126" s="138">
        <f>'Expenditures 15-22'!K59</f>
        <v>199721</v>
      </c>
      <c r="C1126" s="2" t="s">
        <v>573</v>
      </c>
      <c r="D1126" s="2" t="str">
        <f t="shared" si="16"/>
        <v>Error?</v>
      </c>
    </row>
    <row r="1127" spans="1:4" x14ac:dyDescent="0.2">
      <c r="A1127" s="5">
        <v>1066</v>
      </c>
      <c r="B1127" s="138">
        <f>'Expenditures 15-22'!K60</f>
        <v>451548</v>
      </c>
      <c r="C1127" s="2" t="s">
        <v>573</v>
      </c>
      <c r="D1127" s="2" t="str">
        <f t="shared" si="16"/>
        <v>Error?</v>
      </c>
    </row>
    <row r="1128" spans="1:4" x14ac:dyDescent="0.2">
      <c r="A1128" s="5">
        <v>1067</v>
      </c>
      <c r="B1128" s="138">
        <f>'Expenditures 15-22'!K61</f>
        <v>71413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704336</v>
      </c>
      <c r="C1130" s="2" t="s">
        <v>573</v>
      </c>
      <c r="D1130" s="2" t="str">
        <f t="shared" si="16"/>
        <v>Error?</v>
      </c>
    </row>
    <row r="1131" spans="1:4" x14ac:dyDescent="0.2">
      <c r="A1131" s="5">
        <v>1070</v>
      </c>
      <c r="B1131" s="138">
        <f>'Expenditures 15-22'!K64</f>
        <v>15745</v>
      </c>
      <c r="C1131" s="2" t="s">
        <v>573</v>
      </c>
      <c r="D1131" s="2" t="str">
        <f t="shared" si="16"/>
        <v>Error?</v>
      </c>
    </row>
    <row r="1132" spans="1:4" x14ac:dyDescent="0.2">
      <c r="A1132" s="10">
        <v>1071</v>
      </c>
      <c r="D1132" s="2" t="str">
        <f t="shared" si="16"/>
        <v>OK</v>
      </c>
    </row>
    <row r="1133" spans="1:4" x14ac:dyDescent="0.2">
      <c r="A1133" s="5">
        <v>1072</v>
      </c>
      <c r="B1133" s="138">
        <f>'Expenditures 15-22'!K65</f>
        <v>1442763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70590</v>
      </c>
      <c r="C1136" s="2" t="s">
        <v>573</v>
      </c>
      <c r="D1136" s="2" t="str">
        <f t="shared" si="16"/>
        <v>Error?</v>
      </c>
    </row>
    <row r="1137" spans="1:4" x14ac:dyDescent="0.2">
      <c r="A1137" s="5">
        <v>1076</v>
      </c>
      <c r="B1137" s="138">
        <f>'Expenditures 15-22'!K70</f>
        <v>266451</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337041</v>
      </c>
      <c r="C1141" s="2" t="s">
        <v>573</v>
      </c>
      <c r="D1141" s="2" t="str">
        <f t="shared" si="16"/>
        <v>Error?</v>
      </c>
    </row>
    <row r="1142" spans="1:4" x14ac:dyDescent="0.2">
      <c r="A1142" s="5">
        <v>1081</v>
      </c>
      <c r="B1142" s="138">
        <f>'Expenditures 15-22'!K73</f>
        <v>2562</v>
      </c>
      <c r="C1142" s="2" t="s">
        <v>573</v>
      </c>
      <c r="D1142" s="2" t="str">
        <f t="shared" si="16"/>
        <v>Error?</v>
      </c>
    </row>
    <row r="1143" spans="1:4" x14ac:dyDescent="0.2">
      <c r="A1143" s="5">
        <v>1082</v>
      </c>
      <c r="B1143" s="138">
        <f>'Expenditures 15-22'!K74</f>
        <v>7638382</v>
      </c>
      <c r="C1143" s="2" t="s">
        <v>573</v>
      </c>
      <c r="D1143" s="2" t="str">
        <f t="shared" si="16"/>
        <v>Error?</v>
      </c>
    </row>
    <row r="1144" spans="1:4" x14ac:dyDescent="0.2">
      <c r="A1144" s="5">
        <v>1083</v>
      </c>
      <c r="B1144" s="138">
        <f>'Expenditures 15-22'!K75</f>
        <v>17571</v>
      </c>
      <c r="C1144" s="2" t="s">
        <v>573</v>
      </c>
      <c r="D1144" s="2" t="str">
        <f t="shared" si="16"/>
        <v>Error?</v>
      </c>
    </row>
    <row r="1145" spans="1:4" x14ac:dyDescent="0.2">
      <c r="A1145" s="5">
        <v>1084</v>
      </c>
      <c r="B1145" s="138">
        <f>'Expenditures 15-22'!K102</f>
        <v>270846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99</v>
      </c>
      <c r="C1149" s="2" t="s">
        <v>573</v>
      </c>
      <c r="D1149" s="2" t="str">
        <f t="shared" si="16"/>
        <v>Error?</v>
      </c>
    </row>
    <row r="1150" spans="1:4" x14ac:dyDescent="0.2">
      <c r="A1150" s="10">
        <v>1089</v>
      </c>
      <c r="D1150" s="2" t="str">
        <f t="shared" si="16"/>
        <v>OK</v>
      </c>
    </row>
    <row r="1151" spans="1:4" x14ac:dyDescent="0.2">
      <c r="A1151" s="5">
        <v>1090</v>
      </c>
      <c r="B1151" s="138">
        <f>'Expenditures 15-22'!K110</f>
        <v>99</v>
      </c>
      <c r="C1151" s="2" t="s">
        <v>573</v>
      </c>
      <c r="D1151" s="2" t="str">
        <f t="shared" ref="D1151:D1214" si="17">IF(ISBLANK(B1151),"OK",IF(A1151-B1151=0,"OK","Error?"))</f>
        <v>Error?</v>
      </c>
    </row>
    <row r="1152" spans="1:4" x14ac:dyDescent="0.2">
      <c r="A1152" s="5">
        <v>1091</v>
      </c>
      <c r="B1152" s="138">
        <f>'Expenditures 15-22'!K114</f>
        <v>26882011</v>
      </c>
      <c r="C1152" s="2" t="s">
        <v>573</v>
      </c>
      <c r="D1152" s="2" t="str">
        <f t="shared" si="17"/>
        <v>Error?</v>
      </c>
    </row>
    <row r="1153" spans="1:4" x14ac:dyDescent="0.2">
      <c r="A1153" s="5">
        <v>1092</v>
      </c>
      <c r="B1153" s="138">
        <f>'Expenditures 15-22'!K115</f>
        <v>453956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1455362</v>
      </c>
      <c r="D1221" s="2" t="str">
        <f t="shared" si="18"/>
        <v>Error?</v>
      </c>
    </row>
    <row r="1222" spans="1:4" x14ac:dyDescent="0.2">
      <c r="A1222" s="10">
        <v>1161</v>
      </c>
      <c r="D1222" s="2" t="str">
        <f t="shared" si="18"/>
        <v>OK</v>
      </c>
    </row>
    <row r="1223" spans="1:4" x14ac:dyDescent="0.2">
      <c r="A1223" s="5">
        <v>1162</v>
      </c>
      <c r="B1223" s="138">
        <f>'Expenditures 15-22'!C127</f>
        <v>1455362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1455362</v>
      </c>
      <c r="C1225" s="2" t="s">
        <v>573</v>
      </c>
      <c r="D1225" s="2" t="str">
        <f t="shared" si="18"/>
        <v>Error?</v>
      </c>
    </row>
    <row r="1226" spans="1:4" x14ac:dyDescent="0.2">
      <c r="A1226" s="5">
        <v>1165</v>
      </c>
      <c r="B1226" s="138">
        <f>'Expenditures 15-22'!C151</f>
        <v>1455362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269891</v>
      </c>
      <c r="D1229" s="2" t="str">
        <f t="shared" si="18"/>
        <v>Error?</v>
      </c>
    </row>
    <row r="1230" spans="1:4" x14ac:dyDescent="0.2">
      <c r="A1230" s="10">
        <v>1169</v>
      </c>
      <c r="D1230" s="2" t="str">
        <f t="shared" si="18"/>
        <v>OK</v>
      </c>
    </row>
    <row r="1231" spans="1:4" x14ac:dyDescent="0.2">
      <c r="A1231" s="5">
        <v>1170</v>
      </c>
      <c r="B1231" s="138">
        <f>'Expenditures 15-22'!D127</f>
        <v>269891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269891</v>
      </c>
      <c r="C1233" s="2" t="s">
        <v>573</v>
      </c>
      <c r="D1233" s="2" t="str">
        <f t="shared" si="18"/>
        <v>Error?</v>
      </c>
    </row>
    <row r="1234" spans="1:4" x14ac:dyDescent="0.2">
      <c r="A1234" s="5">
        <v>1173</v>
      </c>
      <c r="B1234" s="138">
        <f>'Expenditures 15-22'!D151</f>
        <v>269891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172165</v>
      </c>
      <c r="D1236" s="2" t="str">
        <f t="shared" si="18"/>
        <v>Error?</v>
      </c>
    </row>
    <row r="1237" spans="1:4" x14ac:dyDescent="0.2">
      <c r="A1237" s="5">
        <v>1176</v>
      </c>
      <c r="B1237" s="138">
        <f>'Expenditures 15-22'!E124</f>
        <v>288567</v>
      </c>
      <c r="D1237" s="2" t="str">
        <f t="shared" si="18"/>
        <v>Error?</v>
      </c>
    </row>
    <row r="1238" spans="1:4" x14ac:dyDescent="0.2">
      <c r="A1238" s="10">
        <v>1177</v>
      </c>
      <c r="D1238" s="2" t="str">
        <f t="shared" si="18"/>
        <v>OK</v>
      </c>
    </row>
    <row r="1239" spans="1:4" x14ac:dyDescent="0.2">
      <c r="A1239" s="5">
        <v>1178</v>
      </c>
      <c r="B1239" s="138">
        <f>'Expenditures 15-22'!E127</f>
        <v>460732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460732</v>
      </c>
      <c r="C1241" s="2" t="s">
        <v>573</v>
      </c>
      <c r="D1241" s="2" t="str">
        <f t="shared" si="18"/>
        <v>Error?</v>
      </c>
    </row>
    <row r="1242" spans="1:4" x14ac:dyDescent="0.2">
      <c r="A1242" s="5">
        <v>1181</v>
      </c>
      <c r="B1242" s="138">
        <f>'Expenditures 15-22'!E151</f>
        <v>460732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6</v>
      </c>
      <c r="D1244" s="2" t="str">
        <f t="shared" si="18"/>
        <v>Error?</v>
      </c>
    </row>
    <row r="1245" spans="1:4" x14ac:dyDescent="0.2">
      <c r="A1245" s="5">
        <v>1184</v>
      </c>
      <c r="B1245" s="138">
        <f>'Expenditures 15-22'!F124</f>
        <v>736454</v>
      </c>
      <c r="D1245" s="2" t="str">
        <f t="shared" si="18"/>
        <v>Error?</v>
      </c>
    </row>
    <row r="1246" spans="1:4" x14ac:dyDescent="0.2">
      <c r="A1246" s="10">
        <v>1185</v>
      </c>
      <c r="D1246" s="2" t="str">
        <f t="shared" si="18"/>
        <v>OK</v>
      </c>
    </row>
    <row r="1247" spans="1:4" x14ac:dyDescent="0.2">
      <c r="A1247" s="5">
        <v>1186</v>
      </c>
      <c r="B1247" s="138">
        <f>'Expenditures 15-22'!F127</f>
        <v>736460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736460</v>
      </c>
      <c r="C1249" s="2" t="s">
        <v>573</v>
      </c>
      <c r="D1249" s="2" t="str">
        <f t="shared" si="18"/>
        <v>Error?</v>
      </c>
    </row>
    <row r="1250" spans="1:4" x14ac:dyDescent="0.2">
      <c r="A1250" s="5">
        <v>1189</v>
      </c>
      <c r="B1250" s="138">
        <f>'Expenditures 15-22'!F151</f>
        <v>736460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2593165</v>
      </c>
      <c r="D1252" s="2" t="str">
        <f t="shared" si="18"/>
        <v>Error?</v>
      </c>
    </row>
    <row r="1253" spans="1:4" x14ac:dyDescent="0.2">
      <c r="A1253" s="5">
        <v>1192</v>
      </c>
      <c r="B1253" s="138">
        <f>'Expenditures 15-22'!G124</f>
        <v>157164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2750329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2750329</v>
      </c>
      <c r="C1258" s="2" t="s">
        <v>573</v>
      </c>
      <c r="D1258" s="2" t="str">
        <f t="shared" si="18"/>
        <v>Error?</v>
      </c>
    </row>
    <row r="1259" spans="1:4" x14ac:dyDescent="0.2">
      <c r="A1259" s="5">
        <v>1198</v>
      </c>
      <c r="B1259" s="138">
        <f>'Expenditures 15-22'!G151</f>
        <v>2750329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2765336</v>
      </c>
      <c r="C1275" s="2" t="s">
        <v>573</v>
      </c>
      <c r="D1275" s="2" t="str">
        <f t="shared" si="18"/>
        <v>Error?</v>
      </c>
    </row>
    <row r="1276" spans="1:4" x14ac:dyDescent="0.2">
      <c r="A1276" s="5">
        <v>1215</v>
      </c>
      <c r="B1276" s="138">
        <f>'Expenditures 15-22'!K124</f>
        <v>2907438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5672774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5672774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5672774</v>
      </c>
      <c r="C1288" s="2" t="s">
        <v>573</v>
      </c>
      <c r="D1288" s="2" t="str">
        <f t="shared" si="19"/>
        <v>Error?</v>
      </c>
    </row>
    <row r="1289" spans="1:4" x14ac:dyDescent="0.2">
      <c r="A1289" s="5">
        <v>1228</v>
      </c>
      <c r="B1289" s="138">
        <f>'Expenditures 15-22'!K152</f>
        <v>351819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500</v>
      </c>
      <c r="D1307" s="2" t="str">
        <f t="shared" si="19"/>
        <v>Error?</v>
      </c>
    </row>
    <row r="1308" spans="1:4" x14ac:dyDescent="0.2">
      <c r="A1308" s="5">
        <v>1247</v>
      </c>
      <c r="B1308" s="138">
        <f>'Expenditures 15-22'!E172</f>
        <v>500</v>
      </c>
      <c r="C1308" s="2" t="s">
        <v>573</v>
      </c>
      <c r="D1308" s="2" t="str">
        <f t="shared" si="19"/>
        <v>Error?</v>
      </c>
    </row>
    <row r="1309" spans="1:4" x14ac:dyDescent="0.2">
      <c r="A1309" s="5">
        <v>1248</v>
      </c>
      <c r="B1309" s="138">
        <f>'Expenditures 15-22'!E174</f>
        <v>500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118483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1483125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1601608</v>
      </c>
      <c r="C1317" s="2" t="s">
        <v>573</v>
      </c>
      <c r="D1317" s="2" t="str">
        <f t="shared" si="19"/>
        <v>Error?</v>
      </c>
    </row>
    <row r="1318" spans="1:4" x14ac:dyDescent="0.2">
      <c r="A1318" s="5">
        <v>1257</v>
      </c>
      <c r="B1318" s="138">
        <f>'Expenditures 15-22'!H174</f>
        <v>1601608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118483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1483125</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1602108</v>
      </c>
      <c r="C1331" s="2" t="s">
        <v>573</v>
      </c>
      <c r="D1331" s="2" t="str">
        <f t="shared" si="19"/>
        <v>Error?</v>
      </c>
    </row>
    <row r="1332" spans="1:4" x14ac:dyDescent="0.2">
      <c r="A1332" s="5">
        <v>1271</v>
      </c>
      <c r="B1332" s="138">
        <f>'Expenditures 15-22'!K174</f>
        <v>1602108</v>
      </c>
      <c r="C1332" s="2" t="s">
        <v>573</v>
      </c>
      <c r="D1332" s="2" t="str">
        <f t="shared" si="19"/>
        <v>Error?</v>
      </c>
    </row>
    <row r="1333" spans="1:4" x14ac:dyDescent="0.2">
      <c r="A1333" s="5">
        <v>1272</v>
      </c>
      <c r="B1333" s="138">
        <f>'Expenditures 15-22'!K175</f>
        <v>-318971</v>
      </c>
      <c r="C1333" s="2" t="s">
        <v>573</v>
      </c>
      <c r="D1333" s="2" t="str">
        <f t="shared" si="19"/>
        <v>Error?</v>
      </c>
    </row>
    <row r="1334" spans="1:4" x14ac:dyDescent="0.2">
      <c r="A1334" s="10">
        <v>1273</v>
      </c>
      <c r="D1334" s="2" t="str">
        <f t="shared" si="19"/>
        <v>OK</v>
      </c>
    </row>
    <row r="1335" spans="1:4" x14ac:dyDescent="0.2">
      <c r="A1335" s="5">
        <v>1274</v>
      </c>
      <c r="B1335" s="138">
        <f>'Expenditures 15-22'!C182</f>
        <v>514091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514091</v>
      </c>
      <c r="C1339" s="2" t="s">
        <v>573</v>
      </c>
      <c r="D1339" s="2" t="str">
        <f t="shared" si="19"/>
        <v>Error?</v>
      </c>
    </row>
    <row r="1340" spans="1:4" x14ac:dyDescent="0.2">
      <c r="A1340" s="5">
        <v>1279</v>
      </c>
      <c r="B1340" s="138">
        <f>'Expenditures 15-22'!C210</f>
        <v>514091</v>
      </c>
      <c r="C1340" s="2" t="s">
        <v>573</v>
      </c>
      <c r="D1340" s="2" t="str">
        <f t="shared" si="19"/>
        <v>Error?</v>
      </c>
    </row>
    <row r="1341" spans="1:4" x14ac:dyDescent="0.2">
      <c r="A1341" s="5">
        <v>1280</v>
      </c>
      <c r="B1341" s="138">
        <f>'Expenditures 15-22'!D182</f>
        <v>15929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15929</v>
      </c>
      <c r="C1345" s="2" t="s">
        <v>573</v>
      </c>
      <c r="D1345" s="2" t="str">
        <f t="shared" si="20"/>
        <v>Error?</v>
      </c>
    </row>
    <row r="1346" spans="1:4" x14ac:dyDescent="0.2">
      <c r="A1346" s="5">
        <v>1285</v>
      </c>
      <c r="B1346" s="138">
        <f>'Expenditures 15-22'!D210</f>
        <v>15929</v>
      </c>
      <c r="C1346" s="2" t="s">
        <v>573</v>
      </c>
      <c r="D1346" s="2" t="str">
        <f t="shared" si="20"/>
        <v>Error?</v>
      </c>
    </row>
    <row r="1347" spans="1:4" x14ac:dyDescent="0.2">
      <c r="A1347" s="5">
        <v>1286</v>
      </c>
      <c r="B1347" s="138">
        <f>'Expenditures 15-22'!E182</f>
        <v>200268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200268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200268</v>
      </c>
      <c r="C1353" s="2" t="s">
        <v>573</v>
      </c>
      <c r="D1353" s="2" t="str">
        <f t="shared" si="20"/>
        <v>Error?</v>
      </c>
    </row>
    <row r="1354" spans="1:4" x14ac:dyDescent="0.2">
      <c r="A1354" s="5">
        <v>1293</v>
      </c>
      <c r="B1354" s="138">
        <f>'Expenditures 15-22'!F182</f>
        <v>112135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112135</v>
      </c>
      <c r="C1358" s="2" t="s">
        <v>573</v>
      </c>
      <c r="D1358" s="2" t="str">
        <f t="shared" si="20"/>
        <v>Error?</v>
      </c>
    </row>
    <row r="1359" spans="1:4" x14ac:dyDescent="0.2">
      <c r="A1359" s="5">
        <v>1298</v>
      </c>
      <c r="B1359" s="138">
        <f>'Expenditures 15-22'!F210</f>
        <v>112135</v>
      </c>
      <c r="C1359" s="2" t="s">
        <v>573</v>
      </c>
      <c r="D1359" s="2" t="str">
        <f t="shared" si="20"/>
        <v>Error?</v>
      </c>
    </row>
    <row r="1360" spans="1:4" x14ac:dyDescent="0.2">
      <c r="A1360" s="5">
        <v>1299</v>
      </c>
      <c r="B1360" s="138">
        <f>'Expenditures 15-22'!G182</f>
        <v>115424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115424</v>
      </c>
      <c r="C1364" s="2" t="s">
        <v>573</v>
      </c>
      <c r="D1364" s="2" t="str">
        <f t="shared" si="20"/>
        <v>Error?</v>
      </c>
    </row>
    <row r="1365" spans="1:4" x14ac:dyDescent="0.2">
      <c r="A1365" s="5">
        <v>1304</v>
      </c>
      <c r="B1365" s="138">
        <f>'Expenditures 15-22'!G210</f>
        <v>115424</v>
      </c>
      <c r="C1365" s="2" t="s">
        <v>573</v>
      </c>
      <c r="D1365" s="2" t="str">
        <f t="shared" si="20"/>
        <v>Error?</v>
      </c>
    </row>
    <row r="1366" spans="1:4" x14ac:dyDescent="0.2">
      <c r="A1366" s="5">
        <v>1305</v>
      </c>
      <c r="B1366" s="138">
        <f>'Expenditures 15-22'!H182</f>
        <v>3011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3011</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191042</v>
      </c>
      <c r="C1375" s="2" t="s">
        <v>573</v>
      </c>
      <c r="D1375" s="2" t="str">
        <f t="shared" si="20"/>
        <v>Error?</v>
      </c>
    </row>
    <row r="1376" spans="1:4" x14ac:dyDescent="0.2">
      <c r="A1376" s="5">
        <v>1315</v>
      </c>
      <c r="B1376" s="138">
        <f>'Expenditures 15-22'!H210</f>
        <v>194053</v>
      </c>
      <c r="C1376" s="2" t="s">
        <v>573</v>
      </c>
      <c r="D1376" s="2" t="str">
        <f t="shared" si="20"/>
        <v>Error?</v>
      </c>
    </row>
    <row r="1377" spans="1:4" x14ac:dyDescent="0.2">
      <c r="A1377" s="5">
        <v>1316</v>
      </c>
      <c r="B1377" s="138">
        <f>'Expenditures 15-22'!K182</f>
        <v>960858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960858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191042</v>
      </c>
      <c r="C1387" s="2" t="s">
        <v>573</v>
      </c>
      <c r="D1387" s="2" t="str">
        <f t="shared" si="20"/>
        <v>Error?</v>
      </c>
    </row>
    <row r="1388" spans="1:4" x14ac:dyDescent="0.2">
      <c r="A1388" s="5">
        <v>1327</v>
      </c>
      <c r="B1388" s="138">
        <f>'Expenditures 15-22'!K210</f>
        <v>1151900</v>
      </c>
      <c r="C1388" s="2" t="s">
        <v>573</v>
      </c>
      <c r="D1388" s="2" t="str">
        <f t="shared" si="20"/>
        <v>Error?</v>
      </c>
    </row>
    <row r="1389" spans="1:4" x14ac:dyDescent="0.2">
      <c r="A1389" s="5">
        <v>1328</v>
      </c>
      <c r="B1389" s="138">
        <f>'Expenditures 15-22'!K211</f>
        <v>-194495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288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5465</v>
      </c>
      <c r="D1407" s="2" t="str">
        <f t="shared" ref="D1407:D1470" si="21">IF(ISBLANK(B1407),"OK",IF(A1407-B1407=0,"OK","Error?"))</f>
        <v>Error?</v>
      </c>
    </row>
    <row r="1408" spans="1:4" x14ac:dyDescent="0.2">
      <c r="A1408" s="5">
        <v>1347</v>
      </c>
      <c r="B1408" s="138">
        <f>'Expenditures 15-22'!D223</f>
        <v>20582</v>
      </c>
      <c r="D1408" s="2" t="str">
        <f t="shared" si="21"/>
        <v>Error?</v>
      </c>
    </row>
    <row r="1409" spans="1:4" x14ac:dyDescent="0.2">
      <c r="A1409" s="5">
        <v>1348</v>
      </c>
      <c r="B1409" s="138">
        <f>'Expenditures 15-22'!D224</f>
        <v>3677</v>
      </c>
      <c r="D1409" s="2" t="str">
        <f t="shared" si="21"/>
        <v>Error?</v>
      </c>
    </row>
    <row r="1410" spans="1:4" x14ac:dyDescent="0.2">
      <c r="A1410" s="5">
        <v>1349</v>
      </c>
      <c r="B1410" s="138">
        <f>'Expenditures 15-22'!D229</f>
        <v>456535</v>
      </c>
      <c r="C1410" s="2" t="s">
        <v>573</v>
      </c>
      <c r="D1410" s="2" t="str">
        <f t="shared" si="21"/>
        <v>Error?</v>
      </c>
    </row>
    <row r="1411" spans="1:4" x14ac:dyDescent="0.2">
      <c r="A1411" s="5">
        <v>1350</v>
      </c>
      <c r="B1411" s="138">
        <f>'Expenditures 15-22'!D232</f>
        <v>11640</v>
      </c>
      <c r="D1411" s="2" t="str">
        <f t="shared" si="21"/>
        <v>Error?</v>
      </c>
    </row>
    <row r="1412" spans="1:4" x14ac:dyDescent="0.2">
      <c r="A1412" s="5">
        <v>1351</v>
      </c>
      <c r="B1412" s="138">
        <f>'Expenditures 15-22'!D233</f>
        <v>11799</v>
      </c>
      <c r="D1412" s="2" t="str">
        <f t="shared" si="21"/>
        <v>Error?</v>
      </c>
    </row>
    <row r="1413" spans="1:4" x14ac:dyDescent="0.2">
      <c r="A1413" s="5">
        <v>1352</v>
      </c>
      <c r="B1413" s="138">
        <f>'Expenditures 15-22'!D234</f>
        <v>10662</v>
      </c>
      <c r="D1413" s="2" t="str">
        <f t="shared" si="21"/>
        <v>Error?</v>
      </c>
    </row>
    <row r="1414" spans="1:4" x14ac:dyDescent="0.2">
      <c r="A1414" s="5">
        <v>1353</v>
      </c>
      <c r="B1414" s="138">
        <f>'Expenditures 15-22'!D235</f>
        <v>2410</v>
      </c>
      <c r="D1414" s="2" t="str">
        <f t="shared" si="21"/>
        <v>Error?</v>
      </c>
    </row>
    <row r="1415" spans="1:4" x14ac:dyDescent="0.2">
      <c r="A1415" s="5">
        <v>1354</v>
      </c>
      <c r="B1415" s="138">
        <f>'Expenditures 15-22'!D236</f>
        <v>4619</v>
      </c>
      <c r="D1415" s="2" t="str">
        <f t="shared" si="21"/>
        <v>Error?</v>
      </c>
    </row>
    <row r="1416" spans="1:4" x14ac:dyDescent="0.2">
      <c r="A1416" s="5">
        <v>1355</v>
      </c>
      <c r="B1416" s="138">
        <f>'Expenditures 15-22'!D237</f>
        <v>8449</v>
      </c>
      <c r="D1416" s="2" t="str">
        <f t="shared" si="21"/>
        <v>Error?</v>
      </c>
    </row>
    <row r="1417" spans="1:4" x14ac:dyDescent="0.2">
      <c r="A1417" s="5">
        <v>1356</v>
      </c>
      <c r="B1417" s="138">
        <f>'Expenditures 15-22'!D238</f>
        <v>49579</v>
      </c>
      <c r="C1417" s="2" t="s">
        <v>573</v>
      </c>
      <c r="D1417" s="2" t="str">
        <f t="shared" si="21"/>
        <v>Error?</v>
      </c>
    </row>
    <row r="1418" spans="1:4" x14ac:dyDescent="0.2">
      <c r="A1418" s="5">
        <v>1357</v>
      </c>
      <c r="B1418" s="138">
        <f>'Expenditures 15-22'!D240</f>
        <v>748</v>
      </c>
      <c r="D1418" s="2" t="str">
        <f t="shared" si="21"/>
        <v>Error?</v>
      </c>
    </row>
    <row r="1419" spans="1:4" x14ac:dyDescent="0.2">
      <c r="A1419" s="5">
        <v>1358</v>
      </c>
      <c r="B1419" s="138">
        <f>'Expenditures 15-22'!D241</f>
        <v>52903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53651</v>
      </c>
      <c r="C1421" s="2" t="s">
        <v>573</v>
      </c>
      <c r="D1421" s="2" t="str">
        <f t="shared" si="21"/>
        <v>Error?</v>
      </c>
    </row>
    <row r="1422" spans="1:4" x14ac:dyDescent="0.2">
      <c r="A1422" s="5">
        <v>1361</v>
      </c>
      <c r="B1422" s="138">
        <f>'Expenditures 15-22'!D245</f>
        <v>5745</v>
      </c>
      <c r="D1422" s="2" t="str">
        <f t="shared" si="21"/>
        <v>Error?</v>
      </c>
    </row>
    <row r="1423" spans="1:4" x14ac:dyDescent="0.2">
      <c r="A1423" s="5">
        <v>1362</v>
      </c>
      <c r="B1423" s="138">
        <f>'Expenditures 15-22'!D246</f>
        <v>19058</v>
      </c>
      <c r="D1423" s="2" t="str">
        <f t="shared" si="21"/>
        <v>Error?</v>
      </c>
    </row>
    <row r="1424" spans="1:4" x14ac:dyDescent="0.2">
      <c r="A1424" s="5">
        <v>1363</v>
      </c>
      <c r="B1424" s="138">
        <f>'Expenditures 15-22'!D257</f>
        <v>33193</v>
      </c>
      <c r="C1424" s="2" t="s">
        <v>573</v>
      </c>
      <c r="D1424" s="2" t="str">
        <f t="shared" si="21"/>
        <v>Error?</v>
      </c>
    </row>
    <row r="1425" spans="1:4" x14ac:dyDescent="0.2">
      <c r="A1425" s="5">
        <v>1364</v>
      </c>
      <c r="B1425" s="138">
        <f>'Expenditures 15-22'!D259</f>
        <v>57183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57183</v>
      </c>
      <c r="C1427" s="2" t="s">
        <v>573</v>
      </c>
      <c r="D1427" s="2" t="str">
        <f t="shared" si="21"/>
        <v>Error?</v>
      </c>
    </row>
    <row r="1428" spans="1:4" x14ac:dyDescent="0.2">
      <c r="A1428" s="5">
        <v>1367</v>
      </c>
      <c r="B1428" s="138">
        <f>'Expenditures 15-22'!D263</f>
        <v>26827</v>
      </c>
      <c r="D1428" s="2" t="str">
        <f t="shared" si="21"/>
        <v>Error?</v>
      </c>
    </row>
    <row r="1429" spans="1:4" x14ac:dyDescent="0.2">
      <c r="A1429" s="5">
        <v>1368</v>
      </c>
      <c r="B1429" s="138">
        <f>'Expenditures 15-22'!D264</f>
        <v>5396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225312</v>
      </c>
      <c r="D1431" s="2" t="str">
        <f t="shared" si="21"/>
        <v>Error?</v>
      </c>
    </row>
    <row r="1432" spans="1:4" x14ac:dyDescent="0.2">
      <c r="A1432" s="5">
        <v>1371</v>
      </c>
      <c r="B1432" s="138">
        <f>'Expenditures 15-22'!D267</f>
        <v>72721</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207</v>
      </c>
      <c r="D1434" s="2" t="str">
        <f t="shared" si="21"/>
        <v>Error?</v>
      </c>
    </row>
    <row r="1435" spans="1:4" x14ac:dyDescent="0.2">
      <c r="A1435" s="10">
        <v>1374</v>
      </c>
      <c r="D1435" s="2" t="str">
        <f t="shared" si="21"/>
        <v>OK</v>
      </c>
    </row>
    <row r="1436" spans="1:4" x14ac:dyDescent="0.2">
      <c r="A1436" s="5">
        <v>1375</v>
      </c>
      <c r="B1436" s="138">
        <f>'Expenditures 15-22'!D270</f>
        <v>330463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5478</v>
      </c>
      <c r="D1439" s="2" t="str">
        <f t="shared" si="21"/>
        <v>Error?</v>
      </c>
    </row>
    <row r="1440" spans="1:4" x14ac:dyDescent="0.2">
      <c r="A1440" s="5">
        <v>1379</v>
      </c>
      <c r="B1440" s="138">
        <f>'Expenditures 15-22'!D275</f>
        <v>11476</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16954</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541023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997558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288</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5465</v>
      </c>
      <c r="C1471" s="2" t="s">
        <v>573</v>
      </c>
      <c r="D1471" s="2" t="str">
        <f t="shared" ref="D1471:D1534" si="22">IF(ISBLANK(B1471),"OK",IF(A1471-B1471=0,"OK","Error?"))</f>
        <v>Error?</v>
      </c>
    </row>
    <row r="1472" spans="1:4" x14ac:dyDescent="0.2">
      <c r="A1472" s="5">
        <v>1411</v>
      </c>
      <c r="B1472" s="138">
        <f>'Expenditures 15-22'!K223</f>
        <v>20582</v>
      </c>
      <c r="C1472" s="2" t="s">
        <v>573</v>
      </c>
      <c r="D1472" s="2" t="str">
        <f t="shared" si="22"/>
        <v>Error?</v>
      </c>
    </row>
    <row r="1473" spans="1:4" x14ac:dyDescent="0.2">
      <c r="A1473" s="5">
        <v>1412</v>
      </c>
      <c r="B1473" s="138">
        <f>'Expenditures 15-22'!K224</f>
        <v>3677</v>
      </c>
      <c r="C1473" s="2" t="s">
        <v>573</v>
      </c>
      <c r="D1473" s="2" t="str">
        <f t="shared" si="22"/>
        <v>Error?</v>
      </c>
    </row>
    <row r="1474" spans="1:4" x14ac:dyDescent="0.2">
      <c r="A1474" s="5">
        <v>1413</v>
      </c>
      <c r="B1474" s="138">
        <f>'Expenditures 15-22'!K229</f>
        <v>456535</v>
      </c>
      <c r="C1474" s="2" t="s">
        <v>573</v>
      </c>
      <c r="D1474" s="2" t="str">
        <f t="shared" si="22"/>
        <v>Error?</v>
      </c>
    </row>
    <row r="1475" spans="1:4" x14ac:dyDescent="0.2">
      <c r="A1475" s="5">
        <v>1414</v>
      </c>
      <c r="B1475" s="138">
        <f>'Expenditures 15-22'!K232</f>
        <v>11640</v>
      </c>
      <c r="C1475" s="2" t="s">
        <v>573</v>
      </c>
      <c r="D1475" s="2" t="str">
        <f t="shared" si="22"/>
        <v>Error?</v>
      </c>
    </row>
    <row r="1476" spans="1:4" x14ac:dyDescent="0.2">
      <c r="A1476" s="5">
        <v>1415</v>
      </c>
      <c r="B1476" s="138">
        <f>'Expenditures 15-22'!K233</f>
        <v>11799</v>
      </c>
      <c r="C1476" s="2" t="s">
        <v>573</v>
      </c>
      <c r="D1476" s="2" t="str">
        <f t="shared" si="22"/>
        <v>Error?</v>
      </c>
    </row>
    <row r="1477" spans="1:4" x14ac:dyDescent="0.2">
      <c r="A1477" s="5">
        <v>1416</v>
      </c>
      <c r="B1477" s="138">
        <f>'Expenditures 15-22'!K234</f>
        <v>10662</v>
      </c>
      <c r="C1477" s="2" t="s">
        <v>573</v>
      </c>
      <c r="D1477" s="2" t="str">
        <f t="shared" si="22"/>
        <v>Error?</v>
      </c>
    </row>
    <row r="1478" spans="1:4" x14ac:dyDescent="0.2">
      <c r="A1478" s="5">
        <v>1417</v>
      </c>
      <c r="B1478" s="138">
        <f>'Expenditures 15-22'!K235</f>
        <v>2410</v>
      </c>
      <c r="C1478" s="2" t="s">
        <v>573</v>
      </c>
      <c r="D1478" s="2" t="str">
        <f t="shared" si="22"/>
        <v>Error?</v>
      </c>
    </row>
    <row r="1479" spans="1:4" x14ac:dyDescent="0.2">
      <c r="A1479" s="5">
        <v>1418</v>
      </c>
      <c r="B1479" s="138">
        <f>'Expenditures 15-22'!K236</f>
        <v>4619</v>
      </c>
      <c r="C1479" s="2" t="s">
        <v>573</v>
      </c>
      <c r="D1479" s="2" t="str">
        <f t="shared" si="22"/>
        <v>Error?</v>
      </c>
    </row>
    <row r="1480" spans="1:4" x14ac:dyDescent="0.2">
      <c r="A1480" s="5">
        <v>1419</v>
      </c>
      <c r="B1480" s="138">
        <f>'Expenditures 15-22'!K237</f>
        <v>8449</v>
      </c>
      <c r="C1480" s="2" t="s">
        <v>573</v>
      </c>
      <c r="D1480" s="2" t="str">
        <f t="shared" si="22"/>
        <v>Error?</v>
      </c>
    </row>
    <row r="1481" spans="1:4" x14ac:dyDescent="0.2">
      <c r="A1481" s="5">
        <v>1420</v>
      </c>
      <c r="B1481" s="138">
        <f>'Expenditures 15-22'!K238</f>
        <v>49579</v>
      </c>
      <c r="C1481" s="2" t="s">
        <v>573</v>
      </c>
      <c r="D1481" s="2" t="str">
        <f t="shared" si="22"/>
        <v>Error?</v>
      </c>
    </row>
    <row r="1482" spans="1:4" x14ac:dyDescent="0.2">
      <c r="A1482" s="5">
        <v>1421</v>
      </c>
      <c r="B1482" s="138">
        <f>'Expenditures 15-22'!K240</f>
        <v>748</v>
      </c>
      <c r="C1482" s="2" t="s">
        <v>573</v>
      </c>
      <c r="D1482" s="2" t="str">
        <f t="shared" si="22"/>
        <v>Error?</v>
      </c>
    </row>
    <row r="1483" spans="1:4" x14ac:dyDescent="0.2">
      <c r="A1483" s="5">
        <v>1422</v>
      </c>
      <c r="B1483" s="138">
        <f>'Expenditures 15-22'!K241</f>
        <v>52903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53651</v>
      </c>
      <c r="C1485" s="2" t="s">
        <v>573</v>
      </c>
      <c r="D1485" s="2" t="str">
        <f t="shared" si="22"/>
        <v>Error?</v>
      </c>
    </row>
    <row r="1486" spans="1:4" x14ac:dyDescent="0.2">
      <c r="A1486" s="5">
        <v>1425</v>
      </c>
      <c r="B1486" s="138">
        <f>'Expenditures 15-22'!K245</f>
        <v>5745</v>
      </c>
      <c r="C1486" s="2" t="s">
        <v>573</v>
      </c>
      <c r="D1486" s="2" t="str">
        <f t="shared" si="22"/>
        <v>Error?</v>
      </c>
    </row>
    <row r="1487" spans="1:4" x14ac:dyDescent="0.2">
      <c r="A1487" s="5">
        <v>1426</v>
      </c>
      <c r="B1487" s="138">
        <f>'Expenditures 15-22'!K246</f>
        <v>19058</v>
      </c>
      <c r="C1487" s="2" t="s">
        <v>573</v>
      </c>
      <c r="D1487" s="2" t="str">
        <f t="shared" si="22"/>
        <v>Error?</v>
      </c>
    </row>
    <row r="1488" spans="1:4" x14ac:dyDescent="0.2">
      <c r="A1488" s="5">
        <v>1427</v>
      </c>
      <c r="B1488" s="138">
        <f>'Expenditures 15-22'!K257</f>
        <v>33193</v>
      </c>
      <c r="C1488" s="2" t="s">
        <v>573</v>
      </c>
      <c r="D1488" s="2" t="str">
        <f t="shared" si="22"/>
        <v>Error?</v>
      </c>
    </row>
    <row r="1489" spans="1:4" x14ac:dyDescent="0.2">
      <c r="A1489" s="5">
        <v>1428</v>
      </c>
      <c r="B1489" s="138">
        <f>'Expenditures 15-22'!K259</f>
        <v>57183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57183</v>
      </c>
      <c r="C1491" s="2" t="s">
        <v>573</v>
      </c>
      <c r="D1491" s="2" t="str">
        <f t="shared" si="22"/>
        <v>Error?</v>
      </c>
    </row>
    <row r="1492" spans="1:4" x14ac:dyDescent="0.2">
      <c r="A1492" s="5">
        <v>1431</v>
      </c>
      <c r="B1492" s="138">
        <f>'Expenditures 15-22'!K263</f>
        <v>26827</v>
      </c>
      <c r="C1492" s="2" t="s">
        <v>573</v>
      </c>
      <c r="D1492" s="2" t="str">
        <f t="shared" si="22"/>
        <v>Error?</v>
      </c>
    </row>
    <row r="1493" spans="1:4" x14ac:dyDescent="0.2">
      <c r="A1493" s="5">
        <v>1432</v>
      </c>
      <c r="B1493" s="138">
        <f>'Expenditures 15-22'!K264</f>
        <v>5396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225312</v>
      </c>
      <c r="C1495" s="2" t="s">
        <v>573</v>
      </c>
      <c r="D1495" s="2" t="str">
        <f t="shared" si="22"/>
        <v>Error?</v>
      </c>
    </row>
    <row r="1496" spans="1:4" x14ac:dyDescent="0.2">
      <c r="A1496" s="5">
        <v>1435</v>
      </c>
      <c r="B1496" s="138">
        <f>'Expenditures 15-22'!K267</f>
        <v>72721</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207</v>
      </c>
      <c r="C1498" s="2" t="s">
        <v>573</v>
      </c>
      <c r="D1498" s="2" t="str">
        <f t="shared" si="22"/>
        <v>Error?</v>
      </c>
    </row>
    <row r="1499" spans="1:4" x14ac:dyDescent="0.2">
      <c r="A1499" s="10">
        <v>1438</v>
      </c>
      <c r="D1499" s="2" t="str">
        <f t="shared" si="22"/>
        <v>OK</v>
      </c>
    </row>
    <row r="1500" spans="1:4" x14ac:dyDescent="0.2">
      <c r="A1500" s="5">
        <v>1439</v>
      </c>
      <c r="B1500" s="138">
        <f>'Expenditures 15-22'!K270</f>
        <v>330463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5478</v>
      </c>
      <c r="C1503" s="2" t="s">
        <v>573</v>
      </c>
      <c r="D1503" s="2" t="str">
        <f t="shared" si="22"/>
        <v>Error?</v>
      </c>
    </row>
    <row r="1504" spans="1:4" x14ac:dyDescent="0.2">
      <c r="A1504" s="5">
        <v>1443</v>
      </c>
      <c r="B1504" s="138">
        <f>'Expenditures 15-22'!K275</f>
        <v>11476</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16954</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541023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997558</v>
      </c>
      <c r="C1517" s="2" t="s">
        <v>573</v>
      </c>
      <c r="D1517" s="2" t="str">
        <f t="shared" si="22"/>
        <v>Error?</v>
      </c>
    </row>
    <row r="1518" spans="1:4" x14ac:dyDescent="0.2">
      <c r="A1518" s="5">
        <v>1457</v>
      </c>
      <c r="B1518" s="138">
        <f>'Expenditures 15-22'!K296</f>
        <v>105454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2137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2137</v>
      </c>
      <c r="C1535" s="2" t="s">
        <v>573</v>
      </c>
      <c r="D1535" s="2" t="str">
        <f t="shared" ref="D1535:D1598" si="23">IF(ISBLANK(B1535),"OK",IF(A1535-B1535=0,"OK","Error?"))</f>
        <v>Error?</v>
      </c>
    </row>
    <row r="1536" spans="1:4" x14ac:dyDescent="0.2">
      <c r="A1536" s="5">
        <v>1475</v>
      </c>
      <c r="B1536" s="138">
        <f>'Expenditures 15-22'!E312</f>
        <v>2137</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503235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503235</v>
      </c>
      <c r="C1547" s="2" t="s">
        <v>573</v>
      </c>
      <c r="D1547" s="2" t="str">
        <f t="shared" si="23"/>
        <v>Error?</v>
      </c>
    </row>
    <row r="1548" spans="1:4" x14ac:dyDescent="0.2">
      <c r="A1548" s="5">
        <v>1487</v>
      </c>
      <c r="B1548" s="138">
        <f>'Expenditures 15-22'!G312</f>
        <v>503235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505372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505372</v>
      </c>
      <c r="C1559" s="2" t="s">
        <v>573</v>
      </c>
      <c r="D1559" s="2" t="str">
        <f t="shared" si="23"/>
        <v>Error?</v>
      </c>
    </row>
    <row r="1560" spans="1:4" x14ac:dyDescent="0.2">
      <c r="A1560" s="5">
        <v>1499</v>
      </c>
      <c r="B1560" s="138">
        <f>'Expenditures 15-22'!K312</f>
        <v>505372</v>
      </c>
      <c r="C1560" s="2" t="s">
        <v>573</v>
      </c>
      <c r="D1560" s="2" t="str">
        <f t="shared" si="23"/>
        <v>Error?</v>
      </c>
    </row>
    <row r="1561" spans="1:4" x14ac:dyDescent="0.2">
      <c r="A1561" s="5">
        <v>1500</v>
      </c>
      <c r="B1561" s="138">
        <f>'Expenditures 15-22'!K313</f>
        <v>-504380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18268214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18390507</v>
      </c>
      <c r="C1630" s="2" t="s">
        <v>573</v>
      </c>
      <c r="D1630" s="2" t="str">
        <f t="shared" si="24"/>
        <v>Error?</v>
      </c>
    </row>
    <row r="1631" spans="1:4" x14ac:dyDescent="0.2">
      <c r="A1631" s="5">
        <v>1570</v>
      </c>
      <c r="B1631" s="138">
        <f>'Acct Summary 7-8'!D79</f>
        <v>9040230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9657555</v>
      </c>
      <c r="C1644" s="2" t="s">
        <v>573</v>
      </c>
      <c r="D1644" s="2" t="str">
        <f t="shared" si="24"/>
        <v>Error?</v>
      </c>
    </row>
    <row r="1645" spans="1:4" x14ac:dyDescent="0.2">
      <c r="A1645" s="5">
        <v>1584</v>
      </c>
      <c r="B1645" s="138">
        <f>'Acct Summary 7-8'!E79</f>
        <v>106892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119734</v>
      </c>
      <c r="C1658" s="2" t="s">
        <v>573</v>
      </c>
      <c r="D1658" s="2" t="str">
        <f t="shared" si="24"/>
        <v>Error?</v>
      </c>
    </row>
    <row r="1659" spans="1:4" x14ac:dyDescent="0.2">
      <c r="A1659" s="5">
        <v>1598</v>
      </c>
      <c r="B1659" s="138">
        <f>'Acct Summary 7-8'!F79</f>
        <v>1341518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1147023</v>
      </c>
      <c r="C1672" s="2" t="s">
        <v>573</v>
      </c>
      <c r="D1672" s="2" t="str">
        <f t="shared" si="25"/>
        <v>Error?</v>
      </c>
    </row>
    <row r="1673" spans="1:4" x14ac:dyDescent="0.2">
      <c r="A1673" s="5">
        <v>1612</v>
      </c>
      <c r="B1673" s="138">
        <f>'Acct Summary 7-8'!G79</f>
        <v>542062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647516</v>
      </c>
      <c r="C1686" s="2" t="s">
        <v>573</v>
      </c>
      <c r="D1686" s="2" t="str">
        <f t="shared" si="25"/>
        <v>Error?</v>
      </c>
    </row>
    <row r="1687" spans="1:4" x14ac:dyDescent="0.2">
      <c r="A1687" s="5">
        <v>1626</v>
      </c>
      <c r="B1687" s="138">
        <f>'Acct Summary 7-8'!H79</f>
        <v>504380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21639791</v>
      </c>
      <c r="C1744" s="2" t="s">
        <v>573</v>
      </c>
      <c r="D1744" s="2" t="str">
        <f t="shared" si="26"/>
        <v>Error?</v>
      </c>
    </row>
    <row r="1745" spans="1:5" x14ac:dyDescent="0.2">
      <c r="A1745" s="5">
        <v>1684</v>
      </c>
      <c r="B1745" s="138">
        <f>'Tax Sched 23'!B5</f>
        <v>4095118</v>
      </c>
      <c r="C1745" s="2" t="s">
        <v>573</v>
      </c>
      <c r="D1745" s="2" t="str">
        <f t="shared" si="26"/>
        <v>Error?</v>
      </c>
    </row>
    <row r="1746" spans="1:5" x14ac:dyDescent="0.2">
      <c r="A1746" s="5">
        <v>1685</v>
      </c>
      <c r="B1746" s="138">
        <f>'Tax Sched 23'!B6</f>
        <v>1270831</v>
      </c>
      <c r="C1746" s="2" t="s">
        <v>573</v>
      </c>
      <c r="D1746" s="2" t="str">
        <f t="shared" si="26"/>
        <v>Error?</v>
      </c>
    </row>
    <row r="1747" spans="1:5" x14ac:dyDescent="0.2">
      <c r="A1747" s="5">
        <v>1686</v>
      </c>
      <c r="B1747" s="138">
        <f>'Tax Sched 23'!B7</f>
        <v>637090</v>
      </c>
      <c r="C1747" s="2" t="s">
        <v>573</v>
      </c>
      <c r="D1747" s="2" t="str">
        <f t="shared" si="26"/>
        <v>Error?</v>
      </c>
    </row>
    <row r="1748" spans="1:5" x14ac:dyDescent="0.2">
      <c r="A1748" s="5">
        <v>1687</v>
      </c>
      <c r="B1748" s="138">
        <f>'Tax Sched 23'!B8</f>
        <v>340009</v>
      </c>
      <c r="C1748" s="2" t="s">
        <v>573</v>
      </c>
      <c r="D1748" s="2" t="str">
        <f t="shared" si="26"/>
        <v>Error?</v>
      </c>
    </row>
    <row r="1749" spans="1:5" x14ac:dyDescent="0.2">
      <c r="A1749" s="5">
        <v>1688</v>
      </c>
      <c r="B1749" s="138">
        <f>'Tax Sched 23'!B10</f>
        <v>284271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423218</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247367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29382010</v>
      </c>
      <c r="C1759" s="2" t="s">
        <v>573</v>
      </c>
      <c r="D1759" s="2" t="str">
        <f t="shared" si="26"/>
        <v>Error?</v>
      </c>
    </row>
    <row r="1760" spans="1:5" x14ac:dyDescent="0.2">
      <c r="A1760" s="5">
        <v>1699</v>
      </c>
      <c r="B1760" s="138">
        <f>'Tax Sched 23'!D4</f>
        <v>21639791</v>
      </c>
      <c r="C1760" s="2" t="s">
        <v>573</v>
      </c>
      <c r="D1760" s="2" t="str">
        <f t="shared" si="26"/>
        <v>Error?</v>
      </c>
    </row>
    <row r="1761" spans="1:5" x14ac:dyDescent="0.2">
      <c r="A1761" s="5">
        <v>1700</v>
      </c>
      <c r="B1761" s="138">
        <f>'Tax Sched 23'!D5</f>
        <v>4095118</v>
      </c>
      <c r="C1761" s="2" t="s">
        <v>573</v>
      </c>
      <c r="D1761" s="2" t="str">
        <f t="shared" si="26"/>
        <v>Error?</v>
      </c>
    </row>
    <row r="1762" spans="1:5" s="8" customFormat="1" x14ac:dyDescent="0.2">
      <c r="A1762" s="5">
        <v>1701</v>
      </c>
      <c r="B1762" s="138">
        <f>'Tax Sched 23'!D6</f>
        <v>1270831</v>
      </c>
      <c r="C1762" s="2" t="s">
        <v>573</v>
      </c>
      <c r="D1762" s="2" t="str">
        <f t="shared" si="26"/>
        <v>Error?</v>
      </c>
      <c r="E1762" s="9"/>
    </row>
    <row r="1763" spans="1:5" x14ac:dyDescent="0.2">
      <c r="A1763" s="5">
        <v>1702</v>
      </c>
      <c r="B1763" s="138">
        <f>'Tax Sched 23'!D7</f>
        <v>637090</v>
      </c>
      <c r="C1763" s="2" t="s">
        <v>573</v>
      </c>
      <c r="D1763" s="2" t="str">
        <f t="shared" si="26"/>
        <v>Error?</v>
      </c>
    </row>
    <row r="1764" spans="1:5" x14ac:dyDescent="0.2">
      <c r="A1764" s="5">
        <v>1703</v>
      </c>
      <c r="B1764" s="138">
        <f>'Tax Sched 23'!D8</f>
        <v>340009</v>
      </c>
      <c r="C1764" s="2" t="s">
        <v>573</v>
      </c>
      <c r="D1764" s="2" t="str">
        <f t="shared" si="26"/>
        <v>Error?</v>
      </c>
    </row>
    <row r="1765" spans="1:5" x14ac:dyDescent="0.2">
      <c r="A1765" s="5">
        <v>1704</v>
      </c>
      <c r="B1765" s="138">
        <f>'Tax Sched 23'!D10</f>
        <v>284271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423218</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247367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29382010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22482979</v>
      </c>
      <c r="C1792" s="2" t="s">
        <v>573</v>
      </c>
      <c r="D1792" s="2" t="str">
        <f t="shared" si="27"/>
        <v>Error?</v>
      </c>
    </row>
    <row r="1793" spans="1:4" x14ac:dyDescent="0.2">
      <c r="A1793" s="5">
        <v>1732</v>
      </c>
      <c r="B1793" s="138">
        <f>'Tax Sched 23'!F5</f>
        <v>4259802</v>
      </c>
      <c r="C1793" s="2" t="s">
        <v>573</v>
      </c>
      <c r="D1793" s="2" t="str">
        <f t="shared" si="27"/>
        <v>Error?</v>
      </c>
    </row>
    <row r="1794" spans="1:4" x14ac:dyDescent="0.2">
      <c r="A1794" s="5">
        <v>1733</v>
      </c>
      <c r="B1794" s="138">
        <f>'Tax Sched 23'!F6</f>
        <v>1430125</v>
      </c>
      <c r="C1794" s="2" t="s">
        <v>573</v>
      </c>
      <c r="D1794" s="2" t="str">
        <f t="shared" si="27"/>
        <v>Error?</v>
      </c>
    </row>
    <row r="1795" spans="1:4" x14ac:dyDescent="0.2">
      <c r="A1795" s="5">
        <v>1734</v>
      </c>
      <c r="B1795" s="138">
        <f>'Tax Sched 23'!F7</f>
        <v>661955</v>
      </c>
      <c r="C1795" s="2" t="s">
        <v>573</v>
      </c>
      <c r="D1795" s="2" t="str">
        <f t="shared" si="27"/>
        <v>Error?</v>
      </c>
    </row>
    <row r="1796" spans="1:4" x14ac:dyDescent="0.2">
      <c r="A1796" s="5">
        <v>1735</v>
      </c>
      <c r="B1796" s="138">
        <f>'Tax Sched 23'!F8</f>
        <v>353308</v>
      </c>
      <c r="C1796" s="2" t="s">
        <v>573</v>
      </c>
      <c r="D1796" s="2" t="str">
        <f t="shared" si="27"/>
        <v>Error?</v>
      </c>
    </row>
    <row r="1797" spans="1:4" x14ac:dyDescent="0.2">
      <c r="A1797" s="5">
        <v>1736</v>
      </c>
      <c r="B1797" s="138">
        <f>'Tax Sched 23'!F10</f>
        <v>290351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439764</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257031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30636942</v>
      </c>
      <c r="C1807" s="2" t="s">
        <v>573</v>
      </c>
      <c r="D1807" s="2" t="str">
        <f t="shared" si="27"/>
        <v>Error?</v>
      </c>
    </row>
    <row r="1808" spans="1:4" x14ac:dyDescent="0.2">
      <c r="A1808" s="5">
        <v>1747</v>
      </c>
      <c r="B1808" s="138">
        <f>'Tax Sched 23'!E4</f>
        <v>22482979</v>
      </c>
      <c r="D1808" s="2" t="str">
        <f t="shared" si="27"/>
        <v>Error?</v>
      </c>
    </row>
    <row r="1809" spans="1:4" x14ac:dyDescent="0.2">
      <c r="A1809" s="5">
        <v>1748</v>
      </c>
      <c r="B1809" s="138">
        <f>'Tax Sched 23'!E5</f>
        <v>4259802</v>
      </c>
      <c r="D1809" s="2" t="str">
        <f t="shared" si="27"/>
        <v>Error?</v>
      </c>
    </row>
    <row r="1810" spans="1:4" x14ac:dyDescent="0.2">
      <c r="A1810" s="5">
        <v>1749</v>
      </c>
      <c r="B1810" s="138">
        <f>'Tax Sched 23'!E6</f>
        <v>1430125</v>
      </c>
      <c r="D1810" s="2" t="str">
        <f t="shared" si="27"/>
        <v>Error?</v>
      </c>
    </row>
    <row r="1811" spans="1:4" x14ac:dyDescent="0.2">
      <c r="A1811" s="5">
        <v>1750</v>
      </c>
      <c r="B1811" s="138">
        <f>'Tax Sched 23'!E7</f>
        <v>661955</v>
      </c>
      <c r="D1811" s="2" t="str">
        <f t="shared" si="27"/>
        <v>Error?</v>
      </c>
    </row>
    <row r="1812" spans="1:4" x14ac:dyDescent="0.2">
      <c r="A1812" s="5">
        <v>1751</v>
      </c>
      <c r="B1812" s="138">
        <f>'Tax Sched 23'!E8</f>
        <v>353308</v>
      </c>
      <c r="D1812" s="2" t="str">
        <f t="shared" si="27"/>
        <v>Error?</v>
      </c>
    </row>
    <row r="1813" spans="1:4" x14ac:dyDescent="0.2">
      <c r="A1813" s="5">
        <v>1752</v>
      </c>
      <c r="B1813" s="138">
        <f>'Tax Sched 23'!E10</f>
        <v>290351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439764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257031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30636942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8718619</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247367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247367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247367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4968870</v>
      </c>
      <c r="D2008" s="2" t="str">
        <f t="shared" si="30"/>
        <v>Error?</v>
      </c>
    </row>
    <row r="2009" spans="1:4" x14ac:dyDescent="0.2">
      <c r="A2009" s="5">
        <v>1948</v>
      </c>
      <c r="B2009" s="138">
        <f>'Cap Outlay Deprec 26'!C8</f>
        <v>46773634</v>
      </c>
      <c r="D2009" s="2" t="str">
        <f t="shared" si="30"/>
        <v>Error?</v>
      </c>
    </row>
    <row r="2010" spans="1:4" x14ac:dyDescent="0.2">
      <c r="A2010" s="5">
        <v>1949</v>
      </c>
      <c r="B2010" s="138">
        <f>'Cap Outlay Deprec 26'!C10</f>
        <v>8262691</v>
      </c>
      <c r="D2010" s="2" t="str">
        <f t="shared" si="30"/>
        <v>Error?</v>
      </c>
    </row>
    <row r="2011" spans="1:4" x14ac:dyDescent="0.2">
      <c r="A2011" s="5">
        <v>1950</v>
      </c>
      <c r="B2011" s="138">
        <f>'Cap Outlay Deprec 26'!C12</f>
        <v>6500406</v>
      </c>
      <c r="D2011" s="2" t="str">
        <f t="shared" si="30"/>
        <v>Error?</v>
      </c>
    </row>
    <row r="2012" spans="1:4" x14ac:dyDescent="0.2">
      <c r="A2012" s="5">
        <v>1951</v>
      </c>
      <c r="B2012" s="138">
        <f>'Cap Outlay Deprec 26'!C13</f>
        <v>702265</v>
      </c>
      <c r="D2012" s="2" t="str">
        <f t="shared" si="30"/>
        <v>Error?</v>
      </c>
    </row>
    <row r="2013" spans="1:4" x14ac:dyDescent="0.2">
      <c r="A2013" s="5">
        <v>1952</v>
      </c>
      <c r="B2013" s="138">
        <f>'Cap Outlay Deprec 26'!C16</f>
        <v>67476515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2967440</v>
      </c>
      <c r="D2015" s="2" t="str">
        <f t="shared" si="30"/>
        <v>Error?</v>
      </c>
    </row>
    <row r="2016" spans="1:4" x14ac:dyDescent="0.2">
      <c r="A2016" s="5">
        <v>1955</v>
      </c>
      <c r="B2016" s="138">
        <f>'Cap Outlay Deprec 26'!D10</f>
        <v>52314</v>
      </c>
      <c r="D2016" s="2" t="str">
        <f t="shared" si="30"/>
        <v>Error?</v>
      </c>
    </row>
    <row r="2017" spans="1:4" x14ac:dyDescent="0.2">
      <c r="A2017" s="5">
        <v>1956</v>
      </c>
      <c r="B2017" s="138">
        <f>'Cap Outlay Deprec 26'!D12</f>
        <v>741583</v>
      </c>
      <c r="D2017" s="2" t="str">
        <f t="shared" si="30"/>
        <v>Error?</v>
      </c>
    </row>
    <row r="2018" spans="1:4" x14ac:dyDescent="0.2">
      <c r="A2018" s="5">
        <v>1957</v>
      </c>
      <c r="B2018" s="138">
        <f>'Cap Outlay Deprec 26'!D13</f>
        <v>140459</v>
      </c>
      <c r="D2018" s="2" t="str">
        <f t="shared" si="30"/>
        <v>Error?</v>
      </c>
    </row>
    <row r="2019" spans="1:4" x14ac:dyDescent="0.2">
      <c r="A2019" s="5">
        <v>1958</v>
      </c>
      <c r="B2019" s="138">
        <f>'Cap Outlay Deprec 26'!D16</f>
        <v>4397067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73468</v>
      </c>
      <c r="D2022" s="2" t="str">
        <f t="shared" si="30"/>
        <v>Error?</v>
      </c>
    </row>
    <row r="2023" spans="1:4" x14ac:dyDescent="0.2">
      <c r="A2023" s="5">
        <v>1962</v>
      </c>
      <c r="B2023" s="138">
        <f>'Cap Outlay Deprec 26'!E12</f>
        <v>100415</v>
      </c>
      <c r="D2023" s="2" t="str">
        <f t="shared" si="30"/>
        <v>Error?</v>
      </c>
    </row>
    <row r="2024" spans="1:4" x14ac:dyDescent="0.2">
      <c r="A2024" s="5">
        <v>1963</v>
      </c>
      <c r="B2024" s="138">
        <f>'Cap Outlay Deprec 26'!E13</f>
        <v>29200</v>
      </c>
      <c r="D2024" s="2" t="str">
        <f t="shared" si="30"/>
        <v>Error?</v>
      </c>
    </row>
    <row r="2025" spans="1:4" x14ac:dyDescent="0.2">
      <c r="A2025" s="5">
        <v>1964</v>
      </c>
      <c r="B2025" s="138">
        <f>'Cap Outlay Deprec 26'!E16</f>
        <v>621708</v>
      </c>
      <c r="C2025" s="2" t="s">
        <v>573</v>
      </c>
      <c r="D2025" s="2" t="str">
        <f t="shared" si="30"/>
        <v>Error?</v>
      </c>
    </row>
    <row r="2026" spans="1:4" x14ac:dyDescent="0.2">
      <c r="A2026" s="5">
        <v>1965</v>
      </c>
      <c r="B2026" s="138">
        <f>'Cap Outlay Deprec 26'!F5</f>
        <v>4968870</v>
      </c>
      <c r="C2026" s="2" t="s">
        <v>573</v>
      </c>
      <c r="D2026" s="2" t="str">
        <f t="shared" si="30"/>
        <v>Error?</v>
      </c>
    </row>
    <row r="2027" spans="1:4" x14ac:dyDescent="0.2">
      <c r="A2027" s="5">
        <v>1966</v>
      </c>
      <c r="B2027" s="138">
        <f>'Cap Outlay Deprec 26'!F8</f>
        <v>49741074</v>
      </c>
      <c r="C2027" s="2" t="s">
        <v>573</v>
      </c>
      <c r="D2027" s="2" t="str">
        <f t="shared" si="30"/>
        <v>Error?</v>
      </c>
    </row>
    <row r="2028" spans="1:4" x14ac:dyDescent="0.2">
      <c r="A2028" s="5">
        <v>1967</v>
      </c>
      <c r="B2028" s="138">
        <f>'Cap Outlay Deprec 26'!F10</f>
        <v>8241537</v>
      </c>
      <c r="C2028" s="2" t="s">
        <v>573</v>
      </c>
      <c r="D2028" s="2" t="str">
        <f t="shared" si="30"/>
        <v>Error?</v>
      </c>
    </row>
    <row r="2029" spans="1:4" x14ac:dyDescent="0.2">
      <c r="A2029" s="5">
        <v>1968</v>
      </c>
      <c r="B2029" s="138">
        <f>'Cap Outlay Deprec 26'!F12</f>
        <v>7141574</v>
      </c>
      <c r="C2029" s="2" t="s">
        <v>573</v>
      </c>
      <c r="D2029" s="2" t="str">
        <f t="shared" si="30"/>
        <v>Error?</v>
      </c>
    </row>
    <row r="2030" spans="1:4" x14ac:dyDescent="0.2">
      <c r="A2030" s="5">
        <v>1969</v>
      </c>
      <c r="B2030" s="138">
        <f>'Cap Outlay Deprec 26'!F13</f>
        <v>813524</v>
      </c>
      <c r="C2030" s="2" t="s">
        <v>573</v>
      </c>
      <c r="D2030" s="2" t="str">
        <f t="shared" si="30"/>
        <v>Error?</v>
      </c>
    </row>
    <row r="2031" spans="1:4" x14ac:dyDescent="0.2">
      <c r="A2031" s="5">
        <v>1970</v>
      </c>
      <c r="B2031" s="138">
        <f>'Cap Outlay Deprec 26'!F16</f>
        <v>71251874</v>
      </c>
      <c r="C2031" s="2" t="s">
        <v>573</v>
      </c>
      <c r="D2031" s="2" t="str">
        <f t="shared" si="30"/>
        <v>Error?</v>
      </c>
    </row>
    <row r="2032" spans="1:4" x14ac:dyDescent="0.2">
      <c r="A2032" s="10">
        <v>1971</v>
      </c>
      <c r="D2032" s="2" t="str">
        <f t="shared" si="30"/>
        <v>OK</v>
      </c>
    </row>
    <row r="2033" spans="1:4" x14ac:dyDescent="0.2">
      <c r="A2033" s="5">
        <v>1972</v>
      </c>
      <c r="B2033" s="138">
        <f>'Cap Outlay Deprec 26'!H8</f>
        <v>15420425</v>
      </c>
      <c r="D2033" s="2" t="str">
        <f t="shared" si="30"/>
        <v>Error?</v>
      </c>
    </row>
    <row r="2034" spans="1:4" x14ac:dyDescent="0.2">
      <c r="A2034" s="5">
        <v>1973</v>
      </c>
      <c r="B2034" s="138">
        <f>'Cap Outlay Deprec 26'!H10</f>
        <v>1548997</v>
      </c>
      <c r="D2034" s="2" t="str">
        <f t="shared" si="30"/>
        <v>Error?</v>
      </c>
    </row>
    <row r="2035" spans="1:4" x14ac:dyDescent="0.2">
      <c r="A2035" s="5">
        <v>1974</v>
      </c>
      <c r="B2035" s="138">
        <f>'Cap Outlay Deprec 26'!H12</f>
        <v>2839322</v>
      </c>
      <c r="D2035" s="2" t="str">
        <f t="shared" si="30"/>
        <v>Error?</v>
      </c>
    </row>
    <row r="2036" spans="1:4" x14ac:dyDescent="0.2">
      <c r="A2036" s="5">
        <v>1975</v>
      </c>
      <c r="B2036" s="138">
        <f>'Cap Outlay Deprec 26'!H13</f>
        <v>200204</v>
      </c>
      <c r="D2036" s="2" t="str">
        <f t="shared" si="30"/>
        <v>Error?</v>
      </c>
    </row>
    <row r="2037" spans="1:4" x14ac:dyDescent="0.2">
      <c r="A2037" s="5">
        <v>1976</v>
      </c>
      <c r="B2037" s="138">
        <f>'Cap Outlay Deprec 26'!H16</f>
        <v>20008948</v>
      </c>
      <c r="C2037" s="2" t="s">
        <v>573</v>
      </c>
      <c r="D2037" s="2" t="str">
        <f t="shared" si="30"/>
        <v>Error?</v>
      </c>
    </row>
    <row r="2038" spans="1:4" x14ac:dyDescent="0.2">
      <c r="A2038" s="10">
        <v>1977</v>
      </c>
      <c r="D2038" s="2" t="str">
        <f t="shared" si="30"/>
        <v>OK</v>
      </c>
    </row>
    <row r="2039" spans="1:4" x14ac:dyDescent="0.2">
      <c r="A2039" s="5">
        <v>1978</v>
      </c>
      <c r="B2039" s="138">
        <f>'Cap Outlay Deprec 26'!I8</f>
        <v>889915</v>
      </c>
      <c r="D2039" s="2" t="str">
        <f t="shared" si="30"/>
        <v>Error?</v>
      </c>
    </row>
    <row r="2040" spans="1:4" x14ac:dyDescent="0.2">
      <c r="A2040" s="5">
        <v>1979</v>
      </c>
      <c r="B2040" s="138">
        <f>'Cap Outlay Deprec 26'!I10</f>
        <v>415750</v>
      </c>
      <c r="D2040" s="2" t="str">
        <f t="shared" si="30"/>
        <v>Error?</v>
      </c>
    </row>
    <row r="2041" spans="1:4" x14ac:dyDescent="0.2">
      <c r="A2041" s="5">
        <v>1980</v>
      </c>
      <c r="B2041" s="138">
        <f>'Cap Outlay Deprec 26'!I12</f>
        <v>724199</v>
      </c>
      <c r="D2041" s="2" t="str">
        <f t="shared" si="30"/>
        <v>Error?</v>
      </c>
    </row>
    <row r="2042" spans="1:4" x14ac:dyDescent="0.2">
      <c r="A2042" s="5">
        <v>1981</v>
      </c>
      <c r="B2042" s="138">
        <f>'Cap Outlay Deprec 26'!I13</f>
        <v>168544</v>
      </c>
      <c r="D2042" s="2" t="str">
        <f t="shared" si="30"/>
        <v>Error?</v>
      </c>
    </row>
    <row r="2043" spans="1:4" x14ac:dyDescent="0.2">
      <c r="A2043" s="5">
        <v>1982</v>
      </c>
      <c r="B2043" s="138">
        <f>'Cap Outlay Deprec 26'!I16</f>
        <v>2198408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73468</v>
      </c>
      <c r="D2046" s="2" t="str">
        <f t="shared" si="30"/>
        <v>Error?</v>
      </c>
    </row>
    <row r="2047" spans="1:4" x14ac:dyDescent="0.2">
      <c r="A2047" s="5">
        <v>1986</v>
      </c>
      <c r="B2047" s="138">
        <f>'Cap Outlay Deprec 26'!J12</f>
        <v>100415</v>
      </c>
      <c r="D2047" s="2" t="str">
        <f t="shared" ref="D2047:D2110" si="31">IF(ISBLANK(B2047),"OK",IF(A2047-B2047=0,"OK","Error?"))</f>
        <v>Error?</v>
      </c>
    </row>
    <row r="2048" spans="1:4" x14ac:dyDescent="0.2">
      <c r="A2048" s="5">
        <v>1987</v>
      </c>
      <c r="B2048" s="138">
        <f>'Cap Outlay Deprec 26'!J13</f>
        <v>29200</v>
      </c>
      <c r="D2048" s="2" t="str">
        <f t="shared" si="31"/>
        <v>Error?</v>
      </c>
    </row>
    <row r="2049" spans="1:4" x14ac:dyDescent="0.2">
      <c r="A2049" s="5">
        <v>1988</v>
      </c>
      <c r="B2049" s="138">
        <f>'Cap Outlay Deprec 26'!J16</f>
        <v>203083</v>
      </c>
      <c r="C2049" s="2" t="s">
        <v>573</v>
      </c>
      <c r="D2049" s="2" t="str">
        <f t="shared" si="31"/>
        <v>Error?</v>
      </c>
    </row>
    <row r="2050" spans="1:4" x14ac:dyDescent="0.2">
      <c r="A2050" s="10">
        <v>1989</v>
      </c>
      <c r="D2050" s="2" t="str">
        <f t="shared" si="31"/>
        <v>OK</v>
      </c>
    </row>
    <row r="2051" spans="1:4" x14ac:dyDescent="0.2">
      <c r="A2051" s="5">
        <v>1990</v>
      </c>
      <c r="B2051" s="138">
        <f>'Cap Outlay Deprec 26'!K8</f>
        <v>16310340</v>
      </c>
      <c r="C2051" s="2" t="s">
        <v>573</v>
      </c>
      <c r="D2051" s="2" t="str">
        <f t="shared" si="31"/>
        <v>Error?</v>
      </c>
    </row>
    <row r="2052" spans="1:4" x14ac:dyDescent="0.2">
      <c r="A2052" s="5">
        <v>1991</v>
      </c>
      <c r="B2052" s="138">
        <f>'Cap Outlay Deprec 26'!K10</f>
        <v>1891279</v>
      </c>
      <c r="C2052" s="2" t="s">
        <v>573</v>
      </c>
      <c r="D2052" s="2" t="str">
        <f t="shared" si="31"/>
        <v>Error?</v>
      </c>
    </row>
    <row r="2053" spans="1:4" x14ac:dyDescent="0.2">
      <c r="A2053" s="5">
        <v>1992</v>
      </c>
      <c r="B2053" s="138">
        <f>'Cap Outlay Deprec 26'!K12</f>
        <v>3463106</v>
      </c>
      <c r="C2053" s="2" t="s">
        <v>573</v>
      </c>
      <c r="D2053" s="2" t="str">
        <f t="shared" si="31"/>
        <v>Error?</v>
      </c>
    </row>
    <row r="2054" spans="1:4" x14ac:dyDescent="0.2">
      <c r="A2054" s="5">
        <v>1993</v>
      </c>
      <c r="B2054" s="138">
        <f>'Cap Outlay Deprec 26'!K13</f>
        <v>339548</v>
      </c>
      <c r="C2054" s="2" t="s">
        <v>573</v>
      </c>
      <c r="D2054" s="2" t="str">
        <f t="shared" si="31"/>
        <v>Error?</v>
      </c>
    </row>
    <row r="2055" spans="1:4" x14ac:dyDescent="0.2">
      <c r="A2055" s="5">
        <v>1994</v>
      </c>
      <c r="B2055" s="138">
        <f>'Cap Outlay Deprec 26'!K16</f>
        <v>22004273</v>
      </c>
      <c r="C2055" s="2" t="s">
        <v>573</v>
      </c>
      <c r="D2055" s="2" t="str">
        <f t="shared" si="31"/>
        <v>Error?</v>
      </c>
    </row>
    <row r="2056" spans="1:4" x14ac:dyDescent="0.2">
      <c r="A2056" s="5">
        <v>1995</v>
      </c>
      <c r="B2056" s="138">
        <f>'Cap Outlay Deprec 26'!L5</f>
        <v>4968870</v>
      </c>
      <c r="C2056" s="2" t="s">
        <v>573</v>
      </c>
      <c r="D2056" s="2" t="str">
        <f t="shared" si="31"/>
        <v>Error?</v>
      </c>
    </row>
    <row r="2057" spans="1:4" x14ac:dyDescent="0.2">
      <c r="A2057" s="5">
        <v>1996</v>
      </c>
      <c r="B2057" s="138">
        <f>'Cap Outlay Deprec 26'!L8</f>
        <v>33430734</v>
      </c>
      <c r="C2057" s="2" t="s">
        <v>573</v>
      </c>
      <c r="D2057" s="2" t="str">
        <f t="shared" si="31"/>
        <v>Error?</v>
      </c>
    </row>
    <row r="2058" spans="1:4" x14ac:dyDescent="0.2">
      <c r="A2058" s="5">
        <v>1997</v>
      </c>
      <c r="B2058" s="138">
        <f>'Cap Outlay Deprec 26'!L10</f>
        <v>6350258</v>
      </c>
      <c r="C2058" s="2" t="s">
        <v>573</v>
      </c>
      <c r="D2058" s="2" t="str">
        <f t="shared" si="31"/>
        <v>Error?</v>
      </c>
    </row>
    <row r="2059" spans="1:4" x14ac:dyDescent="0.2">
      <c r="A2059" s="5">
        <v>1998</v>
      </c>
      <c r="B2059" s="138">
        <f>'Cap Outlay Deprec 26'!L12</f>
        <v>3678468</v>
      </c>
      <c r="C2059" s="2" t="s">
        <v>573</v>
      </c>
      <c r="D2059" s="2" t="str">
        <f t="shared" si="31"/>
        <v>Error?</v>
      </c>
    </row>
    <row r="2060" spans="1:4" x14ac:dyDescent="0.2">
      <c r="A2060" s="5">
        <v>1999</v>
      </c>
      <c r="B2060" s="138">
        <f>'Cap Outlay Deprec 26'!L13</f>
        <v>473976</v>
      </c>
      <c r="C2060" s="2" t="s">
        <v>573</v>
      </c>
      <c r="D2060" s="2" t="str">
        <f t="shared" si="31"/>
        <v>Error?</v>
      </c>
    </row>
    <row r="2061" spans="1:4" x14ac:dyDescent="0.2">
      <c r="A2061" s="5">
        <v>2000</v>
      </c>
      <c r="B2061" s="138">
        <f>'Cap Outlay Deprec 26'!L16</f>
        <v>49247601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48933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48933</v>
      </c>
      <c r="C2088" s="2" t="s">
        <v>573</v>
      </c>
      <c r="D2088" s="2" t="str">
        <f t="shared" si="31"/>
        <v>Error?</v>
      </c>
    </row>
    <row r="2089" spans="1:4" x14ac:dyDescent="0.2">
      <c r="A2089" s="5">
        <v>2028</v>
      </c>
      <c r="B2089" s="138">
        <f>'Expenditures 15-22'!K92</f>
        <v>221913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647516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119734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23893833</v>
      </c>
      <c r="C2551" s="2" t="s">
        <v>573</v>
      </c>
      <c r="D2551" s="2" t="str">
        <f t="shared" si="38"/>
        <v>Error?</v>
      </c>
    </row>
    <row r="2552" spans="1:4" x14ac:dyDescent="0.2">
      <c r="A2552" s="10">
        <v>2491</v>
      </c>
      <c r="D2552" s="2" t="str">
        <f t="shared" si="38"/>
        <v>OK</v>
      </c>
    </row>
    <row r="2553" spans="1:4" x14ac:dyDescent="0.2">
      <c r="A2553" s="5">
        <v>2492</v>
      </c>
      <c r="B2553" s="138">
        <f>'Acct Summary 7-8'!C6</f>
        <v>2248826</v>
      </c>
      <c r="C2553" s="2" t="s">
        <v>573</v>
      </c>
      <c r="D2553" s="2" t="str">
        <f t="shared" si="38"/>
        <v>Error?</v>
      </c>
    </row>
    <row r="2554" spans="1:4" x14ac:dyDescent="0.2">
      <c r="A2554" s="5">
        <v>2493</v>
      </c>
      <c r="B2554" s="138">
        <f>'Acct Summary 7-8'!C7</f>
        <v>1193308</v>
      </c>
      <c r="C2554" s="2" t="s">
        <v>573</v>
      </c>
      <c r="D2554" s="2" t="str">
        <f t="shared" si="38"/>
        <v>Error?</v>
      </c>
    </row>
    <row r="2555" spans="1:4" x14ac:dyDescent="0.2">
      <c r="A2555" s="5">
        <v>2494</v>
      </c>
      <c r="B2555" s="138">
        <f>'Acct Summary 7-8'!C8</f>
        <v>27335967</v>
      </c>
      <c r="C2555" s="2" t="s">
        <v>573</v>
      </c>
      <c r="D2555" s="2" t="str">
        <f t="shared" si="38"/>
        <v>Error?</v>
      </c>
    </row>
    <row r="2556" spans="1:4" x14ac:dyDescent="0.2">
      <c r="A2556" s="5">
        <v>2495</v>
      </c>
      <c r="B2556" s="138">
        <f>'Acct Summary 7-8'!C12</f>
        <v>18955113</v>
      </c>
      <c r="C2556" s="2" t="s">
        <v>573</v>
      </c>
      <c r="D2556" s="2" t="str">
        <f t="shared" si="38"/>
        <v>Error?</v>
      </c>
    </row>
    <row r="2557" spans="1:4" x14ac:dyDescent="0.2">
      <c r="A2557" s="5">
        <v>2496</v>
      </c>
      <c r="B2557" s="138">
        <f>'Acct Summary 7-8'!C13</f>
        <v>7638382</v>
      </c>
      <c r="C2557" s="2" t="s">
        <v>573</v>
      </c>
      <c r="D2557" s="2" t="str">
        <f t="shared" si="38"/>
        <v>Error?</v>
      </c>
    </row>
    <row r="2558" spans="1:4" x14ac:dyDescent="0.2">
      <c r="A2558" s="5">
        <v>2497</v>
      </c>
      <c r="B2558" s="138">
        <f>'Acct Summary 7-8'!C14</f>
        <v>17571</v>
      </c>
      <c r="C2558" s="2" t="s">
        <v>573</v>
      </c>
      <c r="D2558" s="2" t="str">
        <f t="shared" si="38"/>
        <v>Error?</v>
      </c>
    </row>
    <row r="2559" spans="1:4" x14ac:dyDescent="0.2">
      <c r="A2559" s="5">
        <v>2498</v>
      </c>
      <c r="B2559" s="138">
        <f>'Acct Summary 7-8'!C15</f>
        <v>270846</v>
      </c>
      <c r="C2559" s="2" t="s">
        <v>573</v>
      </c>
      <c r="D2559" s="2" t="str">
        <f t="shared" ref="D2559:D2622" si="39">IF(ISBLANK(B2559),"OK",IF(A2559-B2559=0,"OK","Error?"))</f>
        <v>Error?</v>
      </c>
    </row>
    <row r="2560" spans="1:4" x14ac:dyDescent="0.2">
      <c r="A2560" s="5">
        <v>2499</v>
      </c>
      <c r="B2560" s="138">
        <f>'Acct Summary 7-8'!C16</f>
        <v>99</v>
      </c>
      <c r="C2560" s="2" t="s">
        <v>573</v>
      </c>
      <c r="D2560" s="2" t="str">
        <f t="shared" si="39"/>
        <v>Error?</v>
      </c>
    </row>
    <row r="2561" spans="1:4" x14ac:dyDescent="0.2">
      <c r="A2561" s="5">
        <v>2500</v>
      </c>
      <c r="B2561" s="138">
        <f>'Acct Summary 7-8'!C17</f>
        <v>26882011</v>
      </c>
      <c r="C2561" s="2" t="s">
        <v>573</v>
      </c>
      <c r="D2561" s="2" t="str">
        <f t="shared" si="39"/>
        <v>Error?</v>
      </c>
    </row>
    <row r="2562" spans="1:4" x14ac:dyDescent="0.2">
      <c r="A2562" s="5">
        <v>2501</v>
      </c>
      <c r="B2562" s="138">
        <f>'Acct Summary 7-8'!C20</f>
        <v>453956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5324593</v>
      </c>
      <c r="C2564" s="2" t="s">
        <v>573</v>
      </c>
      <c r="D2564" s="2" t="str">
        <f t="shared" si="39"/>
        <v>Error?</v>
      </c>
    </row>
    <row r="2565" spans="1:4" x14ac:dyDescent="0.2">
      <c r="A2565" s="10">
        <v>2504</v>
      </c>
      <c r="D2565" s="2" t="str">
        <f t="shared" si="39"/>
        <v>OK</v>
      </c>
    </row>
    <row r="2566" spans="1:4" x14ac:dyDescent="0.2">
      <c r="A2566" s="5">
        <v>2505</v>
      </c>
      <c r="B2566" s="138">
        <f>'Acct Summary 7-8'!D6</f>
        <v>700000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6024593</v>
      </c>
      <c r="C2568" s="2" t="s">
        <v>573</v>
      </c>
      <c r="D2568" s="2" t="str">
        <f t="shared" si="39"/>
        <v>Error?</v>
      </c>
    </row>
    <row r="2569" spans="1:4" x14ac:dyDescent="0.2">
      <c r="A2569" s="5">
        <v>2508</v>
      </c>
      <c r="B2569" s="138">
        <f>'Acct Summary 7-8'!D13</f>
        <v>5672774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5672774</v>
      </c>
      <c r="C2573" s="2" t="s">
        <v>573</v>
      </c>
      <c r="D2573" s="2" t="str">
        <f t="shared" si="39"/>
        <v>Error?</v>
      </c>
    </row>
    <row r="2574" spans="1:4" x14ac:dyDescent="0.2">
      <c r="A2574" s="5">
        <v>2513</v>
      </c>
      <c r="B2574" s="138">
        <f>'Acct Summary 7-8'!D20</f>
        <v>351819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679956</v>
      </c>
      <c r="C2591" s="2" t="s">
        <v>573</v>
      </c>
      <c r="D2591" s="2" t="str">
        <f t="shared" si="39"/>
        <v>Error?</v>
      </c>
    </row>
    <row r="2592" spans="1:4" x14ac:dyDescent="0.2">
      <c r="A2592" s="10">
        <v>2531</v>
      </c>
      <c r="D2592" s="2" t="str">
        <f t="shared" si="39"/>
        <v>OK</v>
      </c>
    </row>
    <row r="2593" spans="1:4" x14ac:dyDescent="0.2">
      <c r="A2593" s="5">
        <v>2532</v>
      </c>
      <c r="B2593" s="138">
        <f>'Acct Summary 7-8'!F6</f>
        <v>277449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957405</v>
      </c>
      <c r="C2595" s="2" t="s">
        <v>573</v>
      </c>
      <c r="D2595" s="2" t="str">
        <f t="shared" si="39"/>
        <v>Error?</v>
      </c>
    </row>
    <row r="2596" spans="1:4" x14ac:dyDescent="0.2">
      <c r="A2596" s="5">
        <v>2535</v>
      </c>
      <c r="B2596" s="138">
        <f>'Acct Summary 7-8'!F13</f>
        <v>960858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191042</v>
      </c>
      <c r="C2599" s="2" t="s">
        <v>573</v>
      </c>
      <c r="D2599" s="2" t="str">
        <f t="shared" si="39"/>
        <v>Error?</v>
      </c>
    </row>
    <row r="2600" spans="1:4" x14ac:dyDescent="0.2">
      <c r="A2600" s="5">
        <v>2539</v>
      </c>
      <c r="B2600" s="138">
        <f>'Acct Summary 7-8'!F17</f>
        <v>1151900</v>
      </c>
      <c r="C2600" s="2" t="s">
        <v>573</v>
      </c>
      <c r="D2600" s="2" t="str">
        <f t="shared" si="39"/>
        <v>Error?</v>
      </c>
    </row>
    <row r="2601" spans="1:4" x14ac:dyDescent="0.2">
      <c r="A2601" s="5">
        <v>2540</v>
      </c>
      <c r="B2601" s="138">
        <f>'Acct Summary 7-8'!F20</f>
        <v>-194495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1103012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1103012</v>
      </c>
      <c r="C2606" s="2" t="s">
        <v>573</v>
      </c>
      <c r="D2606" s="2" t="str">
        <f t="shared" si="39"/>
        <v>Error?</v>
      </c>
    </row>
    <row r="2607" spans="1:4" x14ac:dyDescent="0.2">
      <c r="A2607" s="5">
        <v>2546</v>
      </c>
      <c r="B2607" s="138">
        <f>'Acct Summary 7-8'!G12</f>
        <v>456535</v>
      </c>
      <c r="C2607" s="2" t="s">
        <v>573</v>
      </c>
      <c r="D2607" s="2" t="str">
        <f t="shared" si="39"/>
        <v>Error?</v>
      </c>
    </row>
    <row r="2608" spans="1:4" x14ac:dyDescent="0.2">
      <c r="A2608" s="5">
        <v>2547</v>
      </c>
      <c r="B2608" s="138">
        <f>'Acct Summary 7-8'!G13</f>
        <v>541023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997558</v>
      </c>
      <c r="C2612" s="2" t="s">
        <v>573</v>
      </c>
      <c r="D2612" s="2" t="str">
        <f t="shared" si="39"/>
        <v>Error?</v>
      </c>
    </row>
    <row r="2613" spans="1:4" x14ac:dyDescent="0.2">
      <c r="A2613" s="5">
        <v>2552</v>
      </c>
      <c r="B2613" s="138">
        <f>'Acct Summary 7-8'!G20</f>
        <v>105454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1283137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1283137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1602108</v>
      </c>
      <c r="C2634" s="2" t="s">
        <v>573</v>
      </c>
      <c r="D2634" s="2" t="str">
        <f t="shared" si="40"/>
        <v>Error?</v>
      </c>
    </row>
    <row r="2635" spans="1:4" x14ac:dyDescent="0.2">
      <c r="A2635" s="5">
        <v>2574</v>
      </c>
      <c r="B2635" s="138">
        <f>'Acct Summary 7-8'!E17</f>
        <v>1602108</v>
      </c>
      <c r="C2635" s="2" t="s">
        <v>573</v>
      </c>
      <c r="D2635" s="2" t="str">
        <f t="shared" si="40"/>
        <v>Error?</v>
      </c>
    </row>
    <row r="2636" spans="1:4" x14ac:dyDescent="0.2">
      <c r="A2636" s="5">
        <v>2575</v>
      </c>
      <c r="B2636" s="138">
        <f>'Acct Summary 7-8'!E20</f>
        <v>-318971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992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992</v>
      </c>
      <c r="C2658" s="2" t="s">
        <v>573</v>
      </c>
      <c r="D2658" s="2" t="str">
        <f t="shared" si="40"/>
        <v>Error?</v>
      </c>
    </row>
    <row r="2659" spans="1:4" x14ac:dyDescent="0.2">
      <c r="A2659" s="5">
        <v>2598</v>
      </c>
      <c r="B2659" s="138">
        <f>'Acct Summary 7-8'!H13</f>
        <v>505372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505372</v>
      </c>
      <c r="C2661" s="2" t="s">
        <v>573</v>
      </c>
      <c r="D2661" s="2" t="str">
        <f t="shared" si="40"/>
        <v>Error?</v>
      </c>
    </row>
    <row r="2662" spans="1:4" x14ac:dyDescent="0.2">
      <c r="A2662" s="5">
        <v>2601</v>
      </c>
      <c r="B2662" s="138">
        <f>'Acct Summary 7-8'!H20</f>
        <v>-504380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197411</v>
      </c>
      <c r="D2718" s="2" t="str">
        <f t="shared" si="41"/>
        <v>Error?</v>
      </c>
    </row>
    <row r="2719" spans="1:4" x14ac:dyDescent="0.2">
      <c r="A2719" s="5">
        <v>2658</v>
      </c>
      <c r="B2719" s="138">
        <f>'Expenditures 15-22'!D51</f>
        <v>44366</v>
      </c>
      <c r="D2719" s="2" t="str">
        <f t="shared" si="41"/>
        <v>Error?</v>
      </c>
    </row>
    <row r="2720" spans="1:4" x14ac:dyDescent="0.2">
      <c r="A2720" s="5">
        <v>2659</v>
      </c>
      <c r="B2720" s="138">
        <f>'Expenditures 15-22'!E51</f>
        <v>7927</v>
      </c>
      <c r="D2720" s="2" t="str">
        <f t="shared" si="41"/>
        <v>Error?</v>
      </c>
    </row>
    <row r="2721" spans="1:4" x14ac:dyDescent="0.2">
      <c r="A2721" s="5">
        <v>2660</v>
      </c>
      <c r="B2721" s="138">
        <f>'Expenditures 15-22'!F51</f>
        <v>17767</v>
      </c>
      <c r="D2721" s="2" t="str">
        <f t="shared" si="41"/>
        <v>Error?</v>
      </c>
    </row>
    <row r="2722" spans="1:4" x14ac:dyDescent="0.2">
      <c r="A2722" s="5">
        <v>2661</v>
      </c>
      <c r="B2722" s="138">
        <f>'Expenditures 15-22'!G51</f>
        <v>5878</v>
      </c>
      <c r="D2722" s="2" t="str">
        <f t="shared" si="41"/>
        <v>Error?</v>
      </c>
    </row>
    <row r="2723" spans="1:4" x14ac:dyDescent="0.2">
      <c r="A2723" s="5">
        <v>2662</v>
      </c>
      <c r="B2723" s="138">
        <f>'Expenditures 15-22'!H51</f>
        <v>924</v>
      </c>
      <c r="D2723" s="2" t="str">
        <f t="shared" si="41"/>
        <v>Error?</v>
      </c>
    </row>
    <row r="2724" spans="1:4" x14ac:dyDescent="0.2">
      <c r="A2724" s="5">
        <v>2663</v>
      </c>
      <c r="B2724" s="138">
        <f>'Expenditures 15-22'!K51</f>
        <v>274273</v>
      </c>
      <c r="C2724" s="2" t="s">
        <v>573</v>
      </c>
      <c r="D2724" s="2" t="str">
        <f t="shared" si="41"/>
        <v>Error?</v>
      </c>
    </row>
    <row r="2725" spans="1:4" x14ac:dyDescent="0.2">
      <c r="A2725" s="5">
        <v>2664</v>
      </c>
      <c r="B2725" s="138">
        <f>'Expenditures 15-22'!D247</f>
        <v>8390</v>
      </c>
      <c r="D2725" s="2" t="str">
        <f t="shared" si="41"/>
        <v>Error?</v>
      </c>
    </row>
    <row r="2726" spans="1:4" x14ac:dyDescent="0.2">
      <c r="A2726" s="5">
        <v>2665</v>
      </c>
      <c r="B2726" s="138">
        <f>'Expenditures 15-22'!K247</f>
        <v>8390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345295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2843916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2844496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352555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2844496</v>
      </c>
      <c r="D2912" s="2" t="str">
        <f t="shared" si="44"/>
        <v>Error?</v>
      </c>
    </row>
    <row r="2913" spans="1:4" x14ac:dyDescent="0.2">
      <c r="A2913" s="5">
        <v>2852</v>
      </c>
      <c r="B2913" s="138">
        <f>'Assets-Liab 5-6'!I41</f>
        <v>2844496</v>
      </c>
      <c r="C2913" s="2" t="s">
        <v>573</v>
      </c>
      <c r="D2913" s="2" t="str">
        <f t="shared" si="44"/>
        <v>Error?</v>
      </c>
    </row>
    <row r="2914" spans="1:4" x14ac:dyDescent="0.2">
      <c r="A2914" s="5">
        <v>2853</v>
      </c>
      <c r="B2914" s="138">
        <f>'Assets-Liab 5-6'!L33</f>
        <v>352555</v>
      </c>
      <c r="D2914" s="2" t="str">
        <f t="shared" si="44"/>
        <v>Error?</v>
      </c>
    </row>
    <row r="2915" spans="1:4" x14ac:dyDescent="0.2">
      <c r="A2915" s="10">
        <v>2854</v>
      </c>
      <c r="D2915" s="2" t="str">
        <f t="shared" si="44"/>
        <v>OK</v>
      </c>
    </row>
    <row r="2916" spans="1:4" x14ac:dyDescent="0.2">
      <c r="A2916" s="5">
        <v>2855</v>
      </c>
      <c r="B2916" s="138">
        <f>'Assets-Liab 5-6'!L34</f>
        <v>352555</v>
      </c>
      <c r="C2916" s="2" t="s">
        <v>573</v>
      </c>
      <c r="D2916" s="2" t="str">
        <f t="shared" si="44"/>
        <v>Error?</v>
      </c>
    </row>
    <row r="2917" spans="1:4" x14ac:dyDescent="0.2">
      <c r="A2917" s="5">
        <v>2856</v>
      </c>
      <c r="B2917" s="138">
        <f>'Assets-Liab 5-6'!L41</f>
        <v>352555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38503</v>
      </c>
      <c r="D2955" s="2" t="str">
        <f t="shared" si="45"/>
        <v>Error?</v>
      </c>
    </row>
    <row r="2956" spans="1:4" x14ac:dyDescent="0.2">
      <c r="A2956" s="5">
        <v>2895</v>
      </c>
      <c r="B2956" s="138">
        <f>'Expenditures 15-22'!H79</f>
        <v>10430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38503</v>
      </c>
      <c r="C2973" s="2" t="s">
        <v>573</v>
      </c>
      <c r="D2973" s="2" t="str">
        <f t="shared" si="45"/>
        <v>Error?</v>
      </c>
    </row>
    <row r="2974" spans="1:4" x14ac:dyDescent="0.2">
      <c r="A2974" s="5">
        <v>2913</v>
      </c>
      <c r="B2974" s="138">
        <f>'Expenditures 15-22'!K79</f>
        <v>10430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41954</v>
      </c>
      <c r="D3055" s="2" t="str">
        <f t="shared" si="46"/>
        <v>Error?</v>
      </c>
    </row>
    <row r="3056" spans="1:4" x14ac:dyDescent="0.2">
      <c r="A3056" s="5">
        <v>2995</v>
      </c>
      <c r="B3056" s="138">
        <f>'Expenditures 15-22'!D10</f>
        <v>10767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52721</v>
      </c>
      <c r="C3062" s="2" t="s">
        <v>573</v>
      </c>
      <c r="D3062" s="2" t="str">
        <f t="shared" si="46"/>
        <v>Error?</v>
      </c>
    </row>
    <row r="3063" spans="1:4" x14ac:dyDescent="0.2">
      <c r="A3063" s="10">
        <v>3002</v>
      </c>
      <c r="D3063" s="2" t="str">
        <f t="shared" si="46"/>
        <v>OK</v>
      </c>
    </row>
    <row r="3064" spans="1:4" x14ac:dyDescent="0.2">
      <c r="A3064" s="5">
        <v>3003</v>
      </c>
      <c r="B3064" s="138">
        <f>'Expenditures 15-22'!D219</f>
        <v>511</v>
      </c>
      <c r="D3064" s="2" t="str">
        <f t="shared" si="46"/>
        <v>Error?</v>
      </c>
    </row>
    <row r="3065" spans="1:4" x14ac:dyDescent="0.2">
      <c r="A3065" s="5">
        <v>3004</v>
      </c>
      <c r="B3065" s="138">
        <f>'Expenditures 15-22'!K219</f>
        <v>511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317337</v>
      </c>
      <c r="C3225" s="2" t="s">
        <v>573</v>
      </c>
      <c r="D3225" s="2" t="str">
        <f t="shared" si="49"/>
        <v>Error?</v>
      </c>
    </row>
    <row r="3226" spans="1:4" x14ac:dyDescent="0.2">
      <c r="A3226" s="5">
        <v>3165</v>
      </c>
      <c r="B3226" s="138">
        <f>'Acct Summary 7-8'!I8</f>
        <v>317337</v>
      </c>
      <c r="C3226" s="2" t="s">
        <v>573</v>
      </c>
      <c r="D3226" s="2" t="str">
        <f t="shared" si="49"/>
        <v>Error?</v>
      </c>
    </row>
    <row r="3227" spans="1:4" x14ac:dyDescent="0.2">
      <c r="A3227" s="5">
        <v>3166</v>
      </c>
      <c r="B3227" s="138">
        <f>'Acct Summary 7-8'!I20</f>
        <v>317337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150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331813</v>
      </c>
      <c r="C3231" s="2" t="s">
        <v>573</v>
      </c>
      <c r="D3231" s="2" t="str">
        <f t="shared" si="49"/>
        <v>Error?</v>
      </c>
    </row>
    <row r="3232" spans="1:4" x14ac:dyDescent="0.2">
      <c r="A3232" s="5">
        <v>3171</v>
      </c>
      <c r="B3232" s="138">
        <f>'Acct Summary 7-8'!C77</f>
        <v>-331663</v>
      </c>
      <c r="C3232" s="2" t="s">
        <v>573</v>
      </c>
      <c r="D3232" s="2" t="str">
        <f t="shared" si="49"/>
        <v>Error?</v>
      </c>
    </row>
    <row r="3233" spans="1:4" x14ac:dyDescent="0.2">
      <c r="A3233" s="5">
        <v>3172</v>
      </c>
      <c r="B3233" s="138">
        <f>'Acct Summary 7-8'!C78</f>
        <v>122293</v>
      </c>
      <c r="C3233" s="2" t="s">
        <v>573</v>
      </c>
      <c r="D3233" s="2" t="str">
        <f t="shared" si="49"/>
        <v>Error?</v>
      </c>
    </row>
    <row r="3234" spans="1:4" x14ac:dyDescent="0.2">
      <c r="A3234" s="5">
        <v>3173</v>
      </c>
      <c r="B3234" s="138">
        <f>'Acct Summary 7-8'!D43</f>
        <v>259862</v>
      </c>
      <c r="D3234" s="2" t="str">
        <f t="shared" si="49"/>
        <v>Error?</v>
      </c>
    </row>
    <row r="3235" spans="1:4" x14ac:dyDescent="0.2">
      <c r="A3235" s="5">
        <v>3174</v>
      </c>
      <c r="B3235" s="138">
        <f>'Acct Summary 7-8'!D44</f>
        <v>265506</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265506</v>
      </c>
      <c r="C3238" s="2" t="s">
        <v>573</v>
      </c>
      <c r="D3238" s="2" t="str">
        <f t="shared" si="49"/>
        <v>Error?</v>
      </c>
    </row>
    <row r="3239" spans="1:4" x14ac:dyDescent="0.2">
      <c r="A3239" s="5">
        <v>3178</v>
      </c>
      <c r="B3239" s="138">
        <f>'Acct Summary 7-8'!D78</f>
        <v>617325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-194495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105454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331813</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331813</v>
      </c>
      <c r="C3277" s="2" t="s">
        <v>573</v>
      </c>
      <c r="D3277" s="2" t="str">
        <f t="shared" si="50"/>
        <v>Error?</v>
      </c>
    </row>
    <row r="3278" spans="1:4" x14ac:dyDescent="0.2">
      <c r="A3278" s="5">
        <v>3217</v>
      </c>
      <c r="B3278" s="138">
        <f>'Acct Summary 7-8'!E78</f>
        <v>12842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-504380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317337</v>
      </c>
      <c r="C3320" s="2" t="s">
        <v>573</v>
      </c>
      <c r="D3320" s="2" t="str">
        <f t="shared" si="50"/>
        <v>Error?</v>
      </c>
    </row>
    <row r="3321" spans="1:4" x14ac:dyDescent="0.2">
      <c r="A3321" s="5">
        <v>3260</v>
      </c>
      <c r="B3321" s="138">
        <f>'Acct Summary 7-8'!I79</f>
        <v>2527159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2844496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2529226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603669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23788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71351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13546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1178490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4420070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268351</v>
      </c>
      <c r="D3387" s="2" t="str">
        <f t="shared" si="51"/>
        <v>Error?</v>
      </c>
    </row>
    <row r="3388" spans="1:4" x14ac:dyDescent="0.2">
      <c r="A3388" s="5">
        <v>3327</v>
      </c>
      <c r="B3388" s="138">
        <f>'Expenditures 15-22'!D217</f>
        <v>149709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268351</v>
      </c>
      <c r="C3390" s="2" t="s">
        <v>573</v>
      </c>
      <c r="D3390" s="2" t="str">
        <f t="shared" si="51"/>
        <v>Error?</v>
      </c>
    </row>
    <row r="3391" spans="1:4" x14ac:dyDescent="0.2">
      <c r="A3391" s="5">
        <v>3330</v>
      </c>
      <c r="B3391" s="138">
        <f>'Expenditures 15-22'!K217</f>
        <v>149709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384401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740479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2548</v>
      </c>
      <c r="D3417" s="2" t="str">
        <f t="shared" si="52"/>
        <v>Error?</v>
      </c>
    </row>
    <row r="3418" spans="1:4" x14ac:dyDescent="0.2">
      <c r="A3418" s="10">
        <v>3357</v>
      </c>
      <c r="D3418" s="2" t="str">
        <f t="shared" si="52"/>
        <v>OK</v>
      </c>
    </row>
    <row r="3419" spans="1:4" x14ac:dyDescent="0.2">
      <c r="A3419" s="5">
        <v>3358</v>
      </c>
      <c r="B3419" s="138">
        <f>'Assets-Liab 5-6'!F4</f>
        <v>31201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83600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580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352555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444315</v>
      </c>
      <c r="C3446" s="2" t="s">
        <v>573</v>
      </c>
      <c r="D3446" s="2" t="str">
        <f t="shared" si="52"/>
        <v>Error?</v>
      </c>
    </row>
    <row r="3447" spans="1:4" x14ac:dyDescent="0.2">
      <c r="A3447" s="5">
        <v>3386</v>
      </c>
      <c r="B3447" s="138">
        <f>'Tax Sched 23'!D16</f>
        <v>444315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461627</v>
      </c>
      <c r="C3449" s="2" t="s">
        <v>573</v>
      </c>
      <c r="D3449" s="2" t="str">
        <f t="shared" si="52"/>
        <v>Error?</v>
      </c>
    </row>
    <row r="3450" spans="1:4" x14ac:dyDescent="0.2">
      <c r="A3450" s="5">
        <v>3389</v>
      </c>
      <c r="B3450" s="138">
        <f>'Tax Sched 23'!E16</f>
        <v>461627</v>
      </c>
      <c r="D3450" s="2" t="str">
        <f t="shared" si="52"/>
        <v>Error?</v>
      </c>
    </row>
    <row r="3451" spans="1:4" x14ac:dyDescent="0.2">
      <c r="A3451" s="5">
        <v>3390</v>
      </c>
      <c r="B3451" s="138">
        <f>'Cap Outlay Deprec 26'!C15</f>
        <v>268649</v>
      </c>
      <c r="D3451" s="2" t="str">
        <f t="shared" si="52"/>
        <v>Error?</v>
      </c>
    </row>
    <row r="3452" spans="1:4" x14ac:dyDescent="0.2">
      <c r="A3452" s="5">
        <v>3391</v>
      </c>
      <c r="B3452" s="138">
        <f>'Cap Outlay Deprec 26'!D15</f>
        <v>495271</v>
      </c>
      <c r="D3452" s="2" t="str">
        <f t="shared" si="52"/>
        <v>Error?</v>
      </c>
    </row>
    <row r="3453" spans="1:4" x14ac:dyDescent="0.2">
      <c r="A3453" s="5">
        <v>3392</v>
      </c>
      <c r="B3453" s="138">
        <f>'Cap Outlay Deprec 26'!E15</f>
        <v>418625</v>
      </c>
      <c r="D3453" s="2" t="str">
        <f t="shared" si="52"/>
        <v>Error?</v>
      </c>
    </row>
    <row r="3454" spans="1:4" x14ac:dyDescent="0.2">
      <c r="A3454" s="5">
        <v>3393</v>
      </c>
      <c r="B3454" s="138">
        <f>'Cap Outlay Deprec 26'!F15</f>
        <v>345295</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345295</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150</v>
      </c>
      <c r="D3530" s="2" t="str">
        <f t="shared" si="54"/>
        <v>Error?</v>
      </c>
    </row>
    <row r="3531" spans="1:4" x14ac:dyDescent="0.2">
      <c r="A3531" s="5">
        <v>3470</v>
      </c>
      <c r="B3531" s="138">
        <f>'Acct Summary 7-8'!D36</f>
        <v>5644</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10124811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37460778</v>
      </c>
      <c r="C4122" s="2" t="s">
        <v>573</v>
      </c>
      <c r="D4122" s="2" t="str">
        <f t="shared" si="63"/>
        <v>Error?</v>
      </c>
    </row>
    <row r="4123" spans="1:4" x14ac:dyDescent="0.2">
      <c r="A4123" s="5">
        <v>4062</v>
      </c>
      <c r="B4123" s="138">
        <f>'Acct Summary 7-8'!D10</f>
        <v>6024593</v>
      </c>
      <c r="C4123" s="2" t="s">
        <v>573</v>
      </c>
      <c r="D4123" s="2" t="str">
        <f t="shared" si="63"/>
        <v>Error?</v>
      </c>
    </row>
    <row r="4124" spans="1:4" x14ac:dyDescent="0.2">
      <c r="A4124" s="5">
        <v>4063</v>
      </c>
      <c r="B4124" s="138">
        <f>'Acct Summary 7-8'!E10</f>
        <v>1283137</v>
      </c>
      <c r="C4124" s="2" t="s">
        <v>573</v>
      </c>
      <c r="D4124" s="2" t="str">
        <f t="shared" si="63"/>
        <v>Error?</v>
      </c>
    </row>
    <row r="4125" spans="1:4" x14ac:dyDescent="0.2">
      <c r="A4125" s="5">
        <v>4064</v>
      </c>
      <c r="B4125" s="138">
        <f>'Acct Summary 7-8'!F10</f>
        <v>957405</v>
      </c>
      <c r="C4125" s="2" t="s">
        <v>573</v>
      </c>
      <c r="D4125" s="2" t="str">
        <f t="shared" si="63"/>
        <v>Error?</v>
      </c>
    </row>
    <row r="4126" spans="1:4" x14ac:dyDescent="0.2">
      <c r="A4126" s="5">
        <v>4065</v>
      </c>
      <c r="B4126" s="138">
        <f>'Acct Summary 7-8'!G10</f>
        <v>1103012</v>
      </c>
      <c r="C4126" s="2" t="s">
        <v>573</v>
      </c>
      <c r="D4126" s="2" t="str">
        <f t="shared" si="63"/>
        <v>Error?</v>
      </c>
    </row>
    <row r="4127" spans="1:4" x14ac:dyDescent="0.2">
      <c r="A4127" s="5">
        <v>4066</v>
      </c>
      <c r="B4127" s="138">
        <f>'Acct Summary 7-8'!H10</f>
        <v>992</v>
      </c>
      <c r="C4127" s="2" t="s">
        <v>573</v>
      </c>
      <c r="D4127" s="2" t="str">
        <f t="shared" si="63"/>
        <v>Error?</v>
      </c>
    </row>
    <row r="4128" spans="1:4" x14ac:dyDescent="0.2">
      <c r="A4128" s="5">
        <v>4067</v>
      </c>
      <c r="B4128" s="138">
        <f>'Acct Summary 7-8'!I10</f>
        <v>317337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10124811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37006822</v>
      </c>
      <c r="C4136" s="2" t="s">
        <v>573</v>
      </c>
      <c r="D4136" s="2" t="str">
        <f t="shared" si="63"/>
        <v>Error?</v>
      </c>
    </row>
    <row r="4137" spans="1:4" x14ac:dyDescent="0.2">
      <c r="A4137" s="5">
        <v>4076</v>
      </c>
      <c r="B4137" s="138">
        <f>'Acct Summary 7-8'!D19</f>
        <v>5672774</v>
      </c>
      <c r="C4137" s="2" t="s">
        <v>573</v>
      </c>
      <c r="D4137" s="2" t="str">
        <f t="shared" si="63"/>
        <v>Error?</v>
      </c>
    </row>
    <row r="4138" spans="1:4" x14ac:dyDescent="0.2">
      <c r="A4138" s="5">
        <v>4077</v>
      </c>
      <c r="B4138" s="138">
        <f>'Acct Summary 7-8'!E19</f>
        <v>1602108</v>
      </c>
      <c r="C4138" s="2" t="s">
        <v>573</v>
      </c>
      <c r="D4138" s="2" t="str">
        <f t="shared" si="63"/>
        <v>Error?</v>
      </c>
    </row>
    <row r="4139" spans="1:4" x14ac:dyDescent="0.2">
      <c r="A4139" s="5">
        <v>4078</v>
      </c>
      <c r="B4139" s="138">
        <f>'Acct Summary 7-8'!F19</f>
        <v>1151900</v>
      </c>
      <c r="C4139" s="2" t="s">
        <v>573</v>
      </c>
      <c r="D4139" s="2" t="str">
        <f t="shared" si="63"/>
        <v>Error?</v>
      </c>
    </row>
    <row r="4140" spans="1:4" x14ac:dyDescent="0.2">
      <c r="A4140" s="5">
        <v>4079</v>
      </c>
      <c r="B4140" s="138">
        <f>'Acct Summary 7-8'!G19</f>
        <v>997558</v>
      </c>
      <c r="C4140" s="2" t="s">
        <v>573</v>
      </c>
      <c r="D4140" s="2" t="str">
        <f t="shared" si="63"/>
        <v>Error?</v>
      </c>
    </row>
    <row r="4141" spans="1:4" x14ac:dyDescent="0.2">
      <c r="A4141" s="5">
        <v>4080</v>
      </c>
      <c r="B4141" s="138">
        <f>'Acct Summary 7-8'!H19</f>
        <v>505372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7054632</v>
      </c>
      <c r="C4171" s="2" t="s">
        <v>573</v>
      </c>
      <c r="D4171" s="2" t="str">
        <f t="shared" si="64"/>
        <v>Error?</v>
      </c>
    </row>
    <row r="4172" spans="1:4" x14ac:dyDescent="0.2">
      <c r="A4172" s="5">
        <v>4111</v>
      </c>
      <c r="B4172" s="138">
        <f>'Short-Term Long-Term Debt 24'!J49</f>
        <v>6934898</v>
      </c>
      <c r="C4172" s="2" t="s">
        <v>573</v>
      </c>
      <c r="D4172" s="2" t="str">
        <f t="shared" si="64"/>
        <v>Error?</v>
      </c>
    </row>
    <row r="4173" spans="1:4" x14ac:dyDescent="0.2">
      <c r="A4173" s="5">
        <v>4112</v>
      </c>
      <c r="B4173" s="138">
        <f>'Short-Term Long-Term Debt 24'!H49</f>
        <v>1663987</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180862</v>
      </c>
      <c r="D4210" s="2" t="str">
        <f t="shared" si="64"/>
        <v>Error?</v>
      </c>
    </row>
    <row r="4211" spans="1:4" x14ac:dyDescent="0.2">
      <c r="A4211" s="5">
        <v>4150</v>
      </c>
      <c r="B4211" s="138">
        <f>'Expenditures 15-22'!K206</f>
        <v>180862</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3846.2200000000003</v>
      </c>
      <c r="C4265" s="2" t="s">
        <v>573</v>
      </c>
      <c r="D4265" s="2" t="str">
        <f t="shared" si="65"/>
        <v>Error?</v>
      </c>
      <c r="E4265" s="128"/>
    </row>
    <row r="4266" spans="1:5" x14ac:dyDescent="0.2">
      <c r="A4266" s="12">
        <v>4205</v>
      </c>
      <c r="B4266" s="138">
        <f>('FP Info 3'!F10)*100000</f>
        <v>728.72</v>
      </c>
      <c r="C4266" s="2" t="s">
        <v>573</v>
      </c>
      <c r="D4266" s="2" t="str">
        <f t="shared" si="65"/>
        <v>Error?</v>
      </c>
      <c r="E4266" s="128"/>
    </row>
    <row r="4267" spans="1:5" x14ac:dyDescent="0.2">
      <c r="A4267" s="12">
        <v>4206</v>
      </c>
      <c r="B4267" s="138">
        <f>('FP Info 3'!H10)*100000</f>
        <v>113.24</v>
      </c>
      <c r="C4267" s="2" t="s">
        <v>573</v>
      </c>
      <c r="D4267" s="2" t="str">
        <f t="shared" si="65"/>
        <v>Error?</v>
      </c>
      <c r="E4267" s="128"/>
    </row>
    <row r="4268" spans="1:5" x14ac:dyDescent="0.2">
      <c r="A4268" s="12">
        <v>4207</v>
      </c>
      <c r="B4268" s="138">
        <f>('FP Info 3'!J10)*100000</f>
        <v>4688</v>
      </c>
      <c r="C4268" s="2" t="s">
        <v>573</v>
      </c>
      <c r="D4268" s="2" t="str">
        <f t="shared" si="65"/>
        <v>Error?</v>
      </c>
    </row>
    <row r="4269" spans="1:5" x14ac:dyDescent="0.2">
      <c r="A4269" s="12">
        <v>4208</v>
      </c>
      <c r="B4269" s="138">
        <f>'FP Info 3'!J16</f>
        <v>32039581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10790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44007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71559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44561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49.67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14581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584559550</v>
      </c>
      <c r="D4995" s="2" t="str">
        <f t="shared" si="77"/>
        <v>Error?</v>
      </c>
    </row>
    <row r="4996" spans="1:4" x14ac:dyDescent="0.2">
      <c r="A4996" s="12">
        <v>4935</v>
      </c>
      <c r="B4996" s="138">
        <f>'FP Info 3'!H31</f>
        <v>80669217.900000006</v>
      </c>
      <c r="D4996" s="2" t="str">
        <f t="shared" si="77"/>
        <v>Error?</v>
      </c>
    </row>
    <row r="4997" spans="1:4" x14ac:dyDescent="0.2">
      <c r="A4997" s="12">
        <v>4936</v>
      </c>
      <c r="B4997" s="138">
        <f>'FP Info 3'!H37</f>
        <v>7054632</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21639791</v>
      </c>
      <c r="D5061" s="2" t="str">
        <f t="shared" si="78"/>
        <v>Error?</v>
      </c>
    </row>
    <row r="5062" spans="1:4" x14ac:dyDescent="0.2">
      <c r="A5062" s="10">
        <v>5001</v>
      </c>
      <c r="D5062" s="2" t="str">
        <f t="shared" si="78"/>
        <v>OK</v>
      </c>
    </row>
    <row r="5063" spans="1:4" x14ac:dyDescent="0.2">
      <c r="A5063" s="5">
        <v>5002</v>
      </c>
      <c r="B5063" s="138">
        <f>'Revenues 9-14'!C7</f>
        <v>247367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21887158</v>
      </c>
      <c r="C5066" s="2" t="s">
        <v>573</v>
      </c>
      <c r="D5066" s="2" t="str">
        <f t="shared" si="78"/>
        <v>Error?</v>
      </c>
    </row>
    <row r="5067" spans="1:4" x14ac:dyDescent="0.2">
      <c r="A5067" s="5">
        <v>5006</v>
      </c>
      <c r="B5067" s="138">
        <f>'Revenues 9-14'!C14</f>
        <v>17400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17400</v>
      </c>
      <c r="C5071" s="2" t="s">
        <v>573</v>
      </c>
      <c r="D5071" s="2" t="str">
        <f t="shared" si="78"/>
        <v>Error?</v>
      </c>
    </row>
    <row r="5072" spans="1:4" x14ac:dyDescent="0.2">
      <c r="A5072" s="5">
        <v>5011</v>
      </c>
      <c r="B5072" s="138">
        <f>'Revenues 9-14'!C20</f>
        <v>22916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9315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33851</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66082</v>
      </c>
      <c r="C5087" s="2" t="s">
        <v>573</v>
      </c>
      <c r="D5087" s="2" t="str">
        <f t="shared" si="78"/>
        <v>Error?</v>
      </c>
    </row>
    <row r="5088" spans="1:4" x14ac:dyDescent="0.2">
      <c r="A5088" s="5">
        <v>5027</v>
      </c>
      <c r="B5088" s="138">
        <f>'Revenues 9-14'!C65</f>
        <v>478274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478274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15208</v>
      </c>
      <c r="D5095" s="2" t="str">
        <f t="shared" si="78"/>
        <v>Error?</v>
      </c>
    </row>
    <row r="5096" spans="1:4" x14ac:dyDescent="0.2">
      <c r="A5096" s="5">
        <v>5035</v>
      </c>
      <c r="B5096" s="138">
        <f>'Revenues 9-14'!C75</f>
        <v>593356</v>
      </c>
      <c r="C5096" s="2" t="s">
        <v>573</v>
      </c>
      <c r="D5096" s="2" t="str">
        <f t="shared" si="78"/>
        <v>Error?</v>
      </c>
    </row>
    <row r="5097" spans="1:4" x14ac:dyDescent="0.2">
      <c r="A5097" s="5">
        <v>5036</v>
      </c>
      <c r="B5097" s="138">
        <f>'Revenues 9-14'!C77</f>
        <v>48797</v>
      </c>
      <c r="D5097" s="2" t="str">
        <f t="shared" si="78"/>
        <v>Error?</v>
      </c>
    </row>
    <row r="5098" spans="1:4" x14ac:dyDescent="0.2">
      <c r="A5098" s="5">
        <v>5037</v>
      </c>
      <c r="B5098" s="138">
        <f>'Revenues 9-14'!C78</f>
        <v>4750</v>
      </c>
      <c r="D5098" s="2" t="str">
        <f t="shared" si="78"/>
        <v>Error?</v>
      </c>
    </row>
    <row r="5099" spans="1:4" x14ac:dyDescent="0.2">
      <c r="A5099" s="5">
        <v>5038</v>
      </c>
      <c r="B5099" s="138">
        <f>'Revenues 9-14'!C79</f>
        <v>196625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250172</v>
      </c>
      <c r="C5102" s="2" t="s">
        <v>573</v>
      </c>
      <c r="D5102" s="2" t="str">
        <f t="shared" si="78"/>
        <v>Error?</v>
      </c>
    </row>
    <row r="5103" spans="1:4" x14ac:dyDescent="0.2">
      <c r="A5103" s="5">
        <v>5042</v>
      </c>
      <c r="B5103" s="138">
        <f>'Revenues 9-14'!C84</f>
        <v>301658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301658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11950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188012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99771</v>
      </c>
      <c r="D5119" s="2" t="str">
        <f t="shared" ref="D5119:D5182" si="79">IF(ISBLANK(B5119),"OK",IF(A5119-B5119=0,"OK","Error?"))</f>
        <v>Error?</v>
      </c>
    </row>
    <row r="5120" spans="1:4" x14ac:dyDescent="0.2">
      <c r="A5120" s="5">
        <v>5059</v>
      </c>
      <c r="B5120" s="138">
        <f>'Revenues 9-14'!C108</f>
        <v>299733</v>
      </c>
      <c r="C5120" s="2" t="s">
        <v>573</v>
      </c>
      <c r="D5120" s="2" t="str">
        <f t="shared" si="79"/>
        <v>Error?</v>
      </c>
    </row>
    <row r="5121" spans="1:4" x14ac:dyDescent="0.2">
      <c r="A5121" s="5">
        <v>5060</v>
      </c>
      <c r="B5121" s="138">
        <f>'Revenues 9-14'!C109</f>
        <v>23893833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1639974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1639974</v>
      </c>
      <c r="C5132" s="2" t="s">
        <v>573</v>
      </c>
      <c r="D5132" s="2" t="str">
        <f t="shared" si="79"/>
        <v>Error?</v>
      </c>
    </row>
    <row r="5133" spans="1:4" x14ac:dyDescent="0.2">
      <c r="A5133" s="5">
        <v>5072</v>
      </c>
      <c r="B5133" s="138">
        <f>'Revenues 9-14'!C125</f>
        <v>132476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372258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504734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48177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48177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2642</v>
      </c>
      <c r="D5167" s="2" t="str">
        <f t="shared" si="79"/>
        <v>Error?</v>
      </c>
    </row>
    <row r="5168" spans="1:4" x14ac:dyDescent="0.2">
      <c r="A5168" s="5">
        <v>5107</v>
      </c>
      <c r="B5168" s="138">
        <f>'Revenues 9-14'!C148</f>
        <v>38718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608852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2248826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218199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218199</v>
      </c>
      <c r="C5246" s="2" t="s">
        <v>573</v>
      </c>
      <c r="D5246" s="2" t="str">
        <f t="shared" si="80"/>
        <v>Error?</v>
      </c>
    </row>
    <row r="5247" spans="1:4" x14ac:dyDescent="0.2">
      <c r="A5247" s="5">
        <v>5186</v>
      </c>
      <c r="B5247" s="138">
        <f>'Revenues 9-14'!C200</f>
        <v>119789</v>
      </c>
      <c r="D5247" s="2" t="str">
        <f t="shared" ref="D5247:D5310" si="81">IF(ISBLANK(B5247),"OK",IF(A5247-B5247=0,"OK","Error?"))</f>
        <v>Error?</v>
      </c>
    </row>
    <row r="5248" spans="1:4" x14ac:dyDescent="0.2">
      <c r="A5248" s="5">
        <v>5187</v>
      </c>
      <c r="B5248" s="138">
        <f>'Revenues 9-14'!C201</f>
        <v>43562</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163351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39435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338780</v>
      </c>
      <c r="D5278" s="2" t="str">
        <f t="shared" si="81"/>
        <v>Error?</v>
      </c>
    </row>
    <row r="5279" spans="1:4" x14ac:dyDescent="0.2">
      <c r="A5279" s="5">
        <v>5218</v>
      </c>
      <c r="B5279" s="138">
        <f>'Revenues 9-14'!C214</f>
        <v>262626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651631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1193308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1193308</v>
      </c>
      <c r="C5326" s="2" t="s">
        <v>573</v>
      </c>
      <c r="D5326" s="2" t="str">
        <f t="shared" si="82"/>
        <v>Error?</v>
      </c>
    </row>
    <row r="5327" spans="1:5" x14ac:dyDescent="0.2">
      <c r="A5327" s="5">
        <v>5266</v>
      </c>
      <c r="B5327" s="138">
        <f>'Revenues 9-14'!C268</f>
        <v>27335967</v>
      </c>
      <c r="C5327" s="2" t="s">
        <v>573</v>
      </c>
      <c r="D5327" s="2" t="str">
        <f t="shared" si="82"/>
        <v>Error?</v>
      </c>
    </row>
    <row r="5328" spans="1:5" x14ac:dyDescent="0.2">
      <c r="A5328" s="5">
        <v>5267</v>
      </c>
      <c r="B5328" s="138">
        <f>'Revenues 9-14'!D5</f>
        <v>4095118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4095118</v>
      </c>
      <c r="C5334" s="2" t="s">
        <v>573</v>
      </c>
      <c r="D5334" s="2" t="str">
        <f t="shared" si="82"/>
        <v>Error?</v>
      </c>
    </row>
    <row r="5335" spans="1:4" x14ac:dyDescent="0.2">
      <c r="A5335" s="5">
        <v>5274</v>
      </c>
      <c r="B5335" s="138">
        <f>'Revenues 9-14'!D14</f>
        <v>3256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974055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977311</v>
      </c>
      <c r="C5339" s="2" t="s">
        <v>573</v>
      </c>
      <c r="D5339" s="2" t="str">
        <f t="shared" si="82"/>
        <v>Error?</v>
      </c>
    </row>
    <row r="5340" spans="1:4" x14ac:dyDescent="0.2">
      <c r="A5340" s="5">
        <v>5279</v>
      </c>
      <c r="B5340" s="138">
        <f>'Revenues 9-14'!D65</f>
        <v>184533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184533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63727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3904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67631</v>
      </c>
      <c r="C5355" s="2" t="s">
        <v>573</v>
      </c>
      <c r="D5355" s="2" t="str">
        <f t="shared" si="82"/>
        <v>Error?</v>
      </c>
    </row>
    <row r="5356" spans="1:4" x14ac:dyDescent="0.2">
      <c r="A5356" s="5">
        <v>5295</v>
      </c>
      <c r="B5356" s="138">
        <f>'Revenues 9-14'!D109</f>
        <v>5324593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700000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700000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700000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6024593</v>
      </c>
      <c r="C5508" s="2" t="s">
        <v>573</v>
      </c>
      <c r="D5508" s="2" t="str">
        <f t="shared" si="85"/>
        <v>Error?</v>
      </c>
    </row>
    <row r="5509" spans="1:4" x14ac:dyDescent="0.2">
      <c r="A5509" s="5">
        <v>5448</v>
      </c>
      <c r="B5509" s="138">
        <f>'Revenues 9-14'!E5</f>
        <v>1270831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1270831</v>
      </c>
      <c r="C5513" s="2" t="s">
        <v>573</v>
      </c>
      <c r="D5513" s="2" t="str">
        <f t="shared" si="85"/>
        <v>Error?</v>
      </c>
    </row>
    <row r="5514" spans="1:4" x14ac:dyDescent="0.2">
      <c r="A5514" s="5">
        <v>5453</v>
      </c>
      <c r="B5514" s="138">
        <f>'Revenues 9-14'!E14</f>
        <v>1010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1010</v>
      </c>
      <c r="C5518" s="2" t="s">
        <v>573</v>
      </c>
      <c r="D5518" s="2" t="str">
        <f t="shared" si="85"/>
        <v>Error?</v>
      </c>
    </row>
    <row r="5519" spans="1:4" x14ac:dyDescent="0.2">
      <c r="A5519" s="5">
        <v>5458</v>
      </c>
      <c r="B5519" s="138">
        <f>'Revenues 9-14'!E65</f>
        <v>11296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11296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1283137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1283137</v>
      </c>
      <c r="C5552" s="2" t="s">
        <v>573</v>
      </c>
      <c r="D5552" s="2" t="str">
        <f t="shared" si="85"/>
        <v>Error?</v>
      </c>
    </row>
    <row r="5553" spans="1:4" x14ac:dyDescent="0.2">
      <c r="A5553" s="5">
        <v>5492</v>
      </c>
      <c r="B5553" s="138">
        <f>'Revenues 9-14'!F5</f>
        <v>637090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637090</v>
      </c>
      <c r="C5557" s="2" t="s">
        <v>573</v>
      </c>
      <c r="D5557" s="2" t="str">
        <f t="shared" si="85"/>
        <v>Error?</v>
      </c>
    </row>
    <row r="5558" spans="1:4" x14ac:dyDescent="0.2">
      <c r="A5558" s="5">
        <v>5497</v>
      </c>
      <c r="B5558" s="138">
        <f>'Revenues 9-14'!F14</f>
        <v>506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506</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11448</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11448</v>
      </c>
      <c r="C5579" s="2" t="s">
        <v>573</v>
      </c>
      <c r="D5579" s="2" t="str">
        <f t="shared" si="86"/>
        <v>Error?</v>
      </c>
    </row>
    <row r="5580" spans="1:4" x14ac:dyDescent="0.2">
      <c r="A5580" s="5">
        <v>5519</v>
      </c>
      <c r="B5580" s="138">
        <f>'Revenues 9-14'!F65</f>
        <v>30912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30912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679956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17010</v>
      </c>
      <c r="D5615" s="2" t="str">
        <f t="shared" si="86"/>
        <v>Error?</v>
      </c>
    </row>
    <row r="5616" spans="1:4" x14ac:dyDescent="0.2">
      <c r="A5616" s="10">
        <v>5555</v>
      </c>
      <c r="D5616" s="2" t="str">
        <f t="shared" si="86"/>
        <v>OK</v>
      </c>
    </row>
    <row r="5617" spans="1:5" x14ac:dyDescent="0.2">
      <c r="A5617" s="5">
        <v>5556</v>
      </c>
      <c r="B5617" s="138">
        <f>'Revenues 9-14'!F153</f>
        <v>260439</v>
      </c>
      <c r="D5617" s="2" t="str">
        <f t="shared" si="86"/>
        <v>Error?</v>
      </c>
    </row>
    <row r="5618" spans="1:5" x14ac:dyDescent="0.2">
      <c r="A5618" s="5">
        <v>5557</v>
      </c>
      <c r="B5618" s="138">
        <f>'Revenues 9-14'!F155</f>
        <v>277449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277449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277449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957405</v>
      </c>
      <c r="C5720" s="2" t="s">
        <v>573</v>
      </c>
      <c r="D5720" s="2" t="str">
        <f t="shared" si="88"/>
        <v>Error?</v>
      </c>
    </row>
    <row r="5721" spans="1:4" x14ac:dyDescent="0.2">
      <c r="A5721" s="5">
        <v>5660</v>
      </c>
      <c r="B5721" s="138">
        <f>'Revenues 9-14'!G5</f>
        <v>340009</v>
      </c>
      <c r="D5721" s="2" t="str">
        <f t="shared" si="88"/>
        <v>Error?</v>
      </c>
    </row>
    <row r="5722" spans="1:4" x14ac:dyDescent="0.2">
      <c r="A5722" s="5">
        <v>5661</v>
      </c>
      <c r="B5722" s="138">
        <f>'Revenues 9-14'!G7</f>
        <v>0</v>
      </c>
      <c r="D5722" s="2" t="str">
        <f t="shared" si="88"/>
        <v>Error?</v>
      </c>
    </row>
    <row r="5723" spans="1:4" x14ac:dyDescent="0.2">
      <c r="A5723" s="5">
        <v>5662</v>
      </c>
      <c r="B5723" s="138">
        <f>'Revenues 9-14'!G8</f>
        <v>444315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784324</v>
      </c>
      <c r="C5725" s="2" t="s">
        <v>573</v>
      </c>
      <c r="D5725" s="2" t="str">
        <f t="shared" si="88"/>
        <v>Error?</v>
      </c>
    </row>
    <row r="5726" spans="1:4" x14ac:dyDescent="0.2">
      <c r="A5726" s="5">
        <v>5665</v>
      </c>
      <c r="B5726" s="138">
        <f>'Revenues 9-14'!G14</f>
        <v>624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300624</v>
      </c>
      <c r="C5730" s="2" t="s">
        <v>573</v>
      </c>
      <c r="D5730" s="2" t="str">
        <f t="shared" si="88"/>
        <v>Error?</v>
      </c>
    </row>
    <row r="5731" spans="1:4" x14ac:dyDescent="0.2">
      <c r="A5731" s="5">
        <v>5670</v>
      </c>
      <c r="B5731" s="138">
        <f>'Revenues 9-14'!G65</f>
        <v>18064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18064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1103012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992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992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992</v>
      </c>
      <c r="C5915" s="2" t="s">
        <v>573</v>
      </c>
      <c r="D5915" s="2" t="str">
        <f t="shared" si="91"/>
        <v>Error?</v>
      </c>
    </row>
    <row r="5916" spans="1:4" x14ac:dyDescent="0.2">
      <c r="A5916" s="5">
        <v>5855</v>
      </c>
      <c r="B5916" s="138">
        <f>'Revenues 9-14'!I5</f>
        <v>284271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284271</v>
      </c>
      <c r="C5918" s="2" t="s">
        <v>573</v>
      </c>
      <c r="D5918" s="2" t="str">
        <f t="shared" si="91"/>
        <v>Error?</v>
      </c>
    </row>
    <row r="5919" spans="1:4" x14ac:dyDescent="0.2">
      <c r="A5919" s="5">
        <v>5858</v>
      </c>
      <c r="B5919" s="138">
        <f>'Revenues 9-14'!I14</f>
        <v>226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226</v>
      </c>
      <c r="C5923" s="2" t="s">
        <v>573</v>
      </c>
      <c r="D5923" s="2" t="str">
        <f t="shared" si="91"/>
        <v>Error?</v>
      </c>
    </row>
    <row r="5924" spans="1:4" x14ac:dyDescent="0.2">
      <c r="A5924" s="5">
        <v>5863</v>
      </c>
      <c r="B5924" s="138">
        <f>'Revenues 9-14'!I65</f>
        <v>32840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32840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317337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1103012</v>
      </c>
      <c r="C6024" s="2" t="s">
        <v>573</v>
      </c>
      <c r="D6024" s="2" t="str">
        <f t="shared" si="93"/>
        <v>Error?</v>
      </c>
    </row>
    <row r="6025" spans="1:5" x14ac:dyDescent="0.2">
      <c r="A6025" s="5">
        <v>5964</v>
      </c>
      <c r="B6025" s="138">
        <f>'Revenues 9-14'!H109</f>
        <v>992</v>
      </c>
      <c r="C6025" s="2" t="s">
        <v>573</v>
      </c>
      <c r="D6025" s="2" t="str">
        <f t="shared" si="93"/>
        <v>Error?</v>
      </c>
    </row>
    <row r="6026" spans="1:5" x14ac:dyDescent="0.2">
      <c r="A6026" s="5">
        <v>5965</v>
      </c>
      <c r="B6026" s="138">
        <f>'Revenues 9-14'!I109</f>
        <v>317337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578148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60523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2866.9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189131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189131</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189131</v>
      </c>
      <c r="D6216" s="2" t="str">
        <f t="shared" si="96"/>
        <v>Error?</v>
      </c>
      <c r="E6216" s="2" t="s">
        <v>190</v>
      </c>
    </row>
    <row r="6217" spans="1:5" x14ac:dyDescent="0.2">
      <c r="A6217">
        <v>6156</v>
      </c>
      <c r="B6217" s="138">
        <f>'Assets-Liab 5-6'!J4</f>
        <v>189131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424190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424190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424190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358594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358594</v>
      </c>
      <c r="D6229" s="2" t="str">
        <f t="shared" si="96"/>
        <v>Error?</v>
      </c>
      <c r="E6229" s="2" t="s">
        <v>190</v>
      </c>
    </row>
    <row r="6230" spans="1:5" x14ac:dyDescent="0.2">
      <c r="A6230">
        <v>6169</v>
      </c>
      <c r="B6230" s="138">
        <f>'Acct Summary 7-8'!J20</f>
        <v>65596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65596</v>
      </c>
      <c r="D6263" s="2" t="str">
        <f t="shared" si="96"/>
        <v>Error?</v>
      </c>
      <c r="E6263" s="2" t="s">
        <v>190</v>
      </c>
    </row>
    <row r="6264" spans="1:5" x14ac:dyDescent="0.2">
      <c r="A6264">
        <v>6203</v>
      </c>
      <c r="B6264" s="138">
        <f>'Acct Summary 7-8'!J79</f>
        <v>123535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189131</v>
      </c>
      <c r="D6266" s="2" t="str">
        <f t="shared" si="96"/>
        <v>Error?</v>
      </c>
      <c r="E6266" s="2" t="s">
        <v>190</v>
      </c>
    </row>
    <row r="6267" spans="1:5" x14ac:dyDescent="0.2">
      <c r="A6267">
        <v>6206</v>
      </c>
      <c r="B6267" s="138">
        <f>'Acct Summary 7-8'!C82</f>
        <v>122293</v>
      </c>
      <c r="D6267" s="2" t="str">
        <f t="shared" si="96"/>
        <v>Error?</v>
      </c>
      <c r="E6267" s="2" t="s">
        <v>190</v>
      </c>
    </row>
    <row r="6268" spans="1:5" x14ac:dyDescent="0.2">
      <c r="A6268">
        <v>6207</v>
      </c>
      <c r="B6268" s="138">
        <f>'Acct Summary 7-8'!D82</f>
        <v>617325</v>
      </c>
      <c r="D6268" s="2" t="str">
        <f t="shared" si="96"/>
        <v>Error?</v>
      </c>
      <c r="E6268" s="2" t="s">
        <v>190</v>
      </c>
    </row>
    <row r="6269" spans="1:5" x14ac:dyDescent="0.2">
      <c r="A6269">
        <v>6208</v>
      </c>
      <c r="B6269" s="138">
        <f>'Acct Summary 7-8'!E82</f>
        <v>12842</v>
      </c>
      <c r="D6269" s="2" t="str">
        <f t="shared" si="96"/>
        <v>Error?</v>
      </c>
      <c r="E6269" s="2" t="s">
        <v>190</v>
      </c>
    </row>
    <row r="6270" spans="1:5" x14ac:dyDescent="0.2">
      <c r="A6270">
        <v>6209</v>
      </c>
      <c r="B6270" s="138">
        <f>'Acct Summary 7-8'!F82</f>
        <v>-194495</v>
      </c>
      <c r="D6270" s="2" t="str">
        <f t="shared" si="96"/>
        <v>Error?</v>
      </c>
      <c r="E6270" s="2" t="s">
        <v>190</v>
      </c>
    </row>
    <row r="6271" spans="1:5" x14ac:dyDescent="0.2">
      <c r="A6271">
        <v>6210</v>
      </c>
      <c r="B6271" s="138">
        <f>'Acct Summary 7-8'!G82</f>
        <v>105454</v>
      </c>
      <c r="D6271" s="2" t="str">
        <f t="shared" ref="D6271:D6334" si="97">IF(ISBLANK(B6271),"OK",IF(A6271-B6271=0,"OK","Error?"))</f>
        <v>Error?</v>
      </c>
      <c r="E6271" s="2" t="s">
        <v>190</v>
      </c>
    </row>
    <row r="6272" spans="1:5" x14ac:dyDescent="0.2">
      <c r="A6272">
        <v>6211</v>
      </c>
      <c r="B6272" s="138">
        <f>'Acct Summary 7-8'!H82</f>
        <v>-504380</v>
      </c>
      <c r="D6272" s="2" t="str">
        <f t="shared" si="97"/>
        <v>Error?</v>
      </c>
      <c r="E6272" s="2" t="s">
        <v>190</v>
      </c>
    </row>
    <row r="6273" spans="1:5" x14ac:dyDescent="0.2">
      <c r="A6273">
        <v>6212</v>
      </c>
      <c r="B6273" s="138">
        <f>'Acct Summary 7-8'!I82</f>
        <v>317337</v>
      </c>
      <c r="D6273" s="2" t="str">
        <f t="shared" si="97"/>
        <v>Error?</v>
      </c>
      <c r="E6273" s="2" t="s">
        <v>190</v>
      </c>
    </row>
    <row r="6274" spans="1:5" x14ac:dyDescent="0.2">
      <c r="A6274">
        <v>6213</v>
      </c>
      <c r="B6274" s="138">
        <f>'Acct Summary 7-8'!J82</f>
        <v>65596</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6.6497894810621586E-3</v>
      </c>
      <c r="D6276" s="2" t="str">
        <f t="shared" si="97"/>
        <v>Error?</v>
      </c>
      <c r="E6276" s="2" t="s">
        <v>190</v>
      </c>
    </row>
    <row r="6277" spans="1:5" x14ac:dyDescent="0.2">
      <c r="A6277">
        <v>6216</v>
      </c>
      <c r="B6277" s="138">
        <f>'Acct Summary 7-8'!D83</f>
        <v>6.3921458381546878E-2</v>
      </c>
      <c r="D6277" s="2" t="str">
        <f t="shared" si="97"/>
        <v>Error?</v>
      </c>
      <c r="E6277" s="2" t="s">
        <v>190</v>
      </c>
    </row>
    <row r="6278" spans="1:5" x14ac:dyDescent="0.2">
      <c r="A6278">
        <v>6217</v>
      </c>
      <c r="B6278" s="138">
        <f>'Acct Summary 7-8'!E83</f>
        <v>0.10725441395092455</v>
      </c>
      <c r="D6278" s="2" t="str">
        <f t="shared" si="97"/>
        <v>Error?</v>
      </c>
      <c r="E6278" s="2" t="s">
        <v>190</v>
      </c>
    </row>
    <row r="6279" spans="1:5" x14ac:dyDescent="0.2">
      <c r="A6279">
        <v>6218</v>
      </c>
      <c r="B6279" s="138">
        <f>'Acct Summary 7-8'!F83</f>
        <v>-0.16956503923635358</v>
      </c>
      <c r="D6279" s="2" t="str">
        <f t="shared" si="97"/>
        <v>Error?</v>
      </c>
      <c r="E6279" s="2" t="s">
        <v>190</v>
      </c>
    </row>
    <row r="6280" spans="1:5" x14ac:dyDescent="0.2">
      <c r="A6280">
        <v>6219</v>
      </c>
      <c r="B6280" s="138">
        <f>'Acct Summary 7-8'!G83</f>
        <v>0.16285929614094477</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0.11156176700547303</v>
      </c>
      <c r="D6282" s="2" t="str">
        <f t="shared" si="97"/>
        <v>Error?</v>
      </c>
      <c r="E6282" s="2" t="s">
        <v>190</v>
      </c>
    </row>
    <row r="6283" spans="1:5" x14ac:dyDescent="0.2">
      <c r="A6283">
        <v>6222</v>
      </c>
      <c r="B6283" s="138">
        <f>'Acct Summary 7-8'!J83</f>
        <v>0.34682838878872319</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328125</v>
      </c>
      <c r="D6285" s="2" t="str">
        <f t="shared" si="97"/>
        <v>Error?</v>
      </c>
      <c r="E6285" s="2" t="s">
        <v>190</v>
      </c>
    </row>
    <row r="6286" spans="1:5" x14ac:dyDescent="0.2">
      <c r="A6286">
        <v>6225</v>
      </c>
      <c r="B6286" s="138">
        <f>'Acct Summary 7-8'!E38</f>
        <v>3688</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423218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423218</v>
      </c>
      <c r="D6301" s="2" t="str">
        <f t="shared" si="97"/>
        <v>Error?</v>
      </c>
      <c r="E6301" s="2" t="s">
        <v>190</v>
      </c>
    </row>
    <row r="6302" spans="1:5" x14ac:dyDescent="0.2">
      <c r="A6302">
        <v>6241</v>
      </c>
      <c r="B6302" s="138">
        <f>'Revenues 9-14'!J14</f>
        <v>336</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336</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636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636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424190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113650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130795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196155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2371</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2371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2371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221913</v>
      </c>
      <c r="D6983" s="2" t="str">
        <f t="shared" si="108"/>
        <v>Error?</v>
      </c>
    </row>
    <row r="6984" spans="1:4" x14ac:dyDescent="0.2">
      <c r="A6984">
        <v>6923</v>
      </c>
      <c r="B6984" s="138">
        <f>'Expenditures 15-22'!K86</f>
        <v>221913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221913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99</v>
      </c>
      <c r="D7018" s="2" t="str">
        <f t="shared" si="108"/>
        <v>Error?</v>
      </c>
    </row>
    <row r="7019" spans="1:4" x14ac:dyDescent="0.2">
      <c r="A7019">
        <v>6958</v>
      </c>
      <c r="B7019" s="138">
        <f>'Expenditures 15-22'!K112</f>
        <v>99</v>
      </c>
      <c r="D7019" s="2" t="str">
        <f t="shared" si="108"/>
        <v>Error?</v>
      </c>
    </row>
    <row r="7020" spans="1:4" x14ac:dyDescent="0.2">
      <c r="A7020">
        <v>6959</v>
      </c>
      <c r="B7020" s="138">
        <f>'Expenditures 15-22'!I114</f>
        <v>2371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358594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424190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10180</v>
      </c>
      <c r="D7067" s="2" t="str">
        <f t="shared" si="109"/>
        <v>Error?</v>
      </c>
    </row>
    <row r="7068" spans="1:4" x14ac:dyDescent="0.2">
      <c r="A7068">
        <v>7007</v>
      </c>
      <c r="B7068" s="138">
        <f>'Expenditures 15-22'!K205</f>
        <v>10180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5964</v>
      </c>
      <c r="D7073" s="2" t="str">
        <f t="shared" si="109"/>
        <v>Error?</v>
      </c>
    </row>
    <row r="7074" spans="1:4" x14ac:dyDescent="0.2">
      <c r="A7074">
        <v>7013</v>
      </c>
      <c r="B7074" s="138">
        <f>'Expenditures 15-22'!K216</f>
        <v>5964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1988</v>
      </c>
      <c r="D7079" s="2" t="str">
        <f t="shared" si="109"/>
        <v>Error?</v>
      </c>
    </row>
    <row r="7080" spans="1:4" x14ac:dyDescent="0.2">
      <c r="A7080">
        <v>7019</v>
      </c>
      <c r="B7080" s="138">
        <f>'Expenditures 15-22'!K226</f>
        <v>1988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122557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122557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222848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222848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13189</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13189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345405</v>
      </c>
      <c r="D7201" s="2" t="str">
        <f t="shared" si="111"/>
        <v>Error?</v>
      </c>
    </row>
    <row r="7202" spans="1:4" x14ac:dyDescent="0.2">
      <c r="A7202">
        <v>7141</v>
      </c>
      <c r="B7202" s="138">
        <f>'Expenditures 15-22'!F330</f>
        <v>13189</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358594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345405</v>
      </c>
      <c r="D7218" s="2" t="str">
        <f t="shared" si="111"/>
        <v>Error?</v>
      </c>
    </row>
    <row r="7219" spans="1:4" x14ac:dyDescent="0.2">
      <c r="A7219">
        <v>7158</v>
      </c>
      <c r="B7219" s="138">
        <f>'Expenditures 15-22'!F342</f>
        <v>13189</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358594</v>
      </c>
      <c r="D7224" s="2" t="str">
        <f t="shared" si="111"/>
        <v>Error?</v>
      </c>
    </row>
    <row r="7225" spans="1:4" x14ac:dyDescent="0.2">
      <c r="A7225">
        <v>7164</v>
      </c>
      <c r="B7225" s="138">
        <f>'Expenditures 15-22'!K343</f>
        <v>65596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12045</v>
      </c>
      <c r="D7246" s="2" t="str">
        <f t="shared" si="112"/>
        <v>Error?</v>
      </c>
    </row>
    <row r="7247" spans="1:4" x14ac:dyDescent="0.2">
      <c r="A7247">
        <f t="shared" si="113"/>
        <v>7186</v>
      </c>
      <c r="B7247" s="138">
        <f>'Expenditures 15-22'!E7</f>
        <v>1800</v>
      </c>
      <c r="D7247" s="2" t="str">
        <f t="shared" si="112"/>
        <v>Error?</v>
      </c>
    </row>
    <row r="7248" spans="1:4" x14ac:dyDescent="0.2">
      <c r="A7248">
        <f t="shared" si="113"/>
        <v>7187</v>
      </c>
      <c r="B7248" s="138">
        <f>'Expenditures 15-22'!F7</f>
        <v>3300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142175</v>
      </c>
      <c r="D7263" s="2" t="str">
        <f t="shared" si="112"/>
        <v>Error?</v>
      </c>
    </row>
    <row r="7264" spans="1:4" x14ac:dyDescent="0.2">
      <c r="A7264">
        <f t="shared" si="113"/>
        <v>7203</v>
      </c>
      <c r="B7264" s="138">
        <f>'Expenditures 15-22'!D17</f>
        <v>43767</v>
      </c>
      <c r="D7264" s="2" t="str">
        <f t="shared" si="112"/>
        <v>Error?</v>
      </c>
    </row>
    <row r="7265" spans="1:5" x14ac:dyDescent="0.2">
      <c r="A7265">
        <f t="shared" si="113"/>
        <v>7204</v>
      </c>
      <c r="B7265" s="138">
        <f>'Expenditures 15-22'!E17</f>
        <v>5523</v>
      </c>
      <c r="D7265" s="2" t="str">
        <f t="shared" si="112"/>
        <v>Error?</v>
      </c>
    </row>
    <row r="7266" spans="1:5" x14ac:dyDescent="0.2">
      <c r="A7266">
        <f t="shared" si="113"/>
        <v>7205</v>
      </c>
      <c r="B7266" s="138">
        <f>'Expenditures 15-22'!F17</f>
        <v>4690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2371</v>
      </c>
      <c r="D7624" s="2" t="str">
        <f t="shared" si="124"/>
        <v>Error?</v>
      </c>
      <c r="E7624" s="2" t="s">
        <v>19</v>
      </c>
    </row>
    <row r="7625" spans="1:5" x14ac:dyDescent="0.2">
      <c r="A7625">
        <f t="shared" si="123"/>
        <v>7564</v>
      </c>
      <c r="B7625" s="138">
        <f>'Cap Outlay Deprec 26'!I17</f>
        <v>237.1</v>
      </c>
      <c r="D7625" s="2" t="str">
        <f t="shared" si="124"/>
        <v>Error?</v>
      </c>
      <c r="E7625" s="2" t="s">
        <v>19</v>
      </c>
    </row>
    <row r="7626" spans="1:5" x14ac:dyDescent="0.2">
      <c r="A7626">
        <f t="shared" si="123"/>
        <v>7565</v>
      </c>
      <c r="D7626" s="2" t="str">
        <f t="shared" si="124"/>
        <v>OK</v>
      </c>
      <c r="E7626" s="4" t="s">
        <v>1331</v>
      </c>
    </row>
    <row r="7627" spans="1:5" x14ac:dyDescent="0.2">
      <c r="A7627">
        <f t="shared" si="123"/>
        <v>7566</v>
      </c>
      <c r="D7627" s="2" t="str">
        <f t="shared" si="124"/>
        <v>OK</v>
      </c>
      <c r="E7627" s="4" t="s">
        <v>1331</v>
      </c>
    </row>
    <row r="7628" spans="1:5" x14ac:dyDescent="0.2">
      <c r="A7628">
        <f t="shared" si="123"/>
        <v>7567</v>
      </c>
      <c r="D7628" s="2" t="str">
        <f t="shared" si="124"/>
        <v>OK</v>
      </c>
      <c r="E7628" s="2" t="s">
        <v>19</v>
      </c>
    </row>
    <row r="7629" spans="1:5" x14ac:dyDescent="0.2">
      <c r="A7629">
        <f t="shared" si="123"/>
        <v>7568</v>
      </c>
      <c r="D7629" s="2" t="str">
        <f t="shared" si="124"/>
        <v>OK</v>
      </c>
      <c r="E7629" s="4" t="s">
        <v>1331</v>
      </c>
    </row>
    <row r="7630" spans="1:5" x14ac:dyDescent="0.2">
      <c r="A7630">
        <f t="shared" ref="A7630:A7650" si="125">A7629+1</f>
        <v>7569</v>
      </c>
      <c r="D7630" s="2" t="str">
        <f t="shared" si="124"/>
        <v>OK</v>
      </c>
      <c r="E7630" s="4" t="s">
        <v>1331</v>
      </c>
    </row>
    <row r="7631" spans="1:5" x14ac:dyDescent="0.2">
      <c r="A7631">
        <f t="shared" si="125"/>
        <v>7570</v>
      </c>
      <c r="B7631" s="138">
        <f>'Cap Outlay Deprec 26'!I18</f>
        <v>2198645.1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1331</v>
      </c>
    </row>
    <row r="7634" spans="1:6" x14ac:dyDescent="0.2">
      <c r="A7634">
        <f t="shared" si="125"/>
        <v>7573</v>
      </c>
      <c r="D7634" s="2" t="str">
        <f t="shared" si="124"/>
        <v>OK</v>
      </c>
      <c r="E7634" s="4" t="s">
        <v>1331</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328125</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3688</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38718</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38718</v>
      </c>
      <c r="D7719" s="2" t="str">
        <f t="shared" si="126"/>
        <v>Error?</v>
      </c>
      <c r="E7719" s="2" t="s">
        <v>827</v>
      </c>
    </row>
    <row r="7720" spans="1:6" x14ac:dyDescent="0.2">
      <c r="A7720">
        <v>7659</v>
      </c>
      <c r="B7720" s="138">
        <f>'Rest Tax Levies-Tort Im 25'!H14</f>
        <v>247367</v>
      </c>
      <c r="D7720" s="2" t="str">
        <f t="shared" si="126"/>
        <v>Error?</v>
      </c>
      <c r="E7720" s="2" t="s">
        <v>827</v>
      </c>
    </row>
    <row r="7721" spans="1:6" x14ac:dyDescent="0.2">
      <c r="A7721">
        <v>7660</v>
      </c>
      <c r="B7721" s="138">
        <f>'Rest Tax Levies-Tort Im 25'!K14</f>
        <v>38718</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1331</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1330</v>
      </c>
    </row>
    <row r="7749" spans="1:6" x14ac:dyDescent="0.2">
      <c r="A7749">
        <v>7688</v>
      </c>
      <c r="B7749" s="138">
        <f>'Acct Summary 7-8'!D25</f>
        <v>0</v>
      </c>
      <c r="D7749" s="2" t="str">
        <f t="shared" si="127"/>
        <v>Error?</v>
      </c>
      <c r="E7749" s="4" t="s">
        <v>1330</v>
      </c>
    </row>
    <row r="7750" spans="1:6" x14ac:dyDescent="0.2">
      <c r="A7750">
        <v>7689</v>
      </c>
      <c r="B7750" s="138">
        <f>'Acct Summary 7-8'!E25</f>
        <v>0</v>
      </c>
      <c r="D7750" s="2" t="str">
        <f t="shared" si="127"/>
        <v>Error?</v>
      </c>
      <c r="E7750" s="4" t="s">
        <v>1330</v>
      </c>
    </row>
    <row r="7751" spans="1:6" x14ac:dyDescent="0.2">
      <c r="A7751">
        <v>7690</v>
      </c>
      <c r="B7751" s="138">
        <f>'Acct Summary 7-8'!F25</f>
        <v>0</v>
      </c>
      <c r="D7751" s="2" t="str">
        <f t="shared" si="127"/>
        <v>Error?</v>
      </c>
      <c r="E7751" s="4" t="s">
        <v>1330</v>
      </c>
    </row>
    <row r="7752" spans="1:6" x14ac:dyDescent="0.2">
      <c r="A7752">
        <v>7691</v>
      </c>
      <c r="B7752" s="138">
        <f>'Acct Summary 7-8'!G25</f>
        <v>0</v>
      </c>
      <c r="D7752" s="2" t="str">
        <f t="shared" si="127"/>
        <v>Error?</v>
      </c>
      <c r="E7752" s="4" t="s">
        <v>1330</v>
      </c>
    </row>
    <row r="7753" spans="1:6" x14ac:dyDescent="0.2">
      <c r="A7753">
        <v>7692</v>
      </c>
      <c r="B7753" s="138">
        <f>'Acct Summary 7-8'!H25</f>
        <v>0</v>
      </c>
      <c r="D7753" s="2" t="str">
        <f t="shared" si="127"/>
        <v>Error?</v>
      </c>
      <c r="E7753" s="4" t="s">
        <v>1330</v>
      </c>
    </row>
    <row r="7754" spans="1:6" x14ac:dyDescent="0.2">
      <c r="A7754">
        <v>7693</v>
      </c>
      <c r="B7754" s="138">
        <f>'Acct Summary 7-8'!J25</f>
        <v>0</v>
      </c>
      <c r="D7754" s="2" t="str">
        <f t="shared" si="127"/>
        <v>Error?</v>
      </c>
      <c r="E7754" s="4" t="s">
        <v>1330</v>
      </c>
    </row>
    <row r="7755" spans="1:6" x14ac:dyDescent="0.2">
      <c r="A7755">
        <v>7694</v>
      </c>
      <c r="B7755" s="138">
        <f>'Acct Summary 7-8'!K25</f>
        <v>0</v>
      </c>
      <c r="D7755" s="2" t="str">
        <f t="shared" si="127"/>
        <v>Error?</v>
      </c>
      <c r="E7755" s="4" t="s">
        <v>1330</v>
      </c>
    </row>
    <row r="7756" spans="1:6" x14ac:dyDescent="0.2">
      <c r="A7756">
        <v>7695</v>
      </c>
      <c r="B7756" s="138">
        <f>'Aud Quest 2'!E85</f>
        <v>0</v>
      </c>
      <c r="D7756" s="2" t="str">
        <f t="shared" si="127"/>
        <v>Error?</v>
      </c>
      <c r="E7756" s="4" t="s">
        <v>1330</v>
      </c>
      <c r="F7756" t="s">
        <v>1442</v>
      </c>
    </row>
    <row r="7757" spans="1:6" x14ac:dyDescent="0.2">
      <c r="A7757">
        <v>7696</v>
      </c>
      <c r="B7757" s="138">
        <f>'Aud Quest 2'!E87</f>
        <v>0</v>
      </c>
      <c r="D7757" s="2" t="str">
        <f t="shared" si="127"/>
        <v>Error?</v>
      </c>
      <c r="E7757" s="4" t="s">
        <v>1330</v>
      </c>
      <c r="F7757" t="s">
        <v>1442</v>
      </c>
    </row>
    <row r="7758" spans="1:6" x14ac:dyDescent="0.2">
      <c r="A7758">
        <v>7697</v>
      </c>
      <c r="B7758" s="138">
        <f>'Aud Quest 2'!J85</f>
        <v>0</v>
      </c>
      <c r="D7758" s="2" t="str">
        <f t="shared" si="127"/>
        <v>Error?</v>
      </c>
      <c r="E7758" s="4" t="s">
        <v>1330</v>
      </c>
    </row>
    <row r="7759" spans="1:6" x14ac:dyDescent="0.2">
      <c r="A7759">
        <v>7698</v>
      </c>
      <c r="B7759" s="138">
        <f>'Aud Quest 2'!J88</f>
        <v>0</v>
      </c>
      <c r="D7759" s="2" t="str">
        <f t="shared" si="127"/>
        <v>Error?</v>
      </c>
      <c r="E7759" s="4" t="s">
        <v>1330</v>
      </c>
    </row>
    <row r="7760" spans="1:6" x14ac:dyDescent="0.2">
      <c r="A7760">
        <v>7699</v>
      </c>
      <c r="B7760" s="138">
        <f>'Aud Quest 2'!J90</f>
        <v>0</v>
      </c>
      <c r="D7760" s="2" t="str">
        <f t="shared" si="127"/>
        <v>Error?</v>
      </c>
      <c r="E7760" s="4" t="s">
        <v>1330</v>
      </c>
    </row>
    <row r="7761" spans="1:5" x14ac:dyDescent="0.2">
      <c r="A7761">
        <v>7700</v>
      </c>
      <c r="B7761" s="138">
        <f>'Revenues 9-14'!C253</f>
        <v>0</v>
      </c>
      <c r="D7761" s="2" t="str">
        <f t="shared" si="127"/>
        <v>Error?</v>
      </c>
      <c r="E7761" s="4" t="s">
        <v>1419</v>
      </c>
    </row>
    <row r="7762" spans="1:5" x14ac:dyDescent="0.2">
      <c r="A7762">
        <v>7701</v>
      </c>
      <c r="B7762" s="138">
        <f>'Expenditures 15-22'!E6</f>
        <v>0</v>
      </c>
      <c r="D7762" s="2" t="str">
        <f t="shared" si="127"/>
        <v>Error?</v>
      </c>
      <c r="E7762" s="4" t="s">
        <v>1429</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1457</v>
      </c>
    </row>
    <row r="7765" spans="1:5" x14ac:dyDescent="0.2">
      <c r="A7765">
        <v>7704</v>
      </c>
      <c r="B7765" s="138">
        <f>'Revenues 9-14'!C254</f>
        <v>0</v>
      </c>
      <c r="D7765" s="2" t="str">
        <f t="shared" si="127"/>
        <v>Error?</v>
      </c>
      <c r="E7765" s="4" t="s">
        <v>1461</v>
      </c>
    </row>
    <row r="7766" spans="1:5" x14ac:dyDescent="0.2">
      <c r="A7766">
        <v>7705</v>
      </c>
      <c r="B7766" s="138">
        <f>'Revenues 9-14'!D254</f>
        <v>0</v>
      </c>
      <c r="D7766" s="2" t="str">
        <f t="shared" si="127"/>
        <v>Error?</v>
      </c>
      <c r="E7766" s="4" t="s">
        <v>1461</v>
      </c>
    </row>
    <row r="7767" spans="1:5" x14ac:dyDescent="0.2">
      <c r="A7767" s="129">
        <v>7706</v>
      </c>
      <c r="E7767" s="4"/>
    </row>
    <row r="7768" spans="1:5" x14ac:dyDescent="0.2">
      <c r="A7768">
        <v>7707</v>
      </c>
      <c r="B7768" s="138">
        <f>'Revenues 9-14'!F254</f>
        <v>0</v>
      </c>
      <c r="D7768" s="2" t="str">
        <f t="shared" si="127"/>
        <v>Error?</v>
      </c>
      <c r="E7768" s="4" t="s">
        <v>1461</v>
      </c>
    </row>
    <row r="7769" spans="1:5" x14ac:dyDescent="0.2">
      <c r="A7769">
        <v>7708</v>
      </c>
      <c r="B7769" s="138">
        <f>'Revenues 9-14'!G254</f>
        <v>0</v>
      </c>
      <c r="D7769" s="2" t="str">
        <f t="shared" si="127"/>
        <v>Error?</v>
      </c>
      <c r="E7769" s="4" t="s">
        <v>1461</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1462</v>
      </c>
    </row>
    <row r="7773" spans="1:5" x14ac:dyDescent="0.2">
      <c r="A7773">
        <v>7712</v>
      </c>
      <c r="B7773" s="138">
        <f>'Rest Tax Levies-Tort Im 25'!J22</f>
        <v>0</v>
      </c>
      <c r="D7773" s="2" t="str">
        <f t="shared" si="127"/>
        <v>Error?</v>
      </c>
      <c r="E7773" s="4" t="s">
        <v>1550</v>
      </c>
    </row>
    <row r="7774" spans="1:5" x14ac:dyDescent="0.2">
      <c r="A7774">
        <v>7713</v>
      </c>
      <c r="B7774" s="138">
        <f>'Expenditures 15-22'!E133</f>
        <v>0</v>
      </c>
      <c r="D7774" s="2" t="str">
        <f t="shared" si="127"/>
        <v>Error?</v>
      </c>
      <c r="E7774" s="4" t="s">
        <v>1849</v>
      </c>
    </row>
    <row r="7775" spans="1:5" x14ac:dyDescent="0.2">
      <c r="A7775">
        <v>7714</v>
      </c>
      <c r="B7775" s="138">
        <f>'Expenditures 15-22'!H133</f>
        <v>0</v>
      </c>
      <c r="D7775" s="2" t="str">
        <f t="shared" si="127"/>
        <v>Error?</v>
      </c>
      <c r="E7775" s="4" t="s">
        <v>1849</v>
      </c>
    </row>
    <row r="7776" spans="1:5" x14ac:dyDescent="0.2">
      <c r="A7776">
        <v>7715</v>
      </c>
      <c r="B7776" s="138">
        <f>'Expenditures 15-22'!K133</f>
        <v>0</v>
      </c>
      <c r="D7776" s="2" t="str">
        <f t="shared" si="127"/>
        <v>Error?</v>
      </c>
      <c r="E7776" s="4" t="s">
        <v>1849</v>
      </c>
    </row>
    <row r="7777" spans="1:5" x14ac:dyDescent="0.2">
      <c r="A7777">
        <v>7716</v>
      </c>
      <c r="B7777" s="138">
        <f>'Expenditures 15-22'!H157</f>
        <v>0</v>
      </c>
      <c r="D7777" s="2" t="str">
        <f t="shared" si="127"/>
        <v>Error?</v>
      </c>
      <c r="E7777" s="4" t="s">
        <v>1849</v>
      </c>
    </row>
    <row r="7778" spans="1:5" x14ac:dyDescent="0.2">
      <c r="A7778">
        <v>7717</v>
      </c>
      <c r="B7778" s="138">
        <f>'Expenditures 15-22'!K157</f>
        <v>0</v>
      </c>
      <c r="D7778" s="2" t="str">
        <f t="shared" si="127"/>
        <v>Error?</v>
      </c>
      <c r="E7778" s="4" t="s">
        <v>1849</v>
      </c>
    </row>
    <row r="7779" spans="1:5" x14ac:dyDescent="0.2">
      <c r="A7779">
        <v>7718</v>
      </c>
      <c r="B7779" s="138">
        <f>'Expenditures 15-22'!H158</f>
        <v>0</v>
      </c>
      <c r="D7779" s="2" t="str">
        <f t="shared" si="127"/>
        <v>Error?</v>
      </c>
      <c r="E7779" s="4" t="s">
        <v>1849</v>
      </c>
    </row>
    <row r="7780" spans="1:5" x14ac:dyDescent="0.2">
      <c r="A7780">
        <v>7719</v>
      </c>
      <c r="B7780" s="138">
        <f>'Expenditures 15-22'!K158</f>
        <v>0</v>
      </c>
      <c r="D7780" s="2" t="str">
        <f t="shared" si="127"/>
        <v>Error?</v>
      </c>
      <c r="E7780" s="4" t="s">
        <v>1849</v>
      </c>
    </row>
    <row r="7781" spans="1:5" x14ac:dyDescent="0.2">
      <c r="A7781">
        <v>7720</v>
      </c>
      <c r="B7781" s="138">
        <f>'Expenditures 15-22'!H159</f>
        <v>0</v>
      </c>
      <c r="D7781" s="2" t="str">
        <f t="shared" si="127"/>
        <v>Error?</v>
      </c>
      <c r="E7781" s="4" t="s">
        <v>1849</v>
      </c>
    </row>
    <row r="7782" spans="1:5" x14ac:dyDescent="0.2">
      <c r="A7782">
        <v>7721</v>
      </c>
      <c r="B7782" s="138">
        <f>'Expenditures 15-22'!K159</f>
        <v>0</v>
      </c>
      <c r="D7782" s="2" t="str">
        <f t="shared" si="127"/>
        <v>Error?</v>
      </c>
      <c r="E7782" s="4" t="s">
        <v>1849</v>
      </c>
    </row>
    <row r="7783" spans="1:5" x14ac:dyDescent="0.2">
      <c r="A7783">
        <v>7722</v>
      </c>
      <c r="B7783" s="138">
        <f>'Expenditures 15-22'!D282</f>
        <v>0</v>
      </c>
      <c r="D7783" s="2" t="str">
        <f t="shared" si="127"/>
        <v>Error?</v>
      </c>
      <c r="E7783" s="4" t="s">
        <v>1849</v>
      </c>
    </row>
    <row r="7784" spans="1:5" x14ac:dyDescent="0.2">
      <c r="A7784">
        <v>7723</v>
      </c>
      <c r="B7784" s="138">
        <f>'Expenditures 15-22'!K282</f>
        <v>0</v>
      </c>
      <c r="D7784" s="2" t="str">
        <f t="shared" si="127"/>
        <v>Error?</v>
      </c>
      <c r="E7784" s="4" t="s">
        <v>1849</v>
      </c>
    </row>
    <row r="7785" spans="1:5" x14ac:dyDescent="0.2">
      <c r="A7785">
        <v>7724</v>
      </c>
      <c r="B7785" s="138">
        <f>'Expenditures 15-22'!H332</f>
        <v>0</v>
      </c>
      <c r="D7785" s="2" t="str">
        <f t="shared" si="127"/>
        <v>Error?</v>
      </c>
      <c r="E7785" s="4" t="s">
        <v>1849</v>
      </c>
    </row>
    <row r="7786" spans="1:5" x14ac:dyDescent="0.2">
      <c r="A7786">
        <v>7725</v>
      </c>
      <c r="B7786" s="138">
        <f>'Expenditures 15-22'!K332</f>
        <v>0</v>
      </c>
      <c r="D7786" s="2" t="str">
        <f t="shared" si="127"/>
        <v>Error?</v>
      </c>
      <c r="E7786" s="4" t="s">
        <v>1849</v>
      </c>
    </row>
    <row r="7787" spans="1:5" x14ac:dyDescent="0.2">
      <c r="A7787">
        <v>7726</v>
      </c>
      <c r="B7787" s="138">
        <f>'Expenditures 15-22'!H333</f>
        <v>0</v>
      </c>
      <c r="D7787" s="2" t="str">
        <f t="shared" si="127"/>
        <v>Error?</v>
      </c>
      <c r="E7787" s="4" t="s">
        <v>1849</v>
      </c>
    </row>
    <row r="7788" spans="1:5" x14ac:dyDescent="0.2">
      <c r="A7788">
        <v>7727</v>
      </c>
      <c r="B7788" s="138">
        <f>'Expenditures 15-22'!K333</f>
        <v>0</v>
      </c>
      <c r="D7788" s="2" t="str">
        <f t="shared" si="127"/>
        <v>Error?</v>
      </c>
      <c r="E7788" s="4" t="s">
        <v>1849</v>
      </c>
    </row>
    <row r="7789" spans="1:5" x14ac:dyDescent="0.2">
      <c r="A7789">
        <v>7728</v>
      </c>
      <c r="B7789" s="138">
        <f>'Expenditures 15-22'!H334</f>
        <v>0</v>
      </c>
      <c r="D7789" s="2" t="str">
        <f t="shared" si="127"/>
        <v>Error?</v>
      </c>
      <c r="E7789" s="4" t="s">
        <v>1849</v>
      </c>
    </row>
    <row r="7790" spans="1:5" x14ac:dyDescent="0.2">
      <c r="A7790">
        <v>7729</v>
      </c>
      <c r="B7790" s="138">
        <f>'Expenditures 15-22'!K334</f>
        <v>0</v>
      </c>
      <c r="D7790" s="2" t="str">
        <f t="shared" si="127"/>
        <v>Error?</v>
      </c>
      <c r="E7790" s="4" t="s">
        <v>1849</v>
      </c>
    </row>
    <row r="7791" spans="1:5" x14ac:dyDescent="0.2">
      <c r="A7791">
        <v>7730</v>
      </c>
      <c r="B7791" s="138">
        <f>'Expenditures 15-22'!H354</f>
        <v>0</v>
      </c>
      <c r="D7791" s="2" t="str">
        <f t="shared" si="127"/>
        <v>Error?</v>
      </c>
      <c r="E7791" s="4" t="s">
        <v>1849</v>
      </c>
    </row>
    <row r="7792" spans="1:5" x14ac:dyDescent="0.2">
      <c r="A7792">
        <v>7731</v>
      </c>
      <c r="B7792" s="138">
        <f>'Expenditures 15-22'!K354</f>
        <v>0</v>
      </c>
      <c r="D7792" s="2" t="str">
        <f t="shared" si="127"/>
        <v>Error?</v>
      </c>
      <c r="E7792" s="4" t="s">
        <v>1849</v>
      </c>
    </row>
    <row r="7793" spans="1:5" x14ac:dyDescent="0.2">
      <c r="A7793">
        <v>7732</v>
      </c>
      <c r="B7793" s="138">
        <f>'Expenditures 15-22'!H355</f>
        <v>0</v>
      </c>
      <c r="D7793" s="2" t="str">
        <f t="shared" si="127"/>
        <v>Error?</v>
      </c>
      <c r="E7793" s="4" t="s">
        <v>1849</v>
      </c>
    </row>
    <row r="7794" spans="1:5" x14ac:dyDescent="0.2">
      <c r="A7794">
        <v>7733</v>
      </c>
      <c r="B7794" s="138">
        <f>'Expenditures 15-22'!K355</f>
        <v>0</v>
      </c>
      <c r="D7794" s="2" t="str">
        <f t="shared" si="127"/>
        <v>Error?</v>
      </c>
      <c r="E7794" s="4" t="s">
        <v>1849</v>
      </c>
    </row>
    <row r="7795" spans="1:5" x14ac:dyDescent="0.2">
      <c r="A7795">
        <v>7734</v>
      </c>
      <c r="B7795" s="138">
        <f>'Expenditures 15-22'!E138</f>
        <v>0</v>
      </c>
      <c r="D7795" s="2" t="str">
        <f t="shared" si="127"/>
        <v>Error?</v>
      </c>
      <c r="E7795" s="4" t="s">
        <v>1849</v>
      </c>
    </row>
    <row r="7796" spans="1:5" x14ac:dyDescent="0.2">
      <c r="A7796">
        <v>7735</v>
      </c>
      <c r="B7796" s="138">
        <f>'Acct Summary 7-8'!J15</f>
        <v>0</v>
      </c>
      <c r="D7796" s="2" t="str">
        <f t="shared" si="127"/>
        <v>Error?</v>
      </c>
      <c r="E7796" s="4" t="s">
        <v>1849</v>
      </c>
    </row>
    <row r="7797" spans="1:5" x14ac:dyDescent="0.2">
      <c r="A7797">
        <v>7736</v>
      </c>
      <c r="B7797" s="138">
        <f>'Contracts Paid in CY 29'!D141</f>
        <v>0</v>
      </c>
      <c r="D7797" s="2" t="str">
        <f t="shared" si="127"/>
        <v>Error?</v>
      </c>
      <c r="E7797" s="4" t="s">
        <v>1898</v>
      </c>
    </row>
    <row r="7798" spans="1:5" x14ac:dyDescent="0.2">
      <c r="A7798">
        <v>7737</v>
      </c>
      <c r="B7798" s="138">
        <f>'Contracts Paid in CY 29'!F141</f>
        <v>0</v>
      </c>
      <c r="D7798" s="2" t="str">
        <f t="shared" si="127"/>
        <v>Error?</v>
      </c>
      <c r="E7798" s="4" t="s">
        <v>1898</v>
      </c>
    </row>
    <row r="7799" spans="1:5" x14ac:dyDescent="0.2">
      <c r="A7799">
        <v>7738</v>
      </c>
      <c r="B7799" s="138">
        <f>'Contracts Paid in CY 29'!G141</f>
        <v>0</v>
      </c>
      <c r="D7799" s="2" t="str">
        <f t="shared" si="127"/>
        <v>Error?</v>
      </c>
      <c r="E7799" s="4" t="s">
        <v>1898</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8" t="s">
        <v>1191</v>
      </c>
      <c r="B2" s="2388"/>
      <c r="C2" s="2388"/>
      <c r="D2" s="2388"/>
      <c r="E2" s="2388"/>
      <c r="F2" s="2388"/>
      <c r="G2" s="2388"/>
      <c r="H2" s="2388"/>
      <c r="I2" s="2388"/>
      <c r="J2" s="2388"/>
      <c r="K2" s="2388"/>
      <c r="L2" s="2388"/>
    </row>
    <row r="3" spans="1:29" ht="13.5" customHeight="1" x14ac:dyDescent="0.2">
      <c r="A3" s="2419" t="s">
        <v>1190</v>
      </c>
      <c r="B3" s="2419"/>
      <c r="C3" s="2419"/>
      <c r="D3" s="2419"/>
      <c r="E3" s="2419"/>
      <c r="F3" s="2419"/>
      <c r="G3" s="2419"/>
      <c r="H3" s="2419"/>
      <c r="I3" s="2419"/>
      <c r="J3" s="2419"/>
      <c r="K3" s="2419"/>
      <c r="L3" s="2419"/>
    </row>
    <row r="4" spans="1:29" ht="13.5" customHeight="1" x14ac:dyDescent="0.2">
      <c r="A4" s="2388" t="s">
        <v>1983</v>
      </c>
      <c r="B4" s="2409"/>
      <c r="C4" s="2409"/>
      <c r="D4" s="2409"/>
      <c r="E4" s="2409"/>
      <c r="F4" s="2409"/>
      <c r="G4" s="2409"/>
      <c r="H4" s="2409"/>
      <c r="I4" s="2409"/>
      <c r="J4" s="2409"/>
      <c r="K4" s="2409"/>
      <c r="L4" s="240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0" t="str">
        <f>COVER!A17</f>
        <v>Morton Community Unit School District 709</v>
      </c>
      <c r="B7" s="2411"/>
      <c r="C7" s="2411"/>
      <c r="D7" s="2412"/>
      <c r="E7" s="2413" t="str">
        <f>COVER!A13</f>
        <v>53-090-7090-26</v>
      </c>
      <c r="F7" s="2414"/>
      <c r="G7" s="2420" t="str">
        <f>COVER!T23</f>
        <v>066-004450</v>
      </c>
      <c r="H7" s="2421"/>
      <c r="I7" s="2421"/>
      <c r="J7" s="2421"/>
      <c r="K7" s="2421"/>
      <c r="L7" s="2422"/>
    </row>
    <row r="8" spans="1:29" ht="13.5" customHeight="1" x14ac:dyDescent="0.2">
      <c r="A8" s="1184" t="s">
        <v>1514</v>
      </c>
      <c r="B8" s="1185"/>
      <c r="C8" s="1186"/>
      <c r="D8" s="1186"/>
      <c r="E8" s="1191"/>
      <c r="F8" s="1190"/>
      <c r="G8" s="1192" t="s">
        <v>1186</v>
      </c>
      <c r="H8" s="1193"/>
      <c r="I8" s="1193"/>
      <c r="J8" s="1193"/>
      <c r="K8" s="1193"/>
      <c r="L8" s="1194"/>
    </row>
    <row r="9" spans="1:29" ht="13.5" customHeight="1" x14ac:dyDescent="0.2">
      <c r="A9" s="2423"/>
      <c r="B9" s="2424"/>
      <c r="C9" s="2424"/>
      <c r="D9" s="2424"/>
      <c r="E9" s="2424"/>
      <c r="F9" s="2425"/>
      <c r="G9" s="2394" t="str">
        <f>COVER!T13</f>
        <v>CliftonLarsonAllen LLP</v>
      </c>
      <c r="H9" s="2426"/>
      <c r="I9" s="2426"/>
      <c r="J9" s="2426"/>
      <c r="K9" s="2426"/>
      <c r="L9" s="2427"/>
    </row>
    <row r="10" spans="1:29" ht="13.5" customHeight="1" x14ac:dyDescent="0.2">
      <c r="A10" s="2400"/>
      <c r="B10" s="2401"/>
      <c r="C10" s="2401"/>
      <c r="D10" s="2401"/>
      <c r="E10" s="2401"/>
      <c r="F10" s="2402"/>
      <c r="G10" s="2394" t="str">
        <f>COVER!T17</f>
        <v>301 SW Adams Street, Suite 1000</v>
      </c>
      <c r="H10" s="2395"/>
      <c r="I10" s="2395"/>
      <c r="J10" s="2395"/>
      <c r="K10" s="2395"/>
      <c r="L10" s="2396"/>
    </row>
    <row r="11" spans="1:29" ht="13.5" customHeight="1" x14ac:dyDescent="0.2">
      <c r="A11" s="1184" t="s">
        <v>1516</v>
      </c>
      <c r="B11" s="1185"/>
      <c r="C11" s="1186"/>
      <c r="D11" s="1191"/>
      <c r="E11" s="1186"/>
      <c r="F11" s="1190"/>
      <c r="G11" s="2394" t="str">
        <f>COVER!T19</f>
        <v>Peoria</v>
      </c>
      <c r="H11" s="2395"/>
      <c r="I11" s="2395"/>
      <c r="J11" s="2395"/>
      <c r="K11" s="2395"/>
      <c r="L11" s="2396"/>
    </row>
    <row r="12" spans="1:29" ht="13.5" customHeight="1" x14ac:dyDescent="0.2">
      <c r="A12" s="2403" t="s">
        <v>1515</v>
      </c>
      <c r="B12" s="2404"/>
      <c r="C12" s="2404"/>
      <c r="D12" s="2404"/>
      <c r="E12" s="2404"/>
      <c r="F12" s="2405"/>
      <c r="G12" s="2397"/>
      <c r="H12" s="2398"/>
      <c r="I12" s="2398"/>
      <c r="J12" s="2398"/>
      <c r="K12" s="2398"/>
      <c r="L12" s="2399"/>
    </row>
    <row r="13" spans="1:29" ht="13.5" customHeight="1" x14ac:dyDescent="0.2">
      <c r="A13" s="2394"/>
      <c r="B13" s="2395"/>
      <c r="C13" s="2395"/>
      <c r="D13" s="2395"/>
      <c r="E13" s="2395"/>
      <c r="F13" s="2396"/>
      <c r="G13" s="2389" t="s">
        <v>1517</v>
      </c>
      <c r="H13" s="2390"/>
      <c r="I13" s="2406" t="str">
        <f>COVER!T25</f>
        <v>Adam.Pulley@claconnect.com</v>
      </c>
      <c r="J13" s="2407"/>
      <c r="K13" s="2407"/>
      <c r="L13" s="2408"/>
    </row>
    <row r="14" spans="1:29" ht="13.5" customHeight="1" x14ac:dyDescent="0.2">
      <c r="A14" s="2394" t="str">
        <f>COVER!A19</f>
        <v>1050 S. Fourth Ave.</v>
      </c>
      <c r="B14" s="2395"/>
      <c r="C14" s="2395"/>
      <c r="D14" s="2395"/>
      <c r="E14" s="2395"/>
      <c r="F14" s="2396"/>
      <c r="G14" s="1195" t="s">
        <v>1185</v>
      </c>
      <c r="H14" s="1193"/>
      <c r="I14" s="1193"/>
      <c r="J14" s="1193"/>
      <c r="K14" s="1193"/>
      <c r="L14" s="1194"/>
    </row>
    <row r="15" spans="1:29" ht="13.5" customHeight="1" x14ac:dyDescent="0.2">
      <c r="A15" s="2394" t="s">
        <v>2143</v>
      </c>
      <c r="B15" s="2395"/>
      <c r="C15" s="2395"/>
      <c r="D15" s="2395"/>
      <c r="E15" s="2395"/>
      <c r="F15" s="2396"/>
      <c r="G15" s="2391" t="str">
        <f>COVER!T15</f>
        <v>Adam Pulley</v>
      </c>
      <c r="H15" s="2392"/>
      <c r="I15" s="2392"/>
      <c r="J15" s="2392"/>
      <c r="K15" s="2392"/>
      <c r="L15" s="2393"/>
    </row>
    <row r="16" spans="1:29" ht="12.2" customHeight="1" x14ac:dyDescent="0.2">
      <c r="A16" s="2416"/>
      <c r="B16" s="2417"/>
      <c r="C16" s="2417"/>
      <c r="D16" s="2417"/>
      <c r="E16" s="2417"/>
      <c r="F16" s="2418"/>
      <c r="G16" s="2428"/>
      <c r="H16" s="2429"/>
      <c r="I16" s="2429"/>
      <c r="J16" s="2429"/>
      <c r="K16" s="2429"/>
      <c r="L16" s="2430"/>
    </row>
    <row r="17" spans="1:13" ht="12.2" customHeight="1" x14ac:dyDescent="0.2">
      <c r="A17" s="2431"/>
      <c r="B17" s="2417"/>
      <c r="C17" s="2417"/>
      <c r="D17" s="2417"/>
      <c r="E17" s="2417"/>
      <c r="F17" s="2418"/>
      <c r="G17" s="1195" t="s">
        <v>1184</v>
      </c>
      <c r="H17" s="1193"/>
      <c r="I17" s="1193"/>
      <c r="J17" s="1193"/>
      <c r="K17" s="1197" t="s">
        <v>1183</v>
      </c>
      <c r="L17" s="1190"/>
      <c r="M17" s="1183"/>
    </row>
    <row r="18" spans="1:13" ht="12.2" customHeight="1" x14ac:dyDescent="0.2">
      <c r="A18" s="2400"/>
      <c r="B18" s="2401"/>
      <c r="C18" s="2401"/>
      <c r="D18" s="2401"/>
      <c r="E18" s="2401"/>
      <c r="F18" s="2402"/>
      <c r="G18" s="2410" t="str">
        <f>COVER!T21</f>
        <v>309-671-4500</v>
      </c>
      <c r="H18" s="2411"/>
      <c r="I18" s="2411"/>
      <c r="J18" s="2411"/>
      <c r="K18" s="2410" t="str">
        <f>COVER!X21</f>
        <v>309-671-4508</v>
      </c>
      <c r="L18" s="241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1695</v>
      </c>
    </row>
    <row r="22" spans="1:13" ht="12.2" customHeight="1" x14ac:dyDescent="0.2">
      <c r="A22" s="1200"/>
    </row>
    <row r="23" spans="1:13" ht="12.2" customHeight="1" x14ac:dyDescent="0.2">
      <c r="A23" s="1200"/>
      <c r="B23" s="1201" t="s">
        <v>2058</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2058</v>
      </c>
      <c r="C26" s="1202" t="s">
        <v>1696</v>
      </c>
    </row>
    <row r="27" spans="1:13" s="1198" customFormat="1" ht="9" customHeight="1" x14ac:dyDescent="0.2">
      <c r="B27" s="1203"/>
      <c r="C27" s="1202"/>
    </row>
    <row r="28" spans="1:13" s="1198" customFormat="1" ht="12.2" customHeight="1" x14ac:dyDescent="0.2">
      <c r="A28" s="1205"/>
      <c r="B28" s="1201" t="s">
        <v>2058</v>
      </c>
      <c r="C28" s="1202" t="s">
        <v>1697</v>
      </c>
    </row>
    <row r="29" spans="1:13" s="1198" customFormat="1" ht="9" customHeight="1" x14ac:dyDescent="0.2">
      <c r="A29" s="1205"/>
      <c r="B29" s="1203"/>
      <c r="C29" s="1202"/>
    </row>
    <row r="30" spans="1:13" s="1198" customFormat="1" ht="12.2" customHeight="1" x14ac:dyDescent="0.2">
      <c r="B30" s="1201" t="s">
        <v>2058</v>
      </c>
      <c r="C30" s="1202" t="s">
        <v>1559</v>
      </c>
      <c r="D30" s="1196"/>
      <c r="E30" s="1196"/>
    </row>
    <row r="31" spans="1:13" s="1198" customFormat="1" ht="9" customHeight="1" x14ac:dyDescent="0.2">
      <c r="B31" s="1203"/>
      <c r="C31" s="1202"/>
      <c r="D31" s="1196"/>
      <c r="E31" s="1196"/>
    </row>
    <row r="32" spans="1:13" s="1198" customFormat="1" ht="12.2" customHeight="1" x14ac:dyDescent="0.2">
      <c r="B32" s="1201" t="s">
        <v>2058</v>
      </c>
      <c r="C32" s="1202" t="s">
        <v>1560</v>
      </c>
      <c r="D32" s="1196"/>
      <c r="E32" s="1196"/>
    </row>
    <row r="33" spans="1:8" s="1198" customFormat="1" ht="10.9" customHeight="1" x14ac:dyDescent="0.2">
      <c r="B33" s="1203"/>
      <c r="C33" s="1206" t="s">
        <v>1698</v>
      </c>
      <c r="D33" s="1196"/>
      <c r="E33" s="1196"/>
    </row>
    <row r="34" spans="1:8" ht="9" customHeight="1" x14ac:dyDescent="0.2">
      <c r="B34" s="1203"/>
      <c r="C34" s="1206"/>
    </row>
    <row r="35" spans="1:8" s="1198" customFormat="1" ht="13.5" customHeight="1" x14ac:dyDescent="0.2">
      <c r="B35" s="1201" t="s">
        <v>2058</v>
      </c>
      <c r="C35" s="1202" t="s">
        <v>1561</v>
      </c>
    </row>
    <row r="36" spans="1:8" s="1198" customFormat="1" ht="10.9" customHeight="1" x14ac:dyDescent="0.2">
      <c r="B36" s="1203"/>
      <c r="C36" s="1206" t="s">
        <v>1562</v>
      </c>
    </row>
    <row r="37" spans="1:8" ht="9" customHeight="1" x14ac:dyDescent="0.2">
      <c r="B37" s="1203"/>
      <c r="C37" s="1206"/>
    </row>
    <row r="38" spans="1:8" s="1198" customFormat="1" ht="12.2" customHeight="1" x14ac:dyDescent="0.2">
      <c r="B38" s="1201" t="s">
        <v>2058</v>
      </c>
      <c r="C38" s="1202" t="s">
        <v>1563</v>
      </c>
    </row>
    <row r="39" spans="1:8" ht="9" customHeight="1" x14ac:dyDescent="0.2">
      <c r="B39" s="1203"/>
      <c r="C39" s="1206"/>
    </row>
    <row r="40" spans="1:8" s="1198" customFormat="1" ht="13.5" customHeight="1" x14ac:dyDescent="0.2">
      <c r="B40" s="1201" t="s">
        <v>2058</v>
      </c>
      <c r="C40" s="1202" t="s">
        <v>1564</v>
      </c>
    </row>
    <row r="41" spans="1:8" ht="9" customHeight="1" x14ac:dyDescent="0.2">
      <c r="A41" s="1207"/>
      <c r="B41" s="1203"/>
      <c r="C41" s="1206"/>
    </row>
    <row r="42" spans="1:8" s="1198" customFormat="1" ht="13.5" customHeight="1" x14ac:dyDescent="0.2">
      <c r="B42" s="1201" t="s">
        <v>2058</v>
      </c>
      <c r="C42" s="1202" t="s">
        <v>1830</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1565</v>
      </c>
      <c r="D46" s="1196"/>
      <c r="E46" s="1196"/>
      <c r="F46" s="1196"/>
      <c r="G46" s="1196"/>
      <c r="H46" s="1196"/>
    </row>
    <row r="47" spans="1:8" ht="9" customHeight="1" x14ac:dyDescent="0.2"/>
    <row r="48" spans="1:8" ht="12.2" customHeight="1" x14ac:dyDescent="0.2">
      <c r="B48" s="1937"/>
      <c r="C48" s="1210" t="s">
        <v>1566</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2" t="str">
        <f>'Single Audit Cover'!A7</f>
        <v>Morton Community Unit School District 709</v>
      </c>
      <c r="B1" s="2409"/>
      <c r="C1" s="2409"/>
      <c r="D1" s="2409"/>
    </row>
    <row r="2" spans="1:11" s="1212" customFormat="1" ht="12.75" x14ac:dyDescent="0.2">
      <c r="A2" s="2433" t="str">
        <f>'Single Audit Cover'!E7</f>
        <v>53-090-7090-26</v>
      </c>
      <c r="B2" s="2434"/>
      <c r="C2" s="2434"/>
      <c r="D2" s="2434"/>
    </row>
    <row r="3" spans="1:11" s="1212" customFormat="1" ht="12.75" x14ac:dyDescent="0.2">
      <c r="A3" s="2432" t="s">
        <v>1510</v>
      </c>
      <c r="B3" s="2409"/>
      <c r="C3" s="2409"/>
      <c r="D3" s="2409"/>
    </row>
    <row r="4" spans="1:11" s="1212" customFormat="1" ht="4.5" customHeight="1" x14ac:dyDescent="0.2">
      <c r="A4" s="1213"/>
      <c r="B4" s="1214"/>
      <c r="C4" s="1214"/>
      <c r="D4" s="1214"/>
    </row>
    <row r="5" spans="1:11" x14ac:dyDescent="0.2">
      <c r="B5" s="1216" t="s">
        <v>1511</v>
      </c>
      <c r="C5" s="1217"/>
      <c r="D5" s="1218"/>
    </row>
    <row r="6" spans="1:11" x14ac:dyDescent="0.2">
      <c r="B6" s="1216" t="s">
        <v>1225</v>
      </c>
      <c r="C6" s="1217"/>
      <c r="D6" s="1218"/>
    </row>
    <row r="7" spans="1:11" x14ac:dyDescent="0.2">
      <c r="B7" s="1216" t="s">
        <v>1512</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1699</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1700</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1701</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1702</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1723</v>
      </c>
      <c r="E24" s="1225"/>
      <c r="F24" s="1225"/>
      <c r="G24" s="1225"/>
      <c r="H24" s="1225"/>
      <c r="I24" s="1225"/>
      <c r="J24" s="1225"/>
      <c r="K24" s="1225"/>
    </row>
    <row r="25" spans="1:11" x14ac:dyDescent="0.2">
      <c r="A25" s="1219"/>
      <c r="B25" s="1228"/>
      <c r="D25" s="1227" t="s">
        <v>1703</v>
      </c>
      <c r="E25" s="1225"/>
      <c r="F25" s="1225"/>
      <c r="G25" s="1225"/>
      <c r="H25" s="1225"/>
      <c r="I25" s="1225"/>
      <c r="J25" s="1225"/>
      <c r="K25" s="1225"/>
    </row>
    <row r="26" spans="1:11" x14ac:dyDescent="0.2">
      <c r="A26" s="1219"/>
      <c r="B26" s="1228"/>
      <c r="D26" s="1232" t="s">
        <v>1704</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1567</v>
      </c>
      <c r="E28" s="1225"/>
      <c r="F28" s="1225"/>
      <c r="G28" s="1225"/>
      <c r="H28" s="1225"/>
      <c r="I28" s="1225"/>
      <c r="J28" s="1225"/>
      <c r="K28" s="1225"/>
    </row>
    <row r="29" spans="1:11" ht="10.5" customHeight="1" x14ac:dyDescent="0.2">
      <c r="A29" s="1219"/>
      <c r="D29" s="1233" t="s">
        <v>1568</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1569</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1569</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1570</v>
      </c>
    </row>
    <row r="41" spans="1:5" ht="3" customHeight="1" x14ac:dyDescent="0.2">
      <c r="A41" s="1219"/>
      <c r="B41" s="1236"/>
      <c r="C41" s="1237"/>
      <c r="D41" s="1218"/>
    </row>
    <row r="42" spans="1:5" ht="10.5" customHeight="1" x14ac:dyDescent="0.2">
      <c r="A42" s="1219"/>
      <c r="B42" s="1238"/>
      <c r="C42" s="1229">
        <v>11</v>
      </c>
      <c r="D42" s="1240" t="s">
        <v>1571</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1572</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1705</v>
      </c>
    </row>
    <row r="57" spans="1:4" ht="10.5" customHeight="1" x14ac:dyDescent="0.2">
      <c r="A57" s="1219"/>
      <c r="D57" s="1234" t="s">
        <v>1706</v>
      </c>
    </row>
    <row r="58" spans="1:4" x14ac:dyDescent="0.2">
      <c r="A58" s="1219"/>
      <c r="C58" s="1241"/>
      <c r="D58" s="1234" t="s">
        <v>1707</v>
      </c>
    </row>
    <row r="59" spans="1:4" ht="10.5" customHeight="1" x14ac:dyDescent="0.2">
      <c r="A59" s="1219"/>
      <c r="D59" s="1218" t="s">
        <v>1209</v>
      </c>
    </row>
    <row r="60" spans="1:4" ht="10.5" customHeight="1" x14ac:dyDescent="0.2">
      <c r="A60" s="1219"/>
      <c r="D60" s="1242" t="s">
        <v>1596</v>
      </c>
    </row>
    <row r="61" spans="1:4" ht="10.5" customHeight="1" x14ac:dyDescent="0.2">
      <c r="A61" s="1219"/>
      <c r="C61" s="1241"/>
      <c r="D61" s="1234" t="s">
        <v>1708</v>
      </c>
    </row>
    <row r="62" spans="1:4" ht="10.5" customHeight="1" x14ac:dyDescent="0.2">
      <c r="A62" s="1219"/>
      <c r="D62" s="1243" t="s">
        <v>1208</v>
      </c>
    </row>
    <row r="63" spans="1:4" ht="10.5" customHeight="1" x14ac:dyDescent="0.2">
      <c r="A63" s="1219"/>
      <c r="D63" s="1218" t="s">
        <v>1573</v>
      </c>
    </row>
    <row r="64" spans="1:4" ht="10.5" customHeight="1" x14ac:dyDescent="0.2">
      <c r="A64" s="1219"/>
      <c r="D64" s="1242" t="s">
        <v>1595</v>
      </c>
    </row>
    <row r="65" spans="1:4" x14ac:dyDescent="0.2">
      <c r="A65" s="1219"/>
      <c r="C65" s="1241"/>
      <c r="D65" s="1234" t="s">
        <v>1709</v>
      </c>
    </row>
    <row r="66" spans="1:4" ht="10.5" customHeight="1" x14ac:dyDescent="0.2">
      <c r="A66" s="1219"/>
      <c r="D66" s="1244" t="s">
        <v>1207</v>
      </c>
    </row>
    <row r="67" spans="1:4" ht="10.5" customHeight="1" x14ac:dyDescent="0.2">
      <c r="A67" s="1219"/>
      <c r="D67" s="1218" t="s">
        <v>1574</v>
      </c>
    </row>
    <row r="68" spans="1:4" ht="10.5" customHeight="1" x14ac:dyDescent="0.2">
      <c r="A68" s="1219"/>
      <c r="D68" s="1242" t="s">
        <v>1595</v>
      </c>
    </row>
    <row r="69" spans="1:4" ht="10.5" customHeight="1" x14ac:dyDescent="0.2">
      <c r="A69" s="1219"/>
      <c r="C69" s="1241"/>
      <c r="D69" s="1234" t="s">
        <v>1710</v>
      </c>
    </row>
    <row r="70" spans="1:4" x14ac:dyDescent="0.2">
      <c r="A70" s="1219"/>
      <c r="D70" s="1243" t="s">
        <v>1206</v>
      </c>
    </row>
    <row r="71" spans="1:4" ht="3" customHeight="1" x14ac:dyDescent="0.2">
      <c r="A71" s="1219"/>
      <c r="D71" s="1218"/>
    </row>
    <row r="72" spans="1:4" x14ac:dyDescent="0.2">
      <c r="A72" s="1219"/>
      <c r="B72" s="1222"/>
      <c r="C72" s="1223">
        <f>C56+1</f>
        <v>18</v>
      </c>
      <c r="D72" s="1244" t="s">
        <v>1711</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1712</v>
      </c>
    </row>
    <row r="77" spans="1:4" ht="3" customHeight="1" x14ac:dyDescent="0.2">
      <c r="A77" s="1219"/>
      <c r="B77" s="1226"/>
      <c r="C77" s="1223"/>
      <c r="D77" s="1245"/>
    </row>
    <row r="78" spans="1:4" x14ac:dyDescent="0.2">
      <c r="A78" s="1219"/>
      <c r="B78" s="1222"/>
      <c r="C78" s="1223">
        <f>C76+1</f>
        <v>21</v>
      </c>
      <c r="D78" s="1218" t="s">
        <v>1713</v>
      </c>
    </row>
    <row r="79" spans="1:4" ht="3" customHeight="1" x14ac:dyDescent="0.2">
      <c r="A79" s="1219"/>
      <c r="B79" s="1226"/>
      <c r="C79" s="1223"/>
      <c r="D79" s="1218"/>
    </row>
    <row r="80" spans="1:4" x14ac:dyDescent="0.2">
      <c r="A80" s="1219"/>
      <c r="B80" s="1222"/>
      <c r="C80" s="1223">
        <f>C78+1</f>
        <v>22</v>
      </c>
      <c r="D80" s="1246" t="s">
        <v>1714</v>
      </c>
    </row>
    <row r="81" spans="1:4" ht="3" customHeight="1" x14ac:dyDescent="0.2">
      <c r="A81" s="1219"/>
      <c r="B81" s="1226"/>
      <c r="C81" s="1223"/>
      <c r="D81" s="1246"/>
    </row>
    <row r="82" spans="1:4" x14ac:dyDescent="0.2">
      <c r="A82" s="1219"/>
      <c r="B82" s="1222"/>
      <c r="C82" s="1223">
        <f>C80+1</f>
        <v>23</v>
      </c>
      <c r="D82" s="1245" t="s">
        <v>1715</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1716</v>
      </c>
    </row>
    <row r="92" spans="1:4" x14ac:dyDescent="0.2">
      <c r="A92" s="1219"/>
      <c r="B92" s="1247"/>
      <c r="C92" s="1241"/>
      <c r="D92" s="1234" t="s">
        <v>1200</v>
      </c>
    </row>
    <row r="93" spans="1:4" ht="4.5" customHeight="1" x14ac:dyDescent="0.2">
      <c r="A93" s="1219"/>
      <c r="D93" s="1218"/>
    </row>
    <row r="94" spans="1:4" x14ac:dyDescent="0.2">
      <c r="A94" s="1219"/>
      <c r="B94" s="1220" t="s">
        <v>1575</v>
      </c>
      <c r="C94" s="1221"/>
      <c r="D94" s="1218"/>
    </row>
    <row r="95" spans="1:4" ht="4.5" customHeight="1" x14ac:dyDescent="0.2">
      <c r="A95" s="1219"/>
      <c r="B95" s="1220"/>
      <c r="C95" s="1221"/>
      <c r="D95" s="1218"/>
    </row>
    <row r="96" spans="1:4" x14ac:dyDescent="0.2">
      <c r="A96" s="1219"/>
      <c r="B96" s="1222"/>
      <c r="C96" s="1223">
        <f>C91+1</f>
        <v>28</v>
      </c>
      <c r="D96" s="1234" t="s">
        <v>1717</v>
      </c>
    </row>
    <row r="97" spans="1:4" ht="3" customHeight="1" x14ac:dyDescent="0.2">
      <c r="A97" s="1219"/>
      <c r="B97" s="1226"/>
      <c r="C97" s="1223"/>
      <c r="D97" s="1234"/>
    </row>
    <row r="98" spans="1:4" x14ac:dyDescent="0.2">
      <c r="A98" s="1219"/>
      <c r="B98" s="1222"/>
      <c r="C98" s="1223">
        <f>C96+1</f>
        <v>29</v>
      </c>
      <c r="D98" s="1248" t="s">
        <v>1718</v>
      </c>
    </row>
    <row r="99" spans="1:4" ht="3" customHeight="1" x14ac:dyDescent="0.2">
      <c r="A99" s="1219"/>
      <c r="B99" s="1226"/>
      <c r="C99" s="1223"/>
      <c r="D99" s="1248"/>
    </row>
    <row r="100" spans="1:4" x14ac:dyDescent="0.2">
      <c r="A100" s="1219"/>
      <c r="B100" s="1222"/>
      <c r="C100" s="1223">
        <f>C98+1</f>
        <v>30</v>
      </c>
      <c r="D100" s="1234" t="s">
        <v>1719</v>
      </c>
    </row>
    <row r="101" spans="1:4" ht="3" customHeight="1" x14ac:dyDescent="0.2">
      <c r="A101" s="1219"/>
      <c r="B101" s="1226"/>
      <c r="C101" s="1223"/>
      <c r="D101" s="1249"/>
    </row>
    <row r="102" spans="1:4" x14ac:dyDescent="0.2">
      <c r="A102" s="1219"/>
      <c r="B102" s="1222"/>
      <c r="C102" s="1223">
        <f>C100+1</f>
        <v>31</v>
      </c>
      <c r="D102" s="1234" t="s">
        <v>1576</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1577</v>
      </c>
    </row>
    <row r="107" spans="1:4" ht="3" customHeight="1" x14ac:dyDescent="0.2">
      <c r="A107" s="1219"/>
      <c r="B107" s="1226"/>
      <c r="C107" s="1223"/>
      <c r="D107" s="1218"/>
    </row>
    <row r="108" spans="1:4" x14ac:dyDescent="0.2">
      <c r="A108" s="1219"/>
      <c r="B108" s="1222"/>
      <c r="C108" s="1223">
        <v>33</v>
      </c>
      <c r="D108" s="1218" t="s">
        <v>1720</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1721</v>
      </c>
    </row>
    <row r="118" spans="1:4" ht="3" customHeight="1" x14ac:dyDescent="0.2">
      <c r="A118" s="1219"/>
      <c r="B118" s="1226"/>
      <c r="C118" s="1223"/>
      <c r="D118" s="1234"/>
    </row>
    <row r="119" spans="1:4" x14ac:dyDescent="0.2">
      <c r="A119" s="1219"/>
      <c r="B119" s="1222"/>
      <c r="C119" s="1223">
        <f>C117+1</f>
        <v>38</v>
      </c>
      <c r="D119" s="1234" t="s">
        <v>1722</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1831</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4"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6" t="str">
        <f>'Single Audit Cover'!A7</f>
        <v>Morton Community Unit School District 709</v>
      </c>
      <c r="B1" s="2436"/>
      <c r="C1" s="2436"/>
      <c r="D1" s="2436"/>
      <c r="E1" s="2436"/>
    </row>
    <row r="2" spans="1:5" x14ac:dyDescent="0.2">
      <c r="A2" s="2437" t="str">
        <f>'Single Audit Cover'!E7</f>
        <v>53-090-7090-26</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7" t="s">
        <v>1243</v>
      </c>
    </row>
    <row r="10" spans="1:5" x14ac:dyDescent="0.2">
      <c r="A10" s="1258" t="s">
        <v>1242</v>
      </c>
      <c r="B10" s="1259" t="s">
        <v>1241</v>
      </c>
      <c r="C10" s="1259"/>
      <c r="D10" s="1260">
        <f>SUM('Acct Summary 7-8'!C7:K7)</f>
        <v>1193308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1724</v>
      </c>
      <c r="B14" s="1259"/>
      <c r="C14" s="1259"/>
      <c r="D14" s="1261">
        <f>'ICR Computation 30'!E11</f>
        <v>60523</v>
      </c>
    </row>
    <row r="15" spans="1:5" x14ac:dyDescent="0.2">
      <c r="A15" s="1258"/>
      <c r="B15" s="1259"/>
      <c r="C15" s="1259"/>
    </row>
    <row r="16" spans="1:5" x14ac:dyDescent="0.2">
      <c r="A16" s="1258" t="s">
        <v>1838</v>
      </c>
      <c r="B16" s="1259"/>
      <c r="C16" s="1259"/>
    </row>
    <row r="17" spans="1:4" x14ac:dyDescent="0.2">
      <c r="A17" s="1258" t="s">
        <v>2055</v>
      </c>
      <c r="B17" s="1259" t="s">
        <v>1236</v>
      </c>
      <c r="C17" s="1259"/>
      <c r="D17" s="1261">
        <f>-SUM('Revenues 9-14'!C264:D264,'Revenues 9-14'!F264:G264)</f>
        <v>-71559</v>
      </c>
    </row>
    <row r="19" spans="1:4" ht="13.5" thickBot="1" x14ac:dyDescent="0.25">
      <c r="A19" s="1262" t="s">
        <v>1235</v>
      </c>
      <c r="D19" s="1263">
        <f>SUM(D10:D17)</f>
        <v>1182272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8"/>
      <c r="B24" s="2438"/>
      <c r="D24" s="1265"/>
    </row>
    <row r="25" spans="1:4" x14ac:dyDescent="0.2">
      <c r="A25" s="2435"/>
      <c r="B25" s="2435"/>
      <c r="D25" s="1265"/>
    </row>
    <row r="26" spans="1:4" x14ac:dyDescent="0.2">
      <c r="A26" s="2435"/>
      <c r="B26" s="2435"/>
      <c r="D26" s="1265"/>
    </row>
    <row r="27" spans="1:4" x14ac:dyDescent="0.2">
      <c r="A27" s="2435"/>
      <c r="B27" s="2435"/>
      <c r="D27" s="1265"/>
    </row>
    <row r="28" spans="1:4" x14ac:dyDescent="0.2">
      <c r="A28" s="2435"/>
      <c r="B28" s="2435"/>
      <c r="D28" s="1265"/>
    </row>
    <row r="29" spans="1:4" x14ac:dyDescent="0.2">
      <c r="A29" s="2435"/>
      <c r="B29" s="2435"/>
      <c r="D29" s="1265"/>
    </row>
    <row r="30" spans="1:4" x14ac:dyDescent="0.2">
      <c r="A30" s="2435"/>
      <c r="B30" s="2435"/>
      <c r="D30" s="1265"/>
    </row>
    <row r="32" spans="1:4" x14ac:dyDescent="0.2">
      <c r="A32" s="1257" t="s">
        <v>1233</v>
      </c>
      <c r="D32" s="1260">
        <f>SUM(D19:D30)</f>
        <v>1182272</v>
      </c>
    </row>
    <row r="33" spans="1:4" x14ac:dyDescent="0.2">
      <c r="D33" s="1266"/>
    </row>
    <row r="34" spans="1:4" x14ac:dyDescent="0.2">
      <c r="A34" s="317" t="s">
        <v>1232</v>
      </c>
    </row>
    <row r="35" spans="1:4" x14ac:dyDescent="0.2">
      <c r="A35" s="317" t="s">
        <v>1231</v>
      </c>
      <c r="B35" s="1255" t="s">
        <v>1230</v>
      </c>
      <c r="D35" s="1267">
        <f>' SEFA (3)'!F28</f>
        <v>1182272</v>
      </c>
    </row>
    <row r="37" spans="1:4" x14ac:dyDescent="0.2">
      <c r="A37" s="1257" t="s">
        <v>1229</v>
      </c>
    </row>
    <row r="39" spans="1:4" ht="13.35" customHeight="1" x14ac:dyDescent="0.2">
      <c r="A39" s="1264" t="s">
        <v>1228</v>
      </c>
    </row>
    <row r="40" spans="1:4" x14ac:dyDescent="0.2">
      <c r="A40" s="2435"/>
      <c r="B40" s="2435"/>
      <c r="D40" s="1265"/>
    </row>
    <row r="41" spans="1:4" x14ac:dyDescent="0.2">
      <c r="A41" s="2435"/>
      <c r="B41" s="2435"/>
      <c r="D41" s="1268"/>
    </row>
    <row r="42" spans="1:4" x14ac:dyDescent="0.2">
      <c r="A42" s="2435"/>
      <c r="B42" s="2435"/>
      <c r="D42" s="1268"/>
    </row>
    <row r="43" spans="1:4" x14ac:dyDescent="0.2">
      <c r="A43" s="2435"/>
      <c r="B43" s="2435"/>
      <c r="D43" s="1268"/>
    </row>
    <row r="44" spans="1:4" x14ac:dyDescent="0.2">
      <c r="A44" s="2435"/>
      <c r="B44" s="2435"/>
      <c r="D44" s="1268"/>
    </row>
    <row r="45" spans="1:4" x14ac:dyDescent="0.2">
      <c r="A45" s="2435"/>
      <c r="B45" s="2435"/>
      <c r="D45" s="1268"/>
    </row>
    <row r="47" spans="1:4" x14ac:dyDescent="0.2">
      <c r="B47" s="1269" t="s">
        <v>1227</v>
      </c>
      <c r="C47" s="1269"/>
      <c r="D47" s="1270">
        <f>SUM(D35:D45)</f>
        <v>1182272</v>
      </c>
    </row>
    <row r="49" spans="2:4" x14ac:dyDescent="0.2">
      <c r="B49" s="1269" t="s">
        <v>1226</v>
      </c>
      <c r="C49" s="1269"/>
      <c r="D49" s="127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3"/>
  <sheetViews>
    <sheetView zoomScaleNormal="100" workbookViewId="0"/>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Morton Community Unit School District 709</v>
      </c>
      <c r="C1" s="2440"/>
      <c r="D1" s="2440"/>
      <c r="E1" s="2440"/>
      <c r="F1" s="2440"/>
      <c r="G1" s="2440"/>
      <c r="H1" s="2440"/>
      <c r="I1" s="2440"/>
      <c r="J1" s="2440"/>
      <c r="K1" s="2440"/>
      <c r="L1" s="2440"/>
      <c r="M1" s="2440"/>
    </row>
    <row r="2" spans="2:14" ht="15" x14ac:dyDescent="0.2">
      <c r="B2" s="2441" t="str">
        <f>'Single Audit Cover'!E7</f>
        <v>53-090-7090-26</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1728</v>
      </c>
      <c r="H6" s="1303"/>
      <c r="I6" s="1303"/>
      <c r="J6" s="1303"/>
      <c r="K6" s="1306"/>
      <c r="L6" s="1307"/>
      <c r="M6" s="1308"/>
    </row>
    <row r="7" spans="2:14" x14ac:dyDescent="0.2">
      <c r="B7" s="1309" t="s">
        <v>1578</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1833</v>
      </c>
      <c r="I8" s="1316" t="s">
        <v>1262</v>
      </c>
      <c r="J8" s="1315" t="s">
        <v>1984</v>
      </c>
      <c r="K8" s="1316" t="s">
        <v>1261</v>
      </c>
      <c r="L8" s="1317" t="s">
        <v>1257</v>
      </c>
      <c r="M8" s="1318" t="s">
        <v>30</v>
      </c>
    </row>
    <row r="9" spans="2:14" ht="14.25" x14ac:dyDescent="0.2">
      <c r="B9" s="1322" t="s">
        <v>1259</v>
      </c>
      <c r="C9" s="1310" t="s">
        <v>1729</v>
      </c>
      <c r="D9" s="1311" t="s">
        <v>1730</v>
      </c>
      <c r="E9" s="1319" t="s">
        <v>1833</v>
      </c>
      <c r="F9" s="1320" t="s">
        <v>1984</v>
      </c>
      <c r="G9" s="1321" t="s">
        <v>1833</v>
      </c>
      <c r="H9" s="1314" t="s">
        <v>1579</v>
      </c>
      <c r="I9" s="1316" t="s">
        <v>1984</v>
      </c>
      <c r="J9" s="1315" t="s">
        <v>1579</v>
      </c>
      <c r="K9" s="1316" t="s">
        <v>1258</v>
      </c>
      <c r="L9" s="1323" t="s">
        <v>1580</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1" t="s">
        <v>2087</v>
      </c>
      <c r="C11" s="1335"/>
      <c r="D11" s="1336"/>
      <c r="E11" s="1337"/>
      <c r="F11" s="1337"/>
      <c r="G11" s="1337"/>
      <c r="H11" s="1337"/>
      <c r="I11" s="1337"/>
      <c r="J11" s="1337"/>
      <c r="K11" s="1337"/>
      <c r="L11" s="1337"/>
      <c r="M11" s="1337"/>
    </row>
    <row r="12" spans="2:14" ht="20.100000000000001" customHeight="1" x14ac:dyDescent="0.2">
      <c r="B12" s="1941" t="s">
        <v>2088</v>
      </c>
      <c r="C12" s="1338"/>
      <c r="D12" s="1339"/>
      <c r="E12" s="1340"/>
      <c r="F12" s="1340"/>
      <c r="G12" s="1340"/>
      <c r="H12" s="1340"/>
      <c r="I12" s="1340"/>
      <c r="J12" s="1340"/>
      <c r="K12" s="1340"/>
      <c r="L12" s="1337"/>
      <c r="M12" s="1340"/>
    </row>
    <row r="13" spans="2:14" ht="20.100000000000001" customHeight="1" x14ac:dyDescent="0.2">
      <c r="B13" s="1941" t="s">
        <v>2089</v>
      </c>
      <c r="C13" s="1938">
        <v>10.555</v>
      </c>
      <c r="D13" s="1942" t="s">
        <v>2113</v>
      </c>
      <c r="E13" s="1340">
        <v>167978</v>
      </c>
      <c r="F13" s="1340">
        <v>39923</v>
      </c>
      <c r="G13" s="1340">
        <v>167978</v>
      </c>
      <c r="H13" s="1340">
        <v>0</v>
      </c>
      <c r="I13" s="1340">
        <v>39923</v>
      </c>
      <c r="J13" s="1340">
        <v>0</v>
      </c>
      <c r="K13" s="1340">
        <v>0</v>
      </c>
      <c r="L13" s="1337">
        <f t="shared" ref="L13:L26" si="0">+G13+I13+K13</f>
        <v>207901</v>
      </c>
      <c r="M13" s="1340" t="s">
        <v>2115</v>
      </c>
    </row>
    <row r="14" spans="2:14" ht="20.100000000000001" customHeight="1" x14ac:dyDescent="0.2">
      <c r="B14" s="1334"/>
      <c r="C14" s="1338"/>
      <c r="D14" s="1942" t="s">
        <v>2114</v>
      </c>
      <c r="E14" s="1340">
        <v>0</v>
      </c>
      <c r="F14" s="1944">
        <v>178276</v>
      </c>
      <c r="G14" s="1340">
        <v>0</v>
      </c>
      <c r="H14" s="1340">
        <v>0</v>
      </c>
      <c r="I14" s="1944">
        <v>178276</v>
      </c>
      <c r="J14" s="1340">
        <v>0</v>
      </c>
      <c r="K14" s="1340">
        <v>0</v>
      </c>
      <c r="L14" s="1337">
        <f t="shared" si="0"/>
        <v>178276</v>
      </c>
      <c r="M14" s="1340" t="s">
        <v>2115</v>
      </c>
    </row>
    <row r="15" spans="2:14" ht="20.100000000000001" customHeight="1" x14ac:dyDescent="0.2">
      <c r="B15" s="1334" t="s">
        <v>1169</v>
      </c>
      <c r="C15" s="1338"/>
      <c r="D15" s="1942"/>
      <c r="E15" s="1340"/>
      <c r="F15" s="1340">
        <f>F13+F14</f>
        <v>218199</v>
      </c>
      <c r="G15" s="1340"/>
      <c r="H15" s="1340"/>
      <c r="I15" s="1340">
        <f>I13+I14</f>
        <v>218199</v>
      </c>
      <c r="J15" s="1340"/>
      <c r="K15" s="1340"/>
      <c r="L15" s="1337"/>
      <c r="M15" s="1340"/>
    </row>
    <row r="16" spans="2:14" ht="20.100000000000001" customHeight="1" x14ac:dyDescent="0.2">
      <c r="B16" s="1334"/>
      <c r="C16" s="1338"/>
      <c r="D16" s="1942"/>
      <c r="E16" s="1340"/>
      <c r="F16" s="1340"/>
      <c r="G16" s="1340"/>
      <c r="H16" s="1340"/>
      <c r="I16" s="1340"/>
      <c r="J16" s="1340"/>
      <c r="K16" s="1340"/>
      <c r="L16" s="1337"/>
      <c r="M16" s="1340"/>
    </row>
    <row r="17" spans="2:14" ht="20.100000000000001" customHeight="1" x14ac:dyDescent="0.2">
      <c r="B17" s="1940" t="s">
        <v>2090</v>
      </c>
      <c r="C17" s="1338">
        <v>10.555</v>
      </c>
      <c r="D17" s="1942" t="s">
        <v>2115</v>
      </c>
      <c r="E17" s="1340">
        <v>0</v>
      </c>
      <c r="F17" s="1340">
        <v>38718</v>
      </c>
      <c r="G17" s="1340">
        <v>0</v>
      </c>
      <c r="H17" s="1340">
        <v>0</v>
      </c>
      <c r="I17" s="1340">
        <v>38718</v>
      </c>
      <c r="J17" s="1340">
        <v>0</v>
      </c>
      <c r="K17" s="1340">
        <v>0</v>
      </c>
      <c r="L17" s="1337">
        <f t="shared" si="0"/>
        <v>38718</v>
      </c>
      <c r="M17" s="1340" t="s">
        <v>2115</v>
      </c>
    </row>
    <row r="18" spans="2:14" ht="20.100000000000001" customHeight="1" x14ac:dyDescent="0.2">
      <c r="B18" s="1334"/>
      <c r="C18" s="1338"/>
      <c r="D18" s="1942"/>
      <c r="E18" s="1340"/>
      <c r="F18" s="1340"/>
      <c r="G18" s="1340"/>
      <c r="H18" s="1340"/>
      <c r="I18" s="1340"/>
      <c r="J18" s="1340"/>
      <c r="K18" s="1340"/>
      <c r="L18" s="1337"/>
      <c r="M18" s="1340"/>
    </row>
    <row r="19" spans="2:14" ht="20.100000000000001" customHeight="1" x14ac:dyDescent="0.2">
      <c r="B19" s="1940" t="s">
        <v>2091</v>
      </c>
      <c r="C19" s="1338">
        <v>10.555</v>
      </c>
      <c r="D19" s="1943" t="s">
        <v>2115</v>
      </c>
      <c r="E19" s="1340">
        <v>0</v>
      </c>
      <c r="F19" s="1340">
        <v>21805</v>
      </c>
      <c r="G19" s="1340">
        <v>0</v>
      </c>
      <c r="H19" s="1340">
        <v>0</v>
      </c>
      <c r="I19" s="1340">
        <v>21805</v>
      </c>
      <c r="J19" s="1340">
        <v>0</v>
      </c>
      <c r="K19" s="1340">
        <v>0</v>
      </c>
      <c r="L19" s="1337">
        <f t="shared" si="0"/>
        <v>21805</v>
      </c>
      <c r="M19" s="1340" t="s">
        <v>2115</v>
      </c>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940" t="s">
        <v>2092</v>
      </c>
      <c r="C21" s="1338"/>
      <c r="D21" s="1339"/>
      <c r="E21" s="1340"/>
      <c r="F21" s="1340">
        <f>F19+F17+F15</f>
        <v>278722</v>
      </c>
      <c r="G21" s="1340"/>
      <c r="H21" s="1340"/>
      <c r="I21" s="1340">
        <f>I15+I17+I19</f>
        <v>278722</v>
      </c>
      <c r="J21" s="1340"/>
      <c r="K21" s="1340"/>
      <c r="L21" s="1337"/>
      <c r="M21" s="1340"/>
    </row>
    <row r="22" spans="2:14" ht="20.100000000000001" customHeight="1" x14ac:dyDescent="0.2">
      <c r="B22" s="1940" t="s">
        <v>2093</v>
      </c>
      <c r="C22" s="1338"/>
      <c r="D22" s="1339"/>
      <c r="E22" s="1340"/>
      <c r="F22" s="1340">
        <f>F19+F17+F15</f>
        <v>278722</v>
      </c>
      <c r="G22" s="1340"/>
      <c r="H22" s="1340"/>
      <c r="I22" s="1340">
        <f>I15+I17+I19</f>
        <v>278722</v>
      </c>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940" t="s">
        <v>2094</v>
      </c>
      <c r="C24" s="1338"/>
      <c r="D24" s="1339"/>
      <c r="E24" s="1340"/>
      <c r="F24" s="1340"/>
      <c r="G24" s="1340"/>
      <c r="H24" s="1340"/>
      <c r="I24" s="1340"/>
      <c r="J24" s="1340"/>
      <c r="K24" s="1340"/>
      <c r="L24" s="1337"/>
      <c r="M24" s="1340"/>
    </row>
    <row r="25" spans="2:14" ht="20.100000000000001" customHeight="1" x14ac:dyDescent="0.2">
      <c r="B25" s="1940" t="s">
        <v>2088</v>
      </c>
      <c r="C25" s="1338"/>
      <c r="D25" s="1339"/>
      <c r="E25" s="1340"/>
      <c r="F25" s="1340"/>
      <c r="G25" s="1340"/>
      <c r="H25" s="1340"/>
      <c r="I25" s="1340"/>
      <c r="J25" s="1340"/>
      <c r="K25" s="1340"/>
      <c r="L25" s="1337"/>
      <c r="M25" s="1340"/>
    </row>
    <row r="26" spans="2:14" ht="20.100000000000001" customHeight="1" x14ac:dyDescent="0.2">
      <c r="B26" s="1940" t="s">
        <v>2095</v>
      </c>
      <c r="C26" s="1338" t="s">
        <v>2111</v>
      </c>
      <c r="D26" s="1942" t="s">
        <v>2116</v>
      </c>
      <c r="E26" s="1340">
        <v>182437</v>
      </c>
      <c r="F26" s="1340">
        <v>5308</v>
      </c>
      <c r="G26" s="1340">
        <v>187745</v>
      </c>
      <c r="H26" s="1340">
        <v>0</v>
      </c>
      <c r="I26" s="1340">
        <v>0</v>
      </c>
      <c r="J26" s="1340">
        <v>0</v>
      </c>
      <c r="K26" s="1340">
        <v>0</v>
      </c>
      <c r="L26" s="1337">
        <f t="shared" si="0"/>
        <v>187745</v>
      </c>
      <c r="M26" s="1340">
        <v>202211</v>
      </c>
    </row>
    <row r="27" spans="2:14" ht="20.100000000000001" customHeight="1" x14ac:dyDescent="0.2">
      <c r="B27" s="1940"/>
      <c r="C27" s="1338"/>
      <c r="D27" s="1942" t="s">
        <v>2117</v>
      </c>
      <c r="E27" s="1340">
        <v>0</v>
      </c>
      <c r="F27" s="1944">
        <v>114481</v>
      </c>
      <c r="G27" s="1340">
        <v>0</v>
      </c>
      <c r="H27" s="1340">
        <v>0</v>
      </c>
      <c r="I27" s="1944">
        <v>125700</v>
      </c>
      <c r="J27" s="1340">
        <v>0</v>
      </c>
      <c r="K27" s="1340">
        <v>0</v>
      </c>
      <c r="L27" s="1337">
        <f>+G27+I27+K27</f>
        <v>125700</v>
      </c>
      <c r="M27" s="1340">
        <v>127596</v>
      </c>
    </row>
    <row r="28" spans="2:14" ht="20.100000000000001" customHeight="1" x14ac:dyDescent="0.2">
      <c r="B28" s="1334"/>
      <c r="C28" s="1338"/>
      <c r="D28" s="1339"/>
      <c r="E28" s="1340"/>
      <c r="F28" s="1340">
        <f>F26+F27</f>
        <v>119789</v>
      </c>
      <c r="G28" s="1340"/>
      <c r="H28" s="1340"/>
      <c r="I28" s="1340">
        <f>I26+I27</f>
        <v>125700</v>
      </c>
      <c r="J28" s="1340"/>
      <c r="K28" s="1340"/>
      <c r="L28" s="1337"/>
      <c r="M28" s="1340"/>
      <c r="N28" s="1341"/>
    </row>
    <row r="29" spans="2:14" ht="12.75" customHeight="1" x14ac:dyDescent="0.2">
      <c r="B29" s="1342"/>
      <c r="C29" s="1343"/>
      <c r="D29" s="1344"/>
      <c r="E29" s="1345"/>
      <c r="F29" s="1345"/>
      <c r="G29" s="1345"/>
      <c r="H29" s="1345"/>
      <c r="I29" s="1345"/>
      <c r="J29" s="1345"/>
      <c r="K29" s="1345"/>
      <c r="L29" s="1345"/>
      <c r="M29" s="1345"/>
      <c r="N29" s="1341"/>
    </row>
    <row r="30" spans="2:14" x14ac:dyDescent="0.2">
      <c r="B30" s="1254"/>
      <c r="C30" s="1346"/>
      <c r="D30" s="1347"/>
      <c r="E30" s="1254"/>
      <c r="F30" s="1254"/>
      <c r="G30" s="1247"/>
      <c r="H30" s="1247"/>
      <c r="I30" s="1247"/>
      <c r="J30" s="1247"/>
      <c r="K30" s="1247"/>
      <c r="L30" s="1247"/>
      <c r="M30" s="1254"/>
      <c r="N30" s="1341"/>
    </row>
    <row r="31" spans="2:14" ht="13.5" customHeight="1" x14ac:dyDescent="0.2">
      <c r="B31" s="1279" t="s">
        <v>1731</v>
      </c>
      <c r="C31" s="1346"/>
      <c r="D31" s="1347"/>
      <c r="E31" s="1254"/>
      <c r="F31" s="1254"/>
      <c r="G31" s="1247"/>
      <c r="H31" s="1247"/>
      <c r="I31" s="1247"/>
      <c r="J31" s="1247"/>
      <c r="K31" s="1247"/>
      <c r="L31" s="1247"/>
      <c r="M31" s="1254"/>
      <c r="N31" s="1341"/>
    </row>
    <row r="32" spans="2:14" ht="8.25" customHeight="1" x14ac:dyDescent="0.2">
      <c r="B32" s="1279"/>
      <c r="C32" s="1346"/>
      <c r="D32" s="1347"/>
      <c r="E32" s="1254"/>
      <c r="F32" s="1254"/>
      <c r="G32" s="1247"/>
      <c r="H32" s="1247"/>
      <c r="I32" s="1247"/>
      <c r="J32" s="1247"/>
      <c r="K32" s="1247"/>
      <c r="L32" s="1247"/>
      <c r="M32" s="1254"/>
      <c r="N32" s="1341"/>
    </row>
    <row r="33" spans="2:13" x14ac:dyDescent="0.2">
      <c r="B33" s="1348" t="s">
        <v>1834</v>
      </c>
      <c r="C33" s="1349"/>
      <c r="D33" s="1350"/>
      <c r="E33" s="1351"/>
      <c r="F33" s="1351"/>
      <c r="G33" s="1351"/>
      <c r="H33" s="1351"/>
      <c r="I33" s="317"/>
      <c r="J33" s="317"/>
    </row>
    <row r="34" spans="2:13" x14ac:dyDescent="0.2">
      <c r="B34" s="1274"/>
      <c r="C34" s="1352"/>
      <c r="D34" s="1353"/>
      <c r="E34" s="1275"/>
      <c r="F34" s="1275"/>
      <c r="G34" s="317"/>
      <c r="H34" s="317"/>
      <c r="I34" s="317"/>
      <c r="J34" s="317"/>
    </row>
    <row r="35" spans="2:13" ht="13.5" customHeight="1" x14ac:dyDescent="0.2">
      <c r="B35" s="1273" t="s">
        <v>1246</v>
      </c>
      <c r="G35" s="317"/>
      <c r="H35" s="317"/>
      <c r="I35" s="317"/>
      <c r="J35" s="317"/>
    </row>
    <row r="36" spans="2:13" ht="13.5" customHeight="1" x14ac:dyDescent="0.2">
      <c r="B36" s="1356"/>
      <c r="C36" s="1357"/>
      <c r="D36" s="1358"/>
      <c r="E36" s="1294"/>
      <c r="F36" s="1294"/>
      <c r="G36" s="1294"/>
      <c r="H36" s="1294"/>
      <c r="I36" s="1294"/>
      <c r="J36" s="1294"/>
      <c r="K36" s="1359"/>
      <c r="L36" s="1359"/>
      <c r="M36" s="1294"/>
    </row>
    <row r="37" spans="2:13" ht="9.6" customHeight="1" x14ac:dyDescent="0.2">
      <c r="B37" s="1360"/>
      <c r="G37" s="317"/>
      <c r="H37" s="317"/>
      <c r="I37" s="317"/>
      <c r="J37" s="317"/>
    </row>
    <row r="38" spans="2:13" ht="11.25" customHeight="1" x14ac:dyDescent="0.2">
      <c r="B38" s="1361" t="s">
        <v>1732</v>
      </c>
      <c r="C38" s="1362"/>
      <c r="D38" s="1362"/>
      <c r="E38" s="1362"/>
      <c r="F38" s="1362"/>
      <c r="G38" s="1362"/>
      <c r="H38" s="1362"/>
      <c r="I38" s="1363"/>
      <c r="J38" s="1363"/>
      <c r="K38" s="1363"/>
      <c r="L38" s="1363"/>
      <c r="M38" s="1363"/>
    </row>
    <row r="39" spans="2:13" ht="11.25" customHeight="1" x14ac:dyDescent="0.2">
      <c r="B39" s="1364" t="s">
        <v>1581</v>
      </c>
      <c r="C39" s="1363"/>
      <c r="D39" s="1363"/>
      <c r="E39" s="1363"/>
      <c r="F39" s="1363"/>
      <c r="G39" s="1363"/>
      <c r="H39" s="1363"/>
      <c r="I39" s="1363"/>
      <c r="J39" s="1363"/>
      <c r="K39" s="1363"/>
      <c r="L39" s="1363"/>
      <c r="M39" s="1363"/>
    </row>
    <row r="40" spans="2:13" ht="3.95" customHeight="1" x14ac:dyDescent="0.2">
      <c r="B40" s="1364"/>
      <c r="C40" s="1363"/>
      <c r="D40" s="1363"/>
      <c r="E40" s="1363"/>
      <c r="F40" s="1363"/>
      <c r="G40" s="1363"/>
      <c r="H40" s="1363"/>
      <c r="I40" s="1363"/>
      <c r="J40" s="1363"/>
      <c r="K40" s="1363"/>
      <c r="L40" s="1363"/>
      <c r="M40" s="1363"/>
    </row>
    <row r="41" spans="2:13" ht="11.25" customHeight="1" x14ac:dyDescent="0.2">
      <c r="B41" s="1361" t="s">
        <v>1733</v>
      </c>
      <c r="C41" s="1363"/>
      <c r="D41" s="1363"/>
      <c r="E41" s="1363"/>
      <c r="F41" s="1363"/>
      <c r="G41" s="1363"/>
      <c r="H41" s="1363"/>
      <c r="I41" s="1363"/>
      <c r="J41" s="1363"/>
      <c r="K41" s="1363"/>
      <c r="L41" s="1363"/>
      <c r="M41" s="1363"/>
    </row>
    <row r="42" spans="2:13" ht="11.25" customHeight="1" x14ac:dyDescent="0.2">
      <c r="B42" s="1297" t="s">
        <v>1582</v>
      </c>
      <c r="C42" s="1365"/>
      <c r="D42" s="1366"/>
      <c r="E42" s="1297"/>
      <c r="F42" s="1297"/>
      <c r="G42" s="1297"/>
      <c r="H42" s="1297"/>
      <c r="I42" s="1297"/>
      <c r="J42" s="1297"/>
      <c r="K42" s="1367"/>
      <c r="L42" s="1367"/>
      <c r="M42" s="1297"/>
    </row>
    <row r="43" spans="2:13" ht="3.95" customHeight="1" x14ac:dyDescent="0.2">
      <c r="B43" s="1297"/>
      <c r="C43" s="1365"/>
      <c r="D43" s="1366"/>
      <c r="E43" s="1297"/>
      <c r="F43" s="1297"/>
      <c r="G43" s="1297"/>
      <c r="H43" s="1297"/>
      <c r="I43" s="1297"/>
      <c r="J43" s="1297"/>
      <c r="K43" s="1367"/>
      <c r="L43" s="1367"/>
      <c r="M43" s="1297"/>
    </row>
    <row r="44" spans="2:13" ht="11.25" customHeight="1" x14ac:dyDescent="0.2">
      <c r="B44" s="1368" t="s">
        <v>1734</v>
      </c>
      <c r="C44" s="1365"/>
      <c r="D44" s="1366"/>
      <c r="E44" s="1297"/>
      <c r="F44" s="1297"/>
      <c r="G44" s="1297"/>
      <c r="H44" s="1297"/>
      <c r="I44" s="1297"/>
      <c r="J44" s="1297"/>
      <c r="K44" s="1367"/>
      <c r="L44" s="1367"/>
      <c r="M44" s="1297"/>
    </row>
    <row r="45" spans="2:13" ht="3.95" customHeight="1" x14ac:dyDescent="0.2">
      <c r="B45" s="1368"/>
      <c r="C45" s="1365"/>
      <c r="D45" s="1366"/>
      <c r="E45" s="1297"/>
      <c r="F45" s="1297"/>
      <c r="G45" s="1297"/>
      <c r="H45" s="1297"/>
      <c r="I45" s="1297"/>
      <c r="J45" s="1297"/>
      <c r="K45" s="1367"/>
      <c r="L45" s="1367"/>
      <c r="M45" s="1297"/>
    </row>
    <row r="46" spans="2:13" ht="11.25" customHeight="1" x14ac:dyDescent="0.2">
      <c r="B46" s="1369" t="s">
        <v>1735</v>
      </c>
      <c r="C46" s="1365"/>
      <c r="D46" s="1366"/>
      <c r="E46" s="1297"/>
      <c r="F46" s="1297"/>
      <c r="G46" s="1297"/>
      <c r="H46" s="1297"/>
      <c r="I46" s="1297"/>
      <c r="J46" s="1297"/>
      <c r="K46" s="1367"/>
      <c r="L46" s="1367"/>
      <c r="M46" s="1297"/>
    </row>
    <row r="47" spans="2:13" ht="11.25" customHeight="1" x14ac:dyDescent="0.2">
      <c r="B47" s="1297" t="s">
        <v>1583</v>
      </c>
      <c r="G47" s="317"/>
      <c r="H47" s="317"/>
      <c r="I47" s="317"/>
      <c r="J47" s="317"/>
    </row>
    <row r="48" spans="2:13" ht="11.1" customHeight="1" x14ac:dyDescent="0.2">
      <c r="B48" s="1297"/>
      <c r="G48" s="317"/>
      <c r="H48" s="317"/>
      <c r="I48" s="317"/>
      <c r="J48" s="317"/>
    </row>
    <row r="49" spans="2:13" ht="11.1" customHeight="1" x14ac:dyDescent="0.2">
      <c r="B49" s="1297"/>
      <c r="G49" s="317"/>
      <c r="H49" s="317"/>
      <c r="I49" s="317"/>
      <c r="J49" s="317"/>
    </row>
    <row r="50" spans="2:13" ht="13.5" customHeight="1" x14ac:dyDescent="0.2">
      <c r="M50" s="1370"/>
    </row>
    <row r="51" spans="2:13" ht="13.5" customHeight="1" x14ac:dyDescent="0.2">
      <c r="M51" s="1370"/>
    </row>
    <row r="52" spans="2:13" ht="13.5" customHeight="1" x14ac:dyDescent="0.2">
      <c r="M52" s="1370"/>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&amp;L&amp;8Page 40a&amp;R&amp;8Page 40a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zoomScaleNormal="100" workbookViewId="0">
      <selection activeCell="B1" sqref="B1:M1"/>
    </sheetView>
  </sheetViews>
  <sheetFormatPr defaultColWidth="33.5703125" defaultRowHeight="12.75" x14ac:dyDescent="0.2"/>
  <cols>
    <col min="1" max="1" width="0.140625" style="317" customWidth="1"/>
    <col min="2" max="2" width="34.71093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Morton Community Unit School District 709</v>
      </c>
      <c r="C1" s="2440"/>
      <c r="D1" s="2440"/>
      <c r="E1" s="2440"/>
      <c r="F1" s="2440"/>
      <c r="G1" s="2440"/>
      <c r="H1" s="2440"/>
      <c r="I1" s="2440"/>
      <c r="J1" s="2440"/>
      <c r="K1" s="2440"/>
      <c r="L1" s="2440"/>
      <c r="M1" s="2440"/>
    </row>
    <row r="2" spans="2:14" ht="15" x14ac:dyDescent="0.2">
      <c r="B2" s="2441" t="str">
        <f>'Single Audit Cover'!E7</f>
        <v>53-090-7090-26</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1728</v>
      </c>
      <c r="H6" s="1303"/>
      <c r="I6" s="1303"/>
      <c r="J6" s="1303"/>
      <c r="K6" s="1306"/>
      <c r="L6" s="1307"/>
      <c r="M6" s="1308"/>
    </row>
    <row r="7" spans="2:14" x14ac:dyDescent="0.2">
      <c r="B7" s="1309" t="s">
        <v>1578</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1833</v>
      </c>
      <c r="I8" s="1316" t="s">
        <v>1262</v>
      </c>
      <c r="J8" s="1315" t="s">
        <v>1984</v>
      </c>
      <c r="K8" s="1316" t="s">
        <v>1261</v>
      </c>
      <c r="L8" s="1317" t="s">
        <v>1257</v>
      </c>
      <c r="M8" s="1318" t="s">
        <v>30</v>
      </c>
    </row>
    <row r="9" spans="2:14" ht="14.25" x14ac:dyDescent="0.2">
      <c r="B9" s="1322" t="s">
        <v>1259</v>
      </c>
      <c r="C9" s="1310" t="s">
        <v>1729</v>
      </c>
      <c r="D9" s="1311" t="s">
        <v>1730</v>
      </c>
      <c r="E9" s="1319" t="s">
        <v>1833</v>
      </c>
      <c r="F9" s="1320" t="s">
        <v>1984</v>
      </c>
      <c r="G9" s="1321" t="s">
        <v>1833</v>
      </c>
      <c r="H9" s="1314" t="s">
        <v>1579</v>
      </c>
      <c r="I9" s="1316" t="s">
        <v>1984</v>
      </c>
      <c r="J9" s="1315" t="s">
        <v>1579</v>
      </c>
      <c r="K9" s="1316" t="s">
        <v>1258</v>
      </c>
      <c r="L9" s="1323" t="s">
        <v>1580</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0" t="s">
        <v>2094</v>
      </c>
      <c r="C11" s="1335"/>
      <c r="D11" s="1336"/>
      <c r="E11" s="1337"/>
      <c r="F11" s="1337"/>
      <c r="G11" s="1337"/>
      <c r="H11" s="1337"/>
      <c r="I11" s="1337"/>
      <c r="J11" s="1337"/>
      <c r="K11" s="1337"/>
      <c r="L11" s="1337"/>
      <c r="M11" s="1337"/>
    </row>
    <row r="12" spans="2:14" ht="21.75" customHeight="1" x14ac:dyDescent="0.2">
      <c r="B12" s="1940" t="s">
        <v>2088</v>
      </c>
      <c r="C12" s="1338"/>
      <c r="D12" s="1339"/>
      <c r="E12" s="1340"/>
      <c r="F12" s="1340"/>
      <c r="G12" s="1340"/>
      <c r="H12" s="1340"/>
      <c r="I12" s="1340"/>
      <c r="J12" s="1340"/>
      <c r="K12" s="1340"/>
      <c r="L12" s="1337"/>
      <c r="M12" s="1340"/>
    </row>
    <row r="13" spans="2:14" ht="22.5" customHeight="1" x14ac:dyDescent="0.2">
      <c r="B13" s="1940" t="s">
        <v>2096</v>
      </c>
      <c r="C13" s="1938" t="s">
        <v>2111</v>
      </c>
      <c r="D13" s="1942" t="s">
        <v>2118</v>
      </c>
      <c r="E13" s="1340">
        <v>19911</v>
      </c>
      <c r="F13" s="1340">
        <v>19289</v>
      </c>
      <c r="G13" s="1340">
        <v>28977</v>
      </c>
      <c r="H13" s="1340">
        <v>0</v>
      </c>
      <c r="I13" s="1340">
        <v>10223</v>
      </c>
      <c r="J13" s="1340">
        <v>0</v>
      </c>
      <c r="K13" s="1340">
        <v>0</v>
      </c>
      <c r="L13" s="1337">
        <f t="shared" ref="L13:L24" si="0">+G13+I13+K13</f>
        <v>39200</v>
      </c>
      <c r="M13" s="1340">
        <v>55195</v>
      </c>
    </row>
    <row r="14" spans="2:14" ht="20.100000000000001" customHeight="1" x14ac:dyDescent="0.2">
      <c r="B14" s="1939"/>
      <c r="C14" s="1338"/>
      <c r="D14" s="1942" t="s">
        <v>2119</v>
      </c>
      <c r="E14" s="1340">
        <v>0</v>
      </c>
      <c r="F14" s="1944">
        <v>24273</v>
      </c>
      <c r="G14" s="1340">
        <v>0</v>
      </c>
      <c r="H14" s="1340">
        <v>0</v>
      </c>
      <c r="I14" s="1944">
        <v>31968</v>
      </c>
      <c r="J14" s="1340">
        <v>0</v>
      </c>
      <c r="K14" s="1340">
        <v>0</v>
      </c>
      <c r="L14" s="1337">
        <f t="shared" si="0"/>
        <v>31968</v>
      </c>
      <c r="M14" s="1340">
        <v>48738</v>
      </c>
    </row>
    <row r="15" spans="2:14" ht="20.100000000000001" customHeight="1" x14ac:dyDescent="0.2">
      <c r="B15" s="1940"/>
      <c r="C15" s="1338"/>
      <c r="D15" s="1942"/>
      <c r="E15" s="1340"/>
      <c r="F15" s="1340">
        <f>F13+F14</f>
        <v>43562</v>
      </c>
      <c r="G15" s="1340"/>
      <c r="H15" s="1340"/>
      <c r="I15" s="1340">
        <f>I13+I14</f>
        <v>42191</v>
      </c>
      <c r="J15" s="1340"/>
      <c r="K15" s="1340"/>
      <c r="L15" s="1337"/>
      <c r="M15" s="1340"/>
    </row>
    <row r="16" spans="2:14" ht="20.100000000000001" customHeight="1" x14ac:dyDescent="0.2">
      <c r="B16" s="1940"/>
      <c r="C16" s="1338"/>
      <c r="D16" s="1942"/>
      <c r="E16" s="1340"/>
      <c r="F16" s="1340"/>
      <c r="G16" s="1340"/>
      <c r="H16" s="1340"/>
      <c r="I16" s="1340"/>
      <c r="J16" s="1340"/>
      <c r="K16" s="1340"/>
      <c r="L16" s="1337"/>
      <c r="M16" s="1340"/>
    </row>
    <row r="17" spans="2:14" ht="20.100000000000001" customHeight="1" x14ac:dyDescent="0.2">
      <c r="B17" s="1940" t="s">
        <v>2097</v>
      </c>
      <c r="C17" s="1338"/>
      <c r="D17" s="1942"/>
      <c r="E17" s="1340"/>
      <c r="F17" s="1340">
        <f>F15+' SEFA'!F28</f>
        <v>163351</v>
      </c>
      <c r="G17" s="1340"/>
      <c r="H17" s="1340"/>
      <c r="I17" s="1340">
        <f>I15+' SEFA'!I28</f>
        <v>167891</v>
      </c>
      <c r="J17" s="1340"/>
      <c r="K17" s="1340"/>
      <c r="L17" s="1337"/>
      <c r="M17" s="1340"/>
    </row>
    <row r="18" spans="2:14" ht="20.100000000000001" customHeight="1" x14ac:dyDescent="0.2">
      <c r="B18" s="1940"/>
      <c r="C18" s="1338"/>
      <c r="D18" s="1942"/>
      <c r="E18" s="1340"/>
      <c r="F18" s="1340"/>
      <c r="G18" s="1340"/>
      <c r="H18" s="1340"/>
      <c r="I18" s="1340"/>
      <c r="J18" s="1340"/>
      <c r="K18" s="1340"/>
      <c r="L18" s="1337"/>
      <c r="M18" s="1340"/>
    </row>
    <row r="19" spans="2:14" ht="20.100000000000001" customHeight="1" x14ac:dyDescent="0.2">
      <c r="B19" s="1940" t="s">
        <v>2098</v>
      </c>
      <c r="C19" s="1338" t="s">
        <v>2112</v>
      </c>
      <c r="D19" s="1942" t="s">
        <v>2120</v>
      </c>
      <c r="E19" s="1340">
        <v>49190</v>
      </c>
      <c r="F19" s="1340">
        <v>0</v>
      </c>
      <c r="G19" s="1340">
        <v>49190</v>
      </c>
      <c r="H19" s="1340">
        <v>0</v>
      </c>
      <c r="I19" s="1340">
        <v>0</v>
      </c>
      <c r="J19" s="1340">
        <v>0</v>
      </c>
      <c r="K19" s="1340">
        <v>0</v>
      </c>
      <c r="L19" s="1337">
        <f t="shared" si="0"/>
        <v>49190</v>
      </c>
      <c r="M19" s="1340">
        <v>49425</v>
      </c>
    </row>
    <row r="20" spans="2:14" ht="20.100000000000001" customHeight="1" x14ac:dyDescent="0.2">
      <c r="B20" s="1940"/>
      <c r="C20" s="1338"/>
      <c r="D20" s="1942" t="s">
        <v>2121</v>
      </c>
      <c r="E20" s="1340">
        <v>0</v>
      </c>
      <c r="F20" s="1944">
        <v>44561</v>
      </c>
      <c r="G20" s="1340">
        <v>0</v>
      </c>
      <c r="H20" s="1340">
        <v>0</v>
      </c>
      <c r="I20" s="1944">
        <v>44561</v>
      </c>
      <c r="J20" s="1340">
        <v>0</v>
      </c>
      <c r="K20" s="1340">
        <v>0</v>
      </c>
      <c r="L20" s="1337">
        <f t="shared" si="0"/>
        <v>44561</v>
      </c>
      <c r="M20" s="1340">
        <v>44860</v>
      </c>
    </row>
    <row r="21" spans="2:14" ht="20.100000000000001" customHeight="1" x14ac:dyDescent="0.2">
      <c r="B21" s="1940"/>
      <c r="C21" s="1338"/>
      <c r="D21" s="1942"/>
      <c r="E21" s="1340"/>
      <c r="F21" s="1340">
        <f>F20+F19</f>
        <v>44561</v>
      </c>
      <c r="G21" s="1340"/>
      <c r="H21" s="1340"/>
      <c r="I21" s="1340">
        <f>I20+I19</f>
        <v>44561</v>
      </c>
      <c r="J21" s="1340"/>
      <c r="K21" s="1340"/>
      <c r="L21" s="1337"/>
      <c r="M21" s="1340"/>
    </row>
    <row r="22" spans="2:14" ht="20.100000000000001" customHeight="1" x14ac:dyDescent="0.2">
      <c r="B22" s="1940"/>
      <c r="C22" s="1338"/>
      <c r="D22" s="1942"/>
      <c r="E22" s="1340"/>
      <c r="F22" s="1340"/>
      <c r="G22" s="1340"/>
      <c r="H22" s="1340"/>
      <c r="I22" s="1340"/>
      <c r="J22" s="1340"/>
      <c r="K22" s="1340"/>
      <c r="L22" s="1337"/>
      <c r="M22" s="1340"/>
    </row>
    <row r="23" spans="2:14" ht="22.5" customHeight="1" x14ac:dyDescent="0.2">
      <c r="B23" s="1940" t="s">
        <v>2099</v>
      </c>
      <c r="C23" s="1338">
        <v>84.027000000000001</v>
      </c>
      <c r="D23" s="1942" t="s">
        <v>2122</v>
      </c>
      <c r="E23" s="1340">
        <v>114246</v>
      </c>
      <c r="F23" s="1340">
        <v>116408</v>
      </c>
      <c r="G23" s="1340">
        <v>114246</v>
      </c>
      <c r="H23" s="1340">
        <v>0</v>
      </c>
      <c r="I23" s="1340">
        <v>116408</v>
      </c>
      <c r="J23" s="1340">
        <v>0</v>
      </c>
      <c r="K23" s="1340">
        <v>0</v>
      </c>
      <c r="L23" s="1337">
        <f t="shared" si="0"/>
        <v>230654</v>
      </c>
      <c r="M23" s="1340" t="s">
        <v>2115</v>
      </c>
    </row>
    <row r="24" spans="2:14" ht="20.100000000000001" customHeight="1" x14ac:dyDescent="0.2">
      <c r="B24" s="1940"/>
      <c r="C24" s="1338"/>
      <c r="D24" s="1942" t="s">
        <v>2123</v>
      </c>
      <c r="E24" s="1340">
        <v>0</v>
      </c>
      <c r="F24" s="1944">
        <v>146218</v>
      </c>
      <c r="G24" s="1340">
        <v>0</v>
      </c>
      <c r="H24" s="1340">
        <v>0</v>
      </c>
      <c r="I24" s="1944">
        <v>146218</v>
      </c>
      <c r="J24" s="1340">
        <v>0</v>
      </c>
      <c r="K24" s="1340">
        <v>0</v>
      </c>
      <c r="L24" s="1337">
        <f t="shared" si="0"/>
        <v>146218</v>
      </c>
      <c r="M24" s="1340" t="s">
        <v>2115</v>
      </c>
    </row>
    <row r="25" spans="2:14" ht="20.100000000000001" customHeight="1" x14ac:dyDescent="0.2">
      <c r="B25" s="1940"/>
      <c r="C25" s="1338"/>
      <c r="D25" s="1339"/>
      <c r="E25" s="1340"/>
      <c r="F25" s="1340">
        <f>F24+F23</f>
        <v>262626</v>
      </c>
      <c r="G25" s="1340"/>
      <c r="H25" s="1340"/>
      <c r="I25" s="1340">
        <f>I23+I24</f>
        <v>262626</v>
      </c>
      <c r="J25" s="1340"/>
      <c r="K25" s="1340"/>
      <c r="L25" s="1337"/>
      <c r="M25" s="1340"/>
    </row>
    <row r="26" spans="2:14" ht="20.100000000000001" customHeight="1" x14ac:dyDescent="0.2">
      <c r="B26" s="1940"/>
      <c r="C26" s="1338"/>
      <c r="D26" s="1339"/>
      <c r="E26" s="1340"/>
      <c r="F26" s="1340"/>
      <c r="G26" s="1340"/>
      <c r="H26" s="1340"/>
      <c r="I26" s="1340"/>
      <c r="J26" s="1340"/>
      <c r="K26" s="1340"/>
      <c r="L26" s="1337"/>
      <c r="M26" s="1340"/>
    </row>
    <row r="27" spans="2:14" ht="20.100000000000001" customHeight="1" x14ac:dyDescent="0.2">
      <c r="B27" s="1940" t="s">
        <v>2100</v>
      </c>
      <c r="C27" s="1338"/>
      <c r="D27" s="1339"/>
      <c r="E27" s="1340"/>
      <c r="F27" s="1340">
        <f>F25+F21+F17</f>
        <v>470538</v>
      </c>
      <c r="G27" s="1340"/>
      <c r="H27" s="1340"/>
      <c r="I27" s="1340">
        <f>I25+I21+I17</f>
        <v>475078</v>
      </c>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1731</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1834</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1732</v>
      </c>
      <c r="C37" s="1362"/>
      <c r="D37" s="1362"/>
      <c r="E37" s="1362"/>
      <c r="F37" s="1362"/>
      <c r="G37" s="1362"/>
      <c r="H37" s="1362"/>
      <c r="I37" s="1363"/>
      <c r="J37" s="1363"/>
      <c r="K37" s="1363"/>
      <c r="L37" s="1363"/>
      <c r="M37" s="1363"/>
    </row>
    <row r="38" spans="2:13" ht="11.25" customHeight="1" x14ac:dyDescent="0.2">
      <c r="B38" s="1364" t="s">
        <v>1581</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1733</v>
      </c>
      <c r="C40" s="1363"/>
      <c r="D40" s="1363"/>
      <c r="E40" s="1363"/>
      <c r="F40" s="1363"/>
      <c r="G40" s="1363"/>
      <c r="H40" s="1363"/>
      <c r="I40" s="1363"/>
      <c r="J40" s="1363"/>
      <c r="K40" s="1363"/>
      <c r="L40" s="1363"/>
      <c r="M40" s="1363"/>
    </row>
    <row r="41" spans="2:13" ht="11.25" customHeight="1" x14ac:dyDescent="0.2">
      <c r="B41" s="1297" t="s">
        <v>1582</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1734</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1735</v>
      </c>
      <c r="C45" s="1365"/>
      <c r="D45" s="1366"/>
      <c r="E45" s="1297"/>
      <c r="F45" s="1297"/>
      <c r="G45" s="1297"/>
      <c r="H45" s="1297"/>
      <c r="I45" s="1297"/>
      <c r="J45" s="1297"/>
      <c r="K45" s="1367"/>
      <c r="L45" s="1367"/>
      <c r="M45" s="1297"/>
    </row>
    <row r="46" spans="2:13" ht="11.25" customHeight="1" x14ac:dyDescent="0.2">
      <c r="B46" s="1297" t="s">
        <v>1583</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40b&amp;R&amp;8Page 40b</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topLeftCell="A111"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1168</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1634</v>
      </c>
      <c r="B4" s="344"/>
      <c r="C4" s="344"/>
      <c r="D4" s="344"/>
      <c r="E4" s="344"/>
      <c r="F4" s="344"/>
      <c r="G4" s="344"/>
      <c r="H4" s="344"/>
      <c r="I4" s="344"/>
      <c r="J4" s="344"/>
      <c r="K4" s="344"/>
    </row>
    <row r="5" spans="1:11" x14ac:dyDescent="0.2">
      <c r="A5" s="237" t="s">
        <v>1635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1555</v>
      </c>
    </row>
    <row r="10" spans="1:11" s="181" customFormat="1" x14ac:dyDescent="0.2">
      <c r="A10" s="222"/>
      <c r="B10" s="223"/>
      <c r="C10" s="224"/>
      <c r="D10" s="225" t="s">
        <v>1621</v>
      </c>
    </row>
    <row r="11" spans="1:11" s="181" customFormat="1" x14ac:dyDescent="0.2">
      <c r="A11" s="219"/>
      <c r="B11" s="226"/>
      <c r="C11" s="227">
        <v>2</v>
      </c>
      <c r="D11" s="228" t="s">
        <v>1622</v>
      </c>
    </row>
    <row r="12" spans="1:11" s="181" customFormat="1" hidden="1" x14ac:dyDescent="0.2">
      <c r="A12" s="219"/>
      <c r="B12" s="229"/>
      <c r="C12" s="227"/>
      <c r="D12" s="230"/>
    </row>
    <row r="13" spans="1:11" s="181" customFormat="1" x14ac:dyDescent="0.2">
      <c r="A13" s="219"/>
      <c r="B13" s="226"/>
      <c r="C13" s="227">
        <v>3</v>
      </c>
      <c r="D13" s="228" t="s">
        <v>1623</v>
      </c>
    </row>
    <row r="14" spans="1:11" s="181" customFormat="1" x14ac:dyDescent="0.2">
      <c r="A14" s="219"/>
      <c r="B14" s="226"/>
      <c r="C14" s="227">
        <v>4</v>
      </c>
      <c r="D14" s="228" t="s">
        <v>1624</v>
      </c>
    </row>
    <row r="15" spans="1:11" s="181" customFormat="1" x14ac:dyDescent="0.2">
      <c r="A15" s="219"/>
      <c r="B15" s="226"/>
      <c r="C15" s="227">
        <v>5</v>
      </c>
      <c r="D15" s="231" t="s">
        <v>969</v>
      </c>
    </row>
    <row r="16" spans="1:11" s="181" customFormat="1" x14ac:dyDescent="0.2">
      <c r="A16" s="219"/>
      <c r="B16" s="226"/>
      <c r="C16" s="227">
        <v>6</v>
      </c>
      <c r="D16" s="231" t="s">
        <v>1456</v>
      </c>
    </row>
    <row r="17" spans="1:4" s="181" customFormat="1" ht="6" hidden="1" customHeight="1" x14ac:dyDescent="0.2">
      <c r="A17" s="219"/>
      <c r="B17" s="229"/>
      <c r="C17" s="227"/>
      <c r="D17" s="232"/>
    </row>
    <row r="18" spans="1:4" s="181" customFormat="1" ht="12" customHeight="1" x14ac:dyDescent="0.2">
      <c r="A18" s="219"/>
      <c r="B18" s="226"/>
      <c r="C18" s="227">
        <v>7</v>
      </c>
      <c r="D18" s="231" t="s">
        <v>1455</v>
      </c>
    </row>
    <row r="19" spans="1:4" s="181" customFormat="1" hidden="1" x14ac:dyDescent="0.2">
      <c r="A19" s="219"/>
      <c r="B19" s="229"/>
      <c r="C19" s="227"/>
      <c r="D19" s="232"/>
    </row>
    <row r="20" spans="1:4" s="181" customFormat="1" x14ac:dyDescent="0.2">
      <c r="A20" s="219"/>
      <c r="B20" s="226"/>
      <c r="C20" s="227">
        <v>8</v>
      </c>
      <c r="D20" s="231" t="s">
        <v>1625</v>
      </c>
    </row>
    <row r="21" spans="1:4" s="181" customFormat="1" x14ac:dyDescent="0.2">
      <c r="A21" s="219"/>
      <c r="B21" s="229"/>
      <c r="C21" s="227"/>
      <c r="D21" s="233" t="s">
        <v>1552</v>
      </c>
    </row>
    <row r="22" spans="1:4" s="181" customFormat="1" x14ac:dyDescent="0.2">
      <c r="A22" s="219"/>
      <c r="B22" s="226"/>
      <c r="C22" s="227">
        <v>9</v>
      </c>
      <c r="D22" s="231" t="s">
        <v>1626</v>
      </c>
    </row>
    <row r="23" spans="1:4" s="181" customFormat="1" x14ac:dyDescent="0.2">
      <c r="A23" s="219"/>
      <c r="B23" s="234"/>
      <c r="C23" s="227"/>
      <c r="D23" s="235" t="s">
        <v>1553</v>
      </c>
    </row>
    <row r="24" spans="1:4" s="181" customFormat="1" x14ac:dyDescent="0.2">
      <c r="A24" s="219"/>
      <c r="B24" s="226"/>
      <c r="C24" s="227">
        <v>10</v>
      </c>
      <c r="D24" s="231" t="s">
        <v>1627</v>
      </c>
    </row>
    <row r="25" spans="1:4" s="181" customFormat="1" x14ac:dyDescent="0.2">
      <c r="A25" s="219"/>
      <c r="B25" s="226"/>
      <c r="C25" s="227">
        <v>11</v>
      </c>
      <c r="D25" s="231" t="s">
        <v>1628</v>
      </c>
    </row>
    <row r="26" spans="1:4" s="181" customFormat="1" x14ac:dyDescent="0.2">
      <c r="A26" s="219"/>
      <c r="B26" s="234"/>
      <c r="C26" s="227"/>
      <c r="D26" s="235" t="s">
        <v>1554</v>
      </c>
    </row>
    <row r="27" spans="1:4" s="181" customFormat="1" x14ac:dyDescent="0.2">
      <c r="A27" s="219"/>
      <c r="B27" s="226"/>
      <c r="C27" s="227">
        <v>12</v>
      </c>
      <c r="D27" s="231" t="s">
        <v>1556</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1629</v>
      </c>
    </row>
    <row r="31" spans="1:4" s="181" customFormat="1" x14ac:dyDescent="0.2">
      <c r="A31" s="219"/>
      <c r="B31" s="226"/>
      <c r="C31" s="227">
        <v>14</v>
      </c>
      <c r="D31" s="231" t="s">
        <v>1940</v>
      </c>
    </row>
    <row r="32" spans="1:4" s="181" customFormat="1" x14ac:dyDescent="0.2">
      <c r="A32" s="219"/>
      <c r="B32" s="236"/>
      <c r="C32" s="227"/>
      <c r="D32" s="237" t="s">
        <v>1787</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4" t="s">
        <v>1630</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1631</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1632</v>
      </c>
    </row>
    <row r="43" spans="1:9" s="181" customFormat="1" x14ac:dyDescent="0.2">
      <c r="A43" s="219"/>
      <c r="B43" s="229"/>
      <c r="C43" s="227"/>
      <c r="D43" s="240" t="s">
        <v>1633</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313</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1636</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2058</v>
      </c>
      <c r="C53" s="179">
        <v>22</v>
      </c>
      <c r="D53" s="247" t="s">
        <v>1459</v>
      </c>
      <c r="E53" s="248"/>
      <c r="F53" s="249"/>
      <c r="G53" s="249" t="s">
        <v>1458</v>
      </c>
      <c r="H53" s="250">
        <v>36161</v>
      </c>
      <c r="I53" s="237" t="s">
        <v>1480</v>
      </c>
    </row>
    <row r="54" spans="1:10" s="181" customFormat="1" x14ac:dyDescent="0.2">
      <c r="A54" s="219"/>
      <c r="B54" s="220"/>
      <c r="C54" s="179">
        <v>23</v>
      </c>
      <c r="D54" s="243" t="s">
        <v>1359</v>
      </c>
      <c r="E54" s="248"/>
      <c r="F54" s="249"/>
    </row>
    <row r="55" spans="1:10" s="181" customFormat="1" x14ac:dyDescent="0.2">
      <c r="A55" s="214"/>
      <c r="B55" s="251"/>
      <c r="C55" s="251"/>
      <c r="D55" s="231" t="s">
        <v>1786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1320</v>
      </c>
      <c r="B70" s="2077"/>
      <c r="C70" s="2077"/>
      <c r="D70" s="2077"/>
      <c r="E70" s="2078"/>
      <c r="F70" s="2078"/>
      <c r="G70" s="2078"/>
      <c r="H70" s="2078"/>
      <c r="I70" s="2078"/>
    </row>
    <row r="71" spans="1:10" s="181" customFormat="1" x14ac:dyDescent="0.2">
      <c r="A71" s="219"/>
      <c r="C71" s="257"/>
      <c r="D71" s="258" t="s">
        <v>1319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1924</v>
      </c>
      <c r="B73" s="255"/>
      <c r="C73" s="256"/>
      <c r="D73" s="256"/>
      <c r="E73" s="256"/>
      <c r="F73" s="256"/>
      <c r="G73" s="256"/>
      <c r="H73" s="256"/>
    </row>
    <row r="74" spans="1:10" s="181" customFormat="1" x14ac:dyDescent="0.2">
      <c r="A74" s="259" t="s">
        <v>1422</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1423</v>
      </c>
      <c r="B76" s="255"/>
      <c r="C76" s="256"/>
      <c r="D76" s="256"/>
      <c r="E76" s="256"/>
      <c r="F76" s="256"/>
      <c r="G76" s="256"/>
      <c r="H76" s="256"/>
    </row>
    <row r="77" spans="1:10" s="181" customFormat="1" x14ac:dyDescent="0.2">
      <c r="C77" s="179">
        <v>24</v>
      </c>
      <c r="D77" s="247" t="s">
        <v>1644</v>
      </c>
      <c r="G77" s="297" t="s">
        <v>1899</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1642</v>
      </c>
      <c r="E79" s="248"/>
      <c r="F79" s="249"/>
    </row>
    <row r="80" spans="1:10" s="181" customFormat="1" x14ac:dyDescent="0.2">
      <c r="A80" s="219"/>
      <c r="B80" s="262"/>
      <c r="C80" s="179"/>
      <c r="D80" s="247" t="s">
        <v>1643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1317</v>
      </c>
      <c r="B83" s="2079"/>
      <c r="C83" s="2079"/>
      <c r="D83" s="2080"/>
      <c r="E83" s="263" t="s">
        <v>1354</v>
      </c>
      <c r="F83" s="263" t="s">
        <v>1355</v>
      </c>
      <c r="G83" s="263" t="s">
        <v>1356</v>
      </c>
      <c r="H83" s="263" t="s">
        <v>1357</v>
      </c>
      <c r="I83" s="263" t="s">
        <v>1358</v>
      </c>
      <c r="J83" s="264" t="s">
        <v>156</v>
      </c>
    </row>
    <row r="84" spans="1:10" s="181" customFormat="1" ht="13.5" customHeight="1" thickTop="1" x14ac:dyDescent="0.2">
      <c r="A84" s="265" t="s">
        <v>1441</v>
      </c>
      <c r="B84" s="266"/>
      <c r="C84" s="267"/>
      <c r="D84" s="268"/>
      <c r="E84" s="269"/>
      <c r="F84" s="269"/>
      <c r="G84" s="269"/>
      <c r="H84" s="269"/>
      <c r="I84" s="269"/>
      <c r="J84" s="270"/>
    </row>
    <row r="85" spans="1:10" s="181" customFormat="1" ht="13.5" customHeight="1" x14ac:dyDescent="0.2">
      <c r="A85" s="271" t="s">
        <v>1922</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1318</v>
      </c>
      <c r="B87" s="283"/>
      <c r="C87" s="284"/>
      <c r="D87" s="281"/>
      <c r="E87" s="269"/>
      <c r="F87" s="269"/>
      <c r="G87" s="269"/>
      <c r="H87" s="269"/>
      <c r="I87" s="269"/>
      <c r="J87" s="270"/>
    </row>
    <row r="88" spans="1:10" s="181" customFormat="1" ht="13.5" customHeight="1" x14ac:dyDescent="0.2">
      <c r="A88" s="285" t="s">
        <v>1922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1637</v>
      </c>
      <c r="C92" s="179"/>
      <c r="E92" s="260"/>
      <c r="F92" s="296"/>
      <c r="H92" s="297"/>
    </row>
    <row r="93" spans="1:10" s="181" customFormat="1" ht="16.5" customHeight="1" x14ac:dyDescent="0.2">
      <c r="A93" s="219"/>
      <c r="B93" s="298" t="s">
        <v>1923</v>
      </c>
      <c r="C93" s="179"/>
      <c r="E93" s="260"/>
      <c r="F93" s="296"/>
      <c r="H93" s="297"/>
    </row>
    <row r="94" spans="1:10" s="181" customFormat="1" x14ac:dyDescent="0.2">
      <c r="A94" s="299" t="s">
        <v>1328</v>
      </c>
      <c r="B94" s="300"/>
      <c r="C94" s="300"/>
      <c r="D94" s="301"/>
      <c r="E94" s="302"/>
      <c r="F94" s="303"/>
      <c r="G94" s="304"/>
      <c r="H94" s="305"/>
      <c r="I94" s="306"/>
    </row>
    <row r="95" spans="1:10" s="181" customFormat="1" x14ac:dyDescent="0.2">
      <c r="A95" s="307"/>
      <c r="B95" s="308" t="s">
        <v>1638</v>
      </c>
      <c r="C95" s="309"/>
      <c r="D95" s="310"/>
      <c r="E95" s="304"/>
      <c r="F95" s="304"/>
      <c r="G95" s="304"/>
      <c r="H95" s="304"/>
      <c r="I95" s="304"/>
    </row>
    <row r="96" spans="1:10" s="181" customFormat="1" x14ac:dyDescent="0.2">
      <c r="A96" s="307" t="s">
        <v>1169</v>
      </c>
      <c r="B96" s="345" t="s">
        <v>1640</v>
      </c>
      <c r="C96" s="309"/>
      <c r="D96" s="311"/>
      <c r="E96" s="311"/>
      <c r="F96" s="311"/>
      <c r="G96" s="311"/>
      <c r="H96" s="311"/>
      <c r="I96" s="304"/>
    </row>
    <row r="97" spans="1:9" s="181" customFormat="1" x14ac:dyDescent="0.2">
      <c r="A97" s="307"/>
      <c r="B97" s="308" t="s">
        <v>1639</v>
      </c>
      <c r="C97" s="309"/>
      <c r="D97" s="311"/>
      <c r="E97" s="311"/>
      <c r="F97" s="311"/>
      <c r="G97" s="311"/>
      <c r="H97" s="311"/>
      <c r="I97" s="304"/>
    </row>
    <row r="98" spans="1:9" s="181" customFormat="1" x14ac:dyDescent="0.2">
      <c r="A98" s="308"/>
      <c r="B98" s="312" t="s">
        <v>1641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2131</v>
      </c>
      <c r="D114" s="207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1327</v>
      </c>
      <c r="D117" s="2072"/>
      <c r="E117" s="2073"/>
      <c r="F117" s="2073"/>
      <c r="G117" s="2073"/>
      <c r="H117" s="2073"/>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1900</v>
      </c>
      <c r="G119" s="328"/>
      <c r="H119" s="328"/>
      <c r="I119" s="304"/>
    </row>
    <row r="120" spans="1:9" x14ac:dyDescent="0.2">
      <c r="A120" s="329"/>
      <c r="B120" s="180"/>
      <c r="C120" s="330"/>
      <c r="D120" s="256"/>
      <c r="E120" s="256"/>
      <c r="F120" s="256"/>
      <c r="G120" s="256"/>
      <c r="H120" s="256"/>
      <c r="I120" s="304"/>
    </row>
    <row r="121" spans="1:9" x14ac:dyDescent="0.2">
      <c r="A121" s="329"/>
      <c r="B121" s="1488" t="s">
        <v>1598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3"/>
  <sheetViews>
    <sheetView zoomScaleNormal="100" workbookViewId="0"/>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Morton Community Unit School District 709</v>
      </c>
      <c r="C1" s="2440"/>
      <c r="D1" s="2440"/>
      <c r="E1" s="2440"/>
      <c r="F1" s="2440"/>
      <c r="G1" s="2440"/>
      <c r="H1" s="2440"/>
      <c r="I1" s="2440"/>
      <c r="J1" s="2440"/>
      <c r="K1" s="2440"/>
      <c r="L1" s="2440"/>
      <c r="M1" s="2440"/>
    </row>
    <row r="2" spans="2:14" ht="15" x14ac:dyDescent="0.2">
      <c r="B2" s="2441" t="str">
        <f>'Single Audit Cover'!E7</f>
        <v>53-090-7090-26</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1728</v>
      </c>
      <c r="H6" s="1303"/>
      <c r="I6" s="1303"/>
      <c r="J6" s="1303"/>
      <c r="K6" s="1306"/>
      <c r="L6" s="1307"/>
      <c r="M6" s="1308"/>
    </row>
    <row r="7" spans="2:14" x14ac:dyDescent="0.2">
      <c r="B7" s="1309" t="s">
        <v>1578</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1833</v>
      </c>
      <c r="I8" s="1316" t="s">
        <v>1262</v>
      </c>
      <c r="J8" s="1315" t="s">
        <v>1984</v>
      </c>
      <c r="K8" s="1316" t="s">
        <v>1261</v>
      </c>
      <c r="L8" s="1317" t="s">
        <v>1257</v>
      </c>
      <c r="M8" s="1318" t="s">
        <v>30</v>
      </c>
    </row>
    <row r="9" spans="2:14" ht="14.25" x14ac:dyDescent="0.2">
      <c r="B9" s="1322" t="s">
        <v>1259</v>
      </c>
      <c r="C9" s="1310" t="s">
        <v>1729</v>
      </c>
      <c r="D9" s="1311" t="s">
        <v>1730</v>
      </c>
      <c r="E9" s="1319" t="s">
        <v>1833</v>
      </c>
      <c r="F9" s="1320" t="s">
        <v>1984</v>
      </c>
      <c r="G9" s="1321" t="s">
        <v>1833</v>
      </c>
      <c r="H9" s="1314" t="s">
        <v>1579</v>
      </c>
      <c r="I9" s="1316" t="s">
        <v>1984</v>
      </c>
      <c r="J9" s="1315" t="s">
        <v>1579</v>
      </c>
      <c r="K9" s="1316" t="s">
        <v>1258</v>
      </c>
      <c r="L9" s="1323" t="s">
        <v>1580</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0" t="s">
        <v>2094</v>
      </c>
      <c r="C11" s="1335"/>
      <c r="D11" s="1336"/>
      <c r="E11" s="1337"/>
      <c r="F11" s="1337"/>
      <c r="G11" s="1337"/>
      <c r="H11" s="1337"/>
      <c r="I11" s="1337"/>
      <c r="J11" s="1337"/>
      <c r="K11" s="1337"/>
      <c r="L11" s="1337"/>
      <c r="M11" s="1337"/>
    </row>
    <row r="12" spans="2:14" ht="21.75" customHeight="1" x14ac:dyDescent="0.2">
      <c r="B12" s="1940" t="s">
        <v>2101</v>
      </c>
      <c r="C12" s="1338"/>
      <c r="D12" s="1339"/>
      <c r="E12" s="1340"/>
      <c r="F12" s="1340"/>
      <c r="G12" s="1340"/>
      <c r="H12" s="1340"/>
      <c r="I12" s="1340"/>
      <c r="J12" s="1340"/>
      <c r="K12" s="1340"/>
      <c r="L12" s="1337"/>
      <c r="M12" s="1340"/>
    </row>
    <row r="13" spans="2:14" ht="22.5" customHeight="1" x14ac:dyDescent="0.2">
      <c r="B13" s="1940" t="s">
        <v>2102</v>
      </c>
      <c r="C13" s="1939">
        <v>84.126000000000005</v>
      </c>
      <c r="D13" s="1339" t="s">
        <v>2124</v>
      </c>
      <c r="E13" s="1340">
        <v>0</v>
      </c>
      <c r="F13" s="1340">
        <v>10790</v>
      </c>
      <c r="G13" s="1340">
        <v>0</v>
      </c>
      <c r="H13" s="1340">
        <v>0</v>
      </c>
      <c r="I13" s="1340">
        <v>10790</v>
      </c>
      <c r="J13" s="1340">
        <v>0</v>
      </c>
      <c r="K13" s="1340">
        <v>0</v>
      </c>
      <c r="L13" s="1337">
        <f t="shared" ref="L13:L25" si="0">+G13+I13+K13</f>
        <v>10790</v>
      </c>
      <c r="M13" s="1340" t="s">
        <v>2115</v>
      </c>
    </row>
    <row r="14" spans="2:14" ht="20.100000000000001" customHeight="1" x14ac:dyDescent="0.2">
      <c r="B14" s="1940" t="s">
        <v>2103</v>
      </c>
      <c r="C14" s="1939">
        <v>84.027000000000001</v>
      </c>
      <c r="D14" s="1942" t="s">
        <v>2125</v>
      </c>
      <c r="E14" s="1340">
        <v>0</v>
      </c>
      <c r="F14" s="1340">
        <v>338780</v>
      </c>
      <c r="G14" s="1340">
        <v>0</v>
      </c>
      <c r="H14" s="1340">
        <v>0</v>
      </c>
      <c r="I14" s="1340">
        <v>338780</v>
      </c>
      <c r="J14" s="1340">
        <v>0</v>
      </c>
      <c r="K14" s="1340">
        <v>0</v>
      </c>
      <c r="L14" s="1337">
        <f t="shared" si="0"/>
        <v>338780</v>
      </c>
      <c r="M14" s="1340" t="s">
        <v>2115</v>
      </c>
    </row>
    <row r="15" spans="2:14" ht="20.100000000000001" customHeight="1" x14ac:dyDescent="0.2">
      <c r="B15" s="1940" t="s">
        <v>2104</v>
      </c>
      <c r="C15" s="1939">
        <v>84.173000000000002</v>
      </c>
      <c r="D15" s="1942" t="s">
        <v>2126</v>
      </c>
      <c r="E15" s="1340">
        <v>0</v>
      </c>
      <c r="F15" s="1944">
        <v>39435</v>
      </c>
      <c r="G15" s="1340">
        <v>0</v>
      </c>
      <c r="H15" s="1340">
        <v>0</v>
      </c>
      <c r="I15" s="1944">
        <v>39435</v>
      </c>
      <c r="J15" s="1340">
        <v>0</v>
      </c>
      <c r="K15" s="1340">
        <v>0</v>
      </c>
      <c r="L15" s="1337">
        <f t="shared" si="0"/>
        <v>39435</v>
      </c>
      <c r="M15" s="1340" t="s">
        <v>2115</v>
      </c>
    </row>
    <row r="16" spans="2:14" ht="20.100000000000001" customHeight="1" x14ac:dyDescent="0.2">
      <c r="B16" s="1334"/>
      <c r="C16" s="1939"/>
      <c r="D16" s="1339"/>
      <c r="E16" s="1340"/>
      <c r="F16" s="1340">
        <f>SUM(F13:F15)</f>
        <v>389005</v>
      </c>
      <c r="G16" s="1340"/>
      <c r="H16" s="1340"/>
      <c r="I16" s="1340">
        <f>SUM(I13:I15)</f>
        <v>389005</v>
      </c>
      <c r="J16" s="1340"/>
      <c r="K16" s="1340"/>
      <c r="L16" s="1337"/>
      <c r="M16" s="1340"/>
    </row>
    <row r="17" spans="2:14" ht="20.100000000000001" customHeight="1" x14ac:dyDescent="0.2">
      <c r="B17" s="1940"/>
      <c r="C17" s="1338"/>
      <c r="D17" s="1339"/>
      <c r="E17" s="1340"/>
      <c r="F17" s="1340"/>
      <c r="G17" s="1340"/>
      <c r="H17" s="1340"/>
      <c r="I17" s="1340"/>
      <c r="J17" s="1340"/>
      <c r="K17" s="1340"/>
      <c r="L17" s="1337"/>
      <c r="M17" s="1340"/>
    </row>
    <row r="18" spans="2:14" ht="20.100000000000001" customHeight="1" x14ac:dyDescent="0.2">
      <c r="B18" s="1940" t="s">
        <v>2105</v>
      </c>
      <c r="C18" s="1338"/>
      <c r="D18" s="1339"/>
      <c r="E18" s="1340"/>
      <c r="F18" s="1340">
        <f>F15+F14+' SEFA (2)'!F25</f>
        <v>640841</v>
      </c>
      <c r="G18" s="1340"/>
      <c r="H18" s="1340"/>
      <c r="I18" s="1340">
        <f>I15+I14+' SEFA (2)'!I25</f>
        <v>640841</v>
      </c>
      <c r="J18" s="1340"/>
      <c r="K18" s="1340"/>
      <c r="L18" s="1337"/>
      <c r="M18" s="1340"/>
    </row>
    <row r="19" spans="2:14" ht="20.100000000000001" customHeight="1" x14ac:dyDescent="0.2">
      <c r="B19" s="1940"/>
      <c r="C19" s="1338"/>
      <c r="D19" s="1339"/>
      <c r="E19" s="1340"/>
      <c r="F19" s="1340"/>
      <c r="G19" s="1340"/>
      <c r="H19" s="1340"/>
      <c r="I19" s="1340"/>
      <c r="J19" s="1340"/>
      <c r="K19" s="1340"/>
      <c r="L19" s="1337"/>
      <c r="M19" s="1340"/>
    </row>
    <row r="20" spans="2:14" ht="20.100000000000001" customHeight="1" x14ac:dyDescent="0.2">
      <c r="B20" s="1940" t="s">
        <v>2106</v>
      </c>
      <c r="C20" s="1338"/>
      <c r="D20" s="1339"/>
      <c r="E20" s="1340"/>
      <c r="F20" s="1340">
        <f>F16+' SEFA (2)'!F27</f>
        <v>859543</v>
      </c>
      <c r="G20" s="1340"/>
      <c r="H20" s="1340"/>
      <c r="I20" s="1340">
        <f>I16+' SEFA (2)'!I27</f>
        <v>864083</v>
      </c>
      <c r="J20" s="1340"/>
      <c r="K20" s="1340"/>
      <c r="L20" s="1337"/>
      <c r="M20" s="1340"/>
    </row>
    <row r="21" spans="2:14" ht="20.100000000000001" customHeight="1" x14ac:dyDescent="0.2">
      <c r="B21" s="1940"/>
      <c r="C21" s="1338"/>
      <c r="D21" s="1339"/>
      <c r="E21" s="1340"/>
      <c r="F21" s="1340"/>
      <c r="G21" s="1340"/>
      <c r="H21" s="1340"/>
      <c r="I21" s="1340"/>
      <c r="J21" s="1340"/>
      <c r="K21" s="1340"/>
      <c r="L21" s="1337"/>
      <c r="M21" s="1340"/>
    </row>
    <row r="22" spans="2:14" ht="20.100000000000001" customHeight="1" x14ac:dyDescent="0.2">
      <c r="B22" s="1940" t="s">
        <v>2107</v>
      </c>
      <c r="C22" s="1338"/>
      <c r="D22" s="1339"/>
      <c r="E22" s="1340"/>
      <c r="F22" s="1340"/>
      <c r="G22" s="1340"/>
      <c r="H22" s="1340"/>
      <c r="I22" s="1340"/>
      <c r="J22" s="1340"/>
      <c r="K22" s="1340"/>
      <c r="L22" s="1337"/>
      <c r="M22" s="1340"/>
    </row>
    <row r="23" spans="2:14" ht="22.5" customHeight="1" x14ac:dyDescent="0.2">
      <c r="B23" s="1940" t="s">
        <v>2108</v>
      </c>
      <c r="C23" s="1338"/>
      <c r="D23" s="1339"/>
      <c r="E23" s="1340"/>
      <c r="F23" s="1340"/>
      <c r="G23" s="1340"/>
      <c r="H23" s="1340"/>
      <c r="I23" s="1340"/>
      <c r="J23" s="1340"/>
      <c r="K23" s="1340"/>
      <c r="L23" s="1337"/>
      <c r="M23" s="1340"/>
    </row>
    <row r="24" spans="2:14" ht="20.100000000000001" customHeight="1" x14ac:dyDescent="0.2">
      <c r="B24" s="1940" t="s">
        <v>2109</v>
      </c>
      <c r="C24" s="1939">
        <v>93.778000000000006</v>
      </c>
      <c r="D24" s="1339">
        <v>2018</v>
      </c>
      <c r="E24" s="1340">
        <v>47801</v>
      </c>
      <c r="F24" s="1340">
        <v>0</v>
      </c>
      <c r="G24" s="1340">
        <v>47801</v>
      </c>
      <c r="H24" s="1340">
        <v>0</v>
      </c>
      <c r="I24" s="1340">
        <v>0</v>
      </c>
      <c r="J24" s="1340">
        <v>0</v>
      </c>
      <c r="K24" s="1340">
        <v>0</v>
      </c>
      <c r="L24" s="1337">
        <f t="shared" si="0"/>
        <v>47801</v>
      </c>
      <c r="M24" s="1340" t="s">
        <v>2115</v>
      </c>
    </row>
    <row r="25" spans="2:14" ht="20.100000000000001" customHeight="1" x14ac:dyDescent="0.2">
      <c r="B25" s="1940"/>
      <c r="C25" s="1338"/>
      <c r="D25" s="1339">
        <v>2019</v>
      </c>
      <c r="E25" s="1340">
        <v>0</v>
      </c>
      <c r="F25" s="1944">
        <v>44007</v>
      </c>
      <c r="G25" s="1340">
        <v>0</v>
      </c>
      <c r="H25" s="1340">
        <v>0</v>
      </c>
      <c r="I25" s="1944">
        <v>44007</v>
      </c>
      <c r="J25" s="1340">
        <v>0</v>
      </c>
      <c r="K25" s="1340">
        <v>0</v>
      </c>
      <c r="L25" s="1337">
        <f t="shared" si="0"/>
        <v>44007</v>
      </c>
      <c r="M25" s="1340" t="s">
        <v>2115</v>
      </c>
    </row>
    <row r="26" spans="2:14" ht="20.100000000000001" customHeight="1" x14ac:dyDescent="0.2">
      <c r="B26" s="1940"/>
      <c r="C26" s="1338"/>
      <c r="D26" s="1339"/>
      <c r="E26" s="1340"/>
      <c r="F26" s="1340">
        <f>F25+F24</f>
        <v>44007</v>
      </c>
      <c r="G26" s="1340"/>
      <c r="H26" s="1340"/>
      <c r="I26" s="1340">
        <f>I25+I24</f>
        <v>44007</v>
      </c>
      <c r="J26" s="1340"/>
      <c r="K26" s="1340"/>
      <c r="L26" s="1337"/>
      <c r="M26" s="1340"/>
    </row>
    <row r="27" spans="2:14" ht="20.100000000000001" customHeight="1" x14ac:dyDescent="0.2">
      <c r="B27" s="1940"/>
      <c r="C27" s="1338"/>
      <c r="D27" s="1339"/>
      <c r="E27" s="1340"/>
      <c r="F27" s="1340"/>
      <c r="G27" s="1340"/>
      <c r="H27" s="1340"/>
      <c r="I27" s="1340"/>
      <c r="J27" s="1340"/>
      <c r="K27" s="1340"/>
      <c r="L27" s="1337"/>
      <c r="M27" s="1340"/>
    </row>
    <row r="28" spans="2:14" ht="20.100000000000001" customHeight="1" x14ac:dyDescent="0.2">
      <c r="B28" s="1940" t="s">
        <v>2110</v>
      </c>
      <c r="C28" s="1338"/>
      <c r="D28" s="1339"/>
      <c r="E28" s="1340"/>
      <c r="F28" s="1340">
        <f>F26+F20+' SEFA'!F22</f>
        <v>1182272</v>
      </c>
      <c r="G28" s="1340"/>
      <c r="H28" s="1340"/>
      <c r="I28" s="1340">
        <f>I26+I20+' SEFA'!I22</f>
        <v>1186812</v>
      </c>
      <c r="J28" s="1340"/>
      <c r="K28" s="1340"/>
      <c r="L28" s="1337"/>
      <c r="M28" s="1340"/>
      <c r="N28" s="1341"/>
    </row>
    <row r="29" spans="2:14" ht="12.75" customHeight="1" x14ac:dyDescent="0.2">
      <c r="B29" s="1342"/>
      <c r="C29" s="1343"/>
      <c r="D29" s="1344"/>
      <c r="E29" s="1345"/>
      <c r="F29" s="1345"/>
      <c r="G29" s="1345"/>
      <c r="H29" s="1345"/>
      <c r="I29" s="1345"/>
      <c r="J29" s="1345"/>
      <c r="K29" s="1345"/>
      <c r="L29" s="1345"/>
      <c r="M29" s="1345"/>
      <c r="N29" s="1341"/>
    </row>
    <row r="30" spans="2:14" x14ac:dyDescent="0.2">
      <c r="B30" s="1254"/>
      <c r="C30" s="1346"/>
      <c r="D30" s="1347"/>
      <c r="E30" s="1254"/>
      <c r="F30" s="1254"/>
      <c r="G30" s="1247"/>
      <c r="H30" s="1247"/>
      <c r="I30" s="1247"/>
      <c r="J30" s="1247"/>
      <c r="K30" s="1247"/>
      <c r="L30" s="1247"/>
      <c r="M30" s="1254"/>
      <c r="N30" s="1341"/>
    </row>
    <row r="31" spans="2:14" ht="13.5" customHeight="1" x14ac:dyDescent="0.2">
      <c r="B31" s="1279" t="s">
        <v>1731</v>
      </c>
      <c r="C31" s="1346"/>
      <c r="D31" s="1347"/>
      <c r="E31" s="1254"/>
      <c r="F31" s="1254"/>
      <c r="G31" s="1247"/>
      <c r="H31" s="1247"/>
      <c r="I31" s="1247"/>
      <c r="J31" s="1247"/>
      <c r="K31" s="1247"/>
      <c r="L31" s="1247"/>
      <c r="M31" s="1254"/>
      <c r="N31" s="1341"/>
    </row>
    <row r="32" spans="2:14" ht="8.25" customHeight="1" x14ac:dyDescent="0.2">
      <c r="B32" s="1279"/>
      <c r="C32" s="1346"/>
      <c r="D32" s="1347"/>
      <c r="E32" s="1254"/>
      <c r="F32" s="1254"/>
      <c r="G32" s="1247"/>
      <c r="H32" s="1247"/>
      <c r="I32" s="1247"/>
      <c r="J32" s="1247"/>
      <c r="K32" s="1247"/>
      <c r="L32" s="1247"/>
      <c r="M32" s="1254"/>
      <c r="N32" s="1341"/>
    </row>
    <row r="33" spans="2:13" x14ac:dyDescent="0.2">
      <c r="B33" s="1348" t="s">
        <v>1834</v>
      </c>
      <c r="C33" s="1349"/>
      <c r="D33" s="1350"/>
      <c r="E33" s="1351"/>
      <c r="F33" s="1351"/>
      <c r="G33" s="1351"/>
      <c r="H33" s="1351"/>
      <c r="I33" s="317"/>
      <c r="J33" s="317"/>
    </row>
    <row r="34" spans="2:13" x14ac:dyDescent="0.2">
      <c r="B34" s="1274"/>
      <c r="C34" s="1352"/>
      <c r="D34" s="1353"/>
      <c r="E34" s="1275"/>
      <c r="F34" s="1275"/>
      <c r="G34" s="317"/>
      <c r="H34" s="317"/>
      <c r="I34" s="317"/>
      <c r="J34" s="317"/>
    </row>
    <row r="35" spans="2:13" ht="13.5" customHeight="1" x14ac:dyDescent="0.2">
      <c r="B35" s="1273" t="s">
        <v>1246</v>
      </c>
      <c r="G35" s="317"/>
      <c r="H35" s="317"/>
      <c r="I35" s="317"/>
      <c r="J35" s="317"/>
    </row>
    <row r="36" spans="2:13" ht="13.5" customHeight="1" x14ac:dyDescent="0.2">
      <c r="B36" s="1356"/>
      <c r="C36" s="1357"/>
      <c r="D36" s="1358"/>
      <c r="E36" s="1294"/>
      <c r="F36" s="1294"/>
      <c r="G36" s="1294"/>
      <c r="H36" s="1294"/>
      <c r="I36" s="1294"/>
      <c r="J36" s="1294"/>
      <c r="K36" s="1359"/>
      <c r="L36" s="1359"/>
      <c r="M36" s="1294"/>
    </row>
    <row r="37" spans="2:13" ht="9.6" customHeight="1" x14ac:dyDescent="0.2">
      <c r="B37" s="1360"/>
      <c r="G37" s="317"/>
      <c r="H37" s="317"/>
      <c r="I37" s="317"/>
      <c r="J37" s="317"/>
    </row>
    <row r="38" spans="2:13" ht="11.25" customHeight="1" x14ac:dyDescent="0.2">
      <c r="B38" s="1361" t="s">
        <v>1732</v>
      </c>
      <c r="C38" s="1362"/>
      <c r="D38" s="1362"/>
      <c r="E38" s="1362"/>
      <c r="F38" s="1362"/>
      <c r="G38" s="1362"/>
      <c r="H38" s="1362"/>
      <c r="I38" s="1363"/>
      <c r="J38" s="1363"/>
      <c r="K38" s="1363"/>
      <c r="L38" s="1363"/>
      <c r="M38" s="1363"/>
    </row>
    <row r="39" spans="2:13" ht="11.25" customHeight="1" x14ac:dyDescent="0.2">
      <c r="B39" s="1364" t="s">
        <v>1581</v>
      </c>
      <c r="C39" s="1363"/>
      <c r="D39" s="1363"/>
      <c r="E39" s="1363"/>
      <c r="F39" s="1363"/>
      <c r="G39" s="1363"/>
      <c r="H39" s="1363"/>
      <c r="I39" s="1363"/>
      <c r="J39" s="1363"/>
      <c r="K39" s="1363"/>
      <c r="L39" s="1363"/>
      <c r="M39" s="1363"/>
    </row>
    <row r="40" spans="2:13" ht="3.95" customHeight="1" x14ac:dyDescent="0.2">
      <c r="B40" s="1364"/>
      <c r="C40" s="1363"/>
      <c r="D40" s="1363"/>
      <c r="E40" s="1363"/>
      <c r="F40" s="1363"/>
      <c r="G40" s="1363"/>
      <c r="H40" s="1363"/>
      <c r="I40" s="1363"/>
      <c r="J40" s="1363"/>
      <c r="K40" s="1363"/>
      <c r="L40" s="1363"/>
      <c r="M40" s="1363"/>
    </row>
    <row r="41" spans="2:13" ht="11.25" customHeight="1" x14ac:dyDescent="0.2">
      <c r="B41" s="1361" t="s">
        <v>1733</v>
      </c>
      <c r="C41" s="1363"/>
      <c r="D41" s="1363"/>
      <c r="E41" s="1363"/>
      <c r="F41" s="1363"/>
      <c r="G41" s="1363"/>
      <c r="H41" s="1363"/>
      <c r="I41" s="1363"/>
      <c r="J41" s="1363"/>
      <c r="K41" s="1363"/>
      <c r="L41" s="1363"/>
      <c r="M41" s="1363"/>
    </row>
    <row r="42" spans="2:13" ht="11.25" customHeight="1" x14ac:dyDescent="0.2">
      <c r="B42" s="1297" t="s">
        <v>1582</v>
      </c>
      <c r="C42" s="1365"/>
      <c r="D42" s="1366"/>
      <c r="E42" s="1297"/>
      <c r="F42" s="1297"/>
      <c r="G42" s="1297"/>
      <c r="H42" s="1297"/>
      <c r="I42" s="1297"/>
      <c r="J42" s="1297"/>
      <c r="K42" s="1367"/>
      <c r="L42" s="1367"/>
      <c r="M42" s="1297"/>
    </row>
    <row r="43" spans="2:13" ht="3.95" customHeight="1" x14ac:dyDescent="0.2">
      <c r="B43" s="1297"/>
      <c r="C43" s="1365"/>
      <c r="D43" s="1366"/>
      <c r="E43" s="1297"/>
      <c r="F43" s="1297"/>
      <c r="G43" s="1297"/>
      <c r="H43" s="1297"/>
      <c r="I43" s="1297"/>
      <c r="J43" s="1297"/>
      <c r="K43" s="1367"/>
      <c r="L43" s="1367"/>
      <c r="M43" s="1297"/>
    </row>
    <row r="44" spans="2:13" ht="11.25" customHeight="1" x14ac:dyDescent="0.2">
      <c r="B44" s="1368" t="s">
        <v>1734</v>
      </c>
      <c r="C44" s="1365"/>
      <c r="D44" s="1366"/>
      <c r="E44" s="1297"/>
      <c r="F44" s="1297"/>
      <c r="G44" s="1297"/>
      <c r="H44" s="1297"/>
      <c r="I44" s="1297"/>
      <c r="J44" s="1297"/>
      <c r="K44" s="1367"/>
      <c r="L44" s="1367"/>
      <c r="M44" s="1297"/>
    </row>
    <row r="45" spans="2:13" ht="3.95" customHeight="1" x14ac:dyDescent="0.2">
      <c r="B45" s="1368"/>
      <c r="C45" s="1365"/>
      <c r="D45" s="1366"/>
      <c r="E45" s="1297"/>
      <c r="F45" s="1297"/>
      <c r="G45" s="1297"/>
      <c r="H45" s="1297"/>
      <c r="I45" s="1297"/>
      <c r="J45" s="1297"/>
      <c r="K45" s="1367"/>
      <c r="L45" s="1367"/>
      <c r="M45" s="1297"/>
    </row>
    <row r="46" spans="2:13" ht="11.25" customHeight="1" x14ac:dyDescent="0.2">
      <c r="B46" s="1369" t="s">
        <v>1735</v>
      </c>
      <c r="C46" s="1365"/>
      <c r="D46" s="1366"/>
      <c r="E46" s="1297"/>
      <c r="F46" s="1297"/>
      <c r="G46" s="1297"/>
      <c r="H46" s="1297"/>
      <c r="I46" s="1297"/>
      <c r="J46" s="1297"/>
      <c r="K46" s="1367"/>
      <c r="L46" s="1367"/>
      <c r="M46" s="1297"/>
    </row>
    <row r="47" spans="2:13" ht="11.25" customHeight="1" x14ac:dyDescent="0.2">
      <c r="B47" s="1297" t="s">
        <v>1583</v>
      </c>
      <c r="G47" s="317"/>
      <c r="H47" s="317"/>
      <c r="I47" s="317"/>
      <c r="J47" s="317"/>
    </row>
    <row r="48" spans="2:13" ht="11.1" customHeight="1" x14ac:dyDescent="0.2">
      <c r="B48" s="1297"/>
      <c r="G48" s="317"/>
      <c r="H48" s="317"/>
      <c r="I48" s="317"/>
      <c r="J48" s="317"/>
    </row>
    <row r="49" spans="2:13" ht="11.1" customHeight="1" x14ac:dyDescent="0.2">
      <c r="B49" s="1297"/>
      <c r="G49" s="317"/>
      <c r="H49" s="317"/>
      <c r="I49" s="317"/>
      <c r="J49" s="317"/>
    </row>
    <row r="50" spans="2:13" ht="13.5" customHeight="1" x14ac:dyDescent="0.2">
      <c r="M50" s="1370"/>
    </row>
    <row r="51" spans="2:13" ht="13.5" customHeight="1" x14ac:dyDescent="0.2">
      <c r="M51" s="1370"/>
    </row>
    <row r="52" spans="2:13" ht="13.5" customHeight="1" x14ac:dyDescent="0.2">
      <c r="M52" s="1370"/>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8" firstPageNumber="38" orientation="landscape" useFirstPageNumber="1" r:id="rId1"/>
  <headerFooter alignWithMargins="0">
    <oddHeader>&amp;L&amp;8Page 40c&amp;R&amp;8Page 40c</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zoomScaleNormal="10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Morton Community Unit School District 709</v>
      </c>
      <c r="B1" s="2453"/>
      <c r="C1" s="2453"/>
      <c r="D1" s="2453"/>
      <c r="E1" s="2453"/>
      <c r="F1" s="2453"/>
    </row>
    <row r="2" spans="1:7" ht="13.5" customHeight="1" x14ac:dyDescent="0.2">
      <c r="A2" s="2441" t="str">
        <f>'Single Audit Cover'!E7</f>
        <v>53-090-7090-26</v>
      </c>
      <c r="B2" s="2441"/>
      <c r="C2" s="2441"/>
      <c r="D2" s="2441"/>
      <c r="E2" s="2441"/>
      <c r="F2" s="2441"/>
      <c r="G2" s="1272"/>
    </row>
    <row r="3" spans="1:7" ht="15.75" customHeight="1" x14ac:dyDescent="0.2">
      <c r="A3" s="2454" t="s">
        <v>1271</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3" t="s">
        <v>1725</v>
      </c>
      <c r="C6" s="317"/>
      <c r="D6" s="317"/>
    </row>
    <row r="7" spans="1:7" ht="60.95" customHeight="1" x14ac:dyDescent="0.2">
      <c r="A7" s="2452" t="s">
        <v>2144</v>
      </c>
      <c r="B7" s="2452"/>
      <c r="C7" s="2452"/>
      <c r="D7" s="2452"/>
      <c r="E7" s="2452"/>
      <c r="F7" s="2452"/>
    </row>
    <row r="8" spans="1:7" ht="12" customHeight="1" x14ac:dyDescent="0.2">
      <c r="A8" s="1273"/>
      <c r="B8" s="1279"/>
      <c r="C8" s="1279"/>
      <c r="D8" s="1279"/>
    </row>
    <row r="9" spans="1:7" ht="15" customHeight="1" x14ac:dyDescent="0.2">
      <c r="A9" s="1274" t="s">
        <v>1726</v>
      </c>
      <c r="B9" s="1277"/>
      <c r="C9" s="1277"/>
      <c r="D9" s="1277"/>
      <c r="E9" s="1275"/>
      <c r="F9" s="1275"/>
      <c r="G9" s="1275"/>
    </row>
    <row r="10" spans="1:7" ht="15" customHeight="1" x14ac:dyDescent="0.2">
      <c r="A10" s="1276" t="s">
        <v>1544</v>
      </c>
      <c r="B10" s="1277"/>
      <c r="C10" s="1278" t="s">
        <v>2058</v>
      </c>
      <c r="D10" s="1277" t="s">
        <v>1545</v>
      </c>
      <c r="E10" s="1278"/>
      <c r="F10" s="1277" t="s">
        <v>99</v>
      </c>
      <c r="G10" s="1275"/>
    </row>
    <row r="11" spans="1:7" ht="12" customHeight="1" x14ac:dyDescent="0.2">
      <c r="A11" s="1276"/>
      <c r="B11" s="1277"/>
      <c r="C11" s="1902"/>
      <c r="D11" s="1277"/>
      <c r="E11" s="1902"/>
      <c r="F11" s="1277"/>
      <c r="G11" s="1275"/>
    </row>
    <row r="12" spans="1:7" x14ac:dyDescent="0.2">
      <c r="A12" s="1273" t="s">
        <v>1584</v>
      </c>
      <c r="C12" s="1257"/>
      <c r="D12" s="1257"/>
    </row>
    <row r="13" spans="1:7" ht="24.75" customHeight="1" x14ac:dyDescent="0.2">
      <c r="A13" s="2452" t="s">
        <v>2145</v>
      </c>
      <c r="B13" s="2452"/>
      <c r="C13" s="2452"/>
      <c r="D13" s="2452"/>
      <c r="E13" s="2452"/>
      <c r="F13" s="2452"/>
    </row>
    <row r="14" spans="1:7" ht="9.75" customHeight="1" x14ac:dyDescent="0.2">
      <c r="C14" s="1257"/>
      <c r="D14" s="1257"/>
    </row>
    <row r="15" spans="1:7" ht="13.5" customHeight="1" x14ac:dyDescent="0.2">
      <c r="C15" s="1846" t="s">
        <v>1270</v>
      </c>
      <c r="D15" s="2450" t="s">
        <v>1269</v>
      </c>
      <c r="E15" s="2450"/>
      <c r="F15" s="2450"/>
    </row>
    <row r="16" spans="1:7" ht="13.5" customHeight="1" x14ac:dyDescent="0.2">
      <c r="A16" s="1279"/>
      <c r="B16" s="1273" t="s">
        <v>1268</v>
      </c>
      <c r="C16" s="1846" t="s">
        <v>1267</v>
      </c>
      <c r="D16" s="2451" t="s">
        <v>1585</v>
      </c>
      <c r="E16" s="2451"/>
      <c r="F16" s="2451"/>
    </row>
    <row r="17" spans="1:6" ht="20.45" customHeight="1" x14ac:dyDescent="0.2">
      <c r="A17" s="1280"/>
      <c r="B17" s="1281" t="s">
        <v>2127</v>
      </c>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1546</v>
      </c>
      <c r="B31" s="328"/>
      <c r="C31" s="1462"/>
      <c r="D31" s="1903"/>
      <c r="E31" s="1283"/>
    </row>
    <row r="32" spans="1:6" ht="30" customHeight="1" x14ac:dyDescent="0.2">
      <c r="A32" s="2446" t="s">
        <v>2146</v>
      </c>
      <c r="B32" s="2446"/>
      <c r="C32" s="2446"/>
      <c r="D32" s="2446"/>
      <c r="E32" s="2446"/>
      <c r="F32" s="2446"/>
    </row>
    <row r="33" spans="1:6" ht="13.5" customHeight="1" x14ac:dyDescent="0.2">
      <c r="A33" s="328" t="s">
        <v>1431</v>
      </c>
      <c r="B33" s="328"/>
      <c r="C33" s="1285">
        <v>60523</v>
      </c>
      <c r="D33" s="1903"/>
      <c r="E33" s="1283"/>
    </row>
    <row r="34" spans="1:6" ht="13.5" customHeight="1" x14ac:dyDescent="0.2">
      <c r="A34" s="328" t="s">
        <v>1832</v>
      </c>
      <c r="B34" s="328"/>
      <c r="C34" s="1286">
        <v>0</v>
      </c>
      <c r="D34" s="1903" t="s">
        <v>1586</v>
      </c>
      <c r="E34" s="2447">
        <f>+C33+C34</f>
        <v>60523</v>
      </c>
      <c r="F34" s="2448"/>
    </row>
    <row r="35" spans="1:6" ht="12" customHeight="1" x14ac:dyDescent="0.2">
      <c r="A35" s="328"/>
      <c r="B35" s="328"/>
      <c r="C35" s="1904"/>
      <c r="D35" s="1903"/>
      <c r="E35" s="1287"/>
      <c r="F35" s="1288"/>
    </row>
    <row r="36" spans="1:6" ht="13.5" customHeight="1" x14ac:dyDescent="0.2">
      <c r="A36" s="1284" t="s">
        <v>1547</v>
      </c>
      <c r="B36" s="328"/>
      <c r="C36" s="1462"/>
      <c r="D36" s="1903"/>
      <c r="E36" s="1283"/>
    </row>
    <row r="37" spans="1:6" ht="14.25" customHeight="1" x14ac:dyDescent="0.2">
      <c r="A37" s="328" t="s">
        <v>1481</v>
      </c>
      <c r="B37" s="328"/>
      <c r="C37" s="1905"/>
      <c r="D37" s="1903"/>
      <c r="E37" s="1283"/>
    </row>
    <row r="38" spans="1:6" ht="14.25" customHeight="1" x14ac:dyDescent="0.2">
      <c r="A38" s="328"/>
      <c r="B38" s="328" t="s">
        <v>1432</v>
      </c>
      <c r="C38" s="1289">
        <v>0</v>
      </c>
      <c r="D38" s="1903"/>
      <c r="E38" s="1283"/>
    </row>
    <row r="39" spans="1:6" ht="14.25" customHeight="1" x14ac:dyDescent="0.2">
      <c r="A39" s="328"/>
      <c r="B39" s="328" t="s">
        <v>1433</v>
      </c>
      <c r="C39" s="1289">
        <v>0</v>
      </c>
      <c r="D39" s="1903"/>
      <c r="E39" s="1283"/>
    </row>
    <row r="40" spans="1:6" ht="14.25" customHeight="1" x14ac:dyDescent="0.2">
      <c r="A40" s="328"/>
      <c r="B40" s="328" t="s">
        <v>1434</v>
      </c>
      <c r="C40" s="1289">
        <v>0</v>
      </c>
      <c r="D40" s="1903"/>
      <c r="E40" s="1283"/>
    </row>
    <row r="41" spans="1:6" ht="14.25" customHeight="1" x14ac:dyDescent="0.2">
      <c r="A41" s="328"/>
      <c r="B41" s="328" t="s">
        <v>1435</v>
      </c>
      <c r="C41" s="1289">
        <v>0</v>
      </c>
      <c r="D41" s="1903"/>
      <c r="E41" s="1283"/>
    </row>
    <row r="42" spans="1:6" ht="14.25" customHeight="1" x14ac:dyDescent="0.2">
      <c r="A42" s="328" t="s">
        <v>1436</v>
      </c>
      <c r="B42" s="328"/>
      <c r="C42" s="1901">
        <v>0</v>
      </c>
      <c r="D42" s="1903"/>
      <c r="E42" s="1283"/>
    </row>
    <row r="43" spans="1:6" ht="14.25" customHeight="1" x14ac:dyDescent="0.2">
      <c r="A43" s="328" t="s">
        <v>1437</v>
      </c>
      <c r="B43" s="328"/>
      <c r="C43" s="1290">
        <v>0</v>
      </c>
      <c r="D43" s="1903"/>
      <c r="E43" s="1283"/>
    </row>
    <row r="44" spans="1:6" ht="14.25" customHeight="1" x14ac:dyDescent="0.2">
      <c r="A44" s="328"/>
      <c r="B44" s="328"/>
      <c r="C44" s="1905" t="s">
        <v>1438</v>
      </c>
      <c r="D44" s="1903"/>
      <c r="E44" s="1283"/>
    </row>
    <row r="45" spans="1:6" ht="13.5" customHeight="1" x14ac:dyDescent="0.2">
      <c r="B45" s="322"/>
      <c r="C45" s="1291"/>
      <c r="D45" s="1291"/>
    </row>
    <row r="46" spans="1:6" x14ac:dyDescent="0.2">
      <c r="A46" s="1292" t="s">
        <v>1727</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1587</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4" t="s">
        <v>1548</v>
      </c>
      <c r="C51" s="2444"/>
      <c r="D51" s="2444"/>
    </row>
    <row r="52" spans="1:5" ht="14.25" customHeight="1" x14ac:dyDescent="0.2">
      <c r="A52" s="1298"/>
      <c r="B52" s="2444"/>
      <c r="C52" s="2444"/>
      <c r="D52" s="244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zoomScaleNormal="10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Morton Community Unit School District 709</v>
      </c>
      <c r="C1" s="2468"/>
      <c r="D1" s="2468"/>
      <c r="E1" s="2468"/>
      <c r="F1" s="2468"/>
      <c r="G1" s="2468"/>
      <c r="H1" s="2468"/>
      <c r="I1" s="2468"/>
      <c r="J1" s="1406"/>
    </row>
    <row r="2" spans="2:10" s="317" customFormat="1" ht="12.75" customHeight="1" x14ac:dyDescent="0.2">
      <c r="B2" s="2469" t="str">
        <f>'Single Audit Cover'!E7</f>
        <v>53-090-7090-26</v>
      </c>
      <c r="C2" s="2470"/>
      <c r="D2" s="2470"/>
      <c r="E2" s="2470"/>
      <c r="F2" s="2470"/>
      <c r="G2" s="2470"/>
      <c r="H2" s="2470"/>
      <c r="I2" s="2470"/>
      <c r="J2" s="1406"/>
    </row>
    <row r="3" spans="2:10" s="317" customFormat="1" ht="12.75" customHeight="1" x14ac:dyDescent="0.2">
      <c r="B3" s="2471" t="s">
        <v>1282</v>
      </c>
      <c r="C3" s="2472"/>
      <c r="D3" s="2472"/>
      <c r="E3" s="2472"/>
      <c r="F3" s="2472"/>
      <c r="G3" s="2472"/>
      <c r="H3" s="2472"/>
      <c r="I3" s="2472"/>
      <c r="J3" s="1407"/>
    </row>
    <row r="4" spans="2:10" s="317" customFormat="1" ht="12.75" customHeight="1" x14ac:dyDescent="0.2">
      <c r="B4" s="2471" t="str">
        <f>'Single Audit Cover'!A4</f>
        <v>Year Ending June 30, 2019</v>
      </c>
      <c r="C4" s="2472"/>
      <c r="D4" s="2472"/>
      <c r="E4" s="2472"/>
      <c r="F4" s="2472"/>
      <c r="G4" s="2472"/>
      <c r="H4" s="2472"/>
      <c r="I4" s="247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1" t="s">
        <v>2147</v>
      </c>
      <c r="C7" s="2472"/>
      <c r="D7" s="2472"/>
      <c r="E7" s="2472"/>
      <c r="F7" s="2472"/>
      <c r="G7" s="2472"/>
      <c r="H7" s="2472"/>
      <c r="I7" s="247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1281</v>
      </c>
      <c r="C10" s="1415"/>
      <c r="D10" s="1415"/>
      <c r="E10" s="1255"/>
    </row>
    <row r="11" spans="2:10" s="317" customFormat="1" ht="13.5" customHeight="1" x14ac:dyDescent="0.2">
      <c r="B11" s="1346" t="s">
        <v>2148</v>
      </c>
      <c r="C11" s="2473" t="s">
        <v>2128</v>
      </c>
      <c r="D11" s="2473"/>
      <c r="E11" s="1416"/>
      <c r="F11" s="1416"/>
      <c r="G11" s="1416"/>
    </row>
    <row r="12" spans="2:10" s="317" customFormat="1" ht="11.45" customHeight="1" x14ac:dyDescent="0.2">
      <c r="B12" s="1354"/>
      <c r="C12" s="1417" t="s">
        <v>1439</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885</v>
      </c>
      <c r="G15" s="1422" t="s">
        <v>2058</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1440</v>
      </c>
      <c r="C18" s="1421"/>
      <c r="D18" s="1395"/>
      <c r="E18" s="1422"/>
      <c r="F18" s="1297" t="s">
        <v>885</v>
      </c>
      <c r="G18" s="1422" t="s">
        <v>2058</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1588</v>
      </c>
      <c r="C20" s="1421"/>
      <c r="D20" s="1395"/>
      <c r="E20" s="1422"/>
      <c r="F20" s="1297" t="s">
        <v>885</v>
      </c>
      <c r="G20" s="1422" t="s">
        <v>2058</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885</v>
      </c>
      <c r="G24" s="1422" t="s">
        <v>2058</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1440</v>
      </c>
      <c r="C27" s="1421"/>
      <c r="D27" s="1395"/>
      <c r="E27" s="1422"/>
      <c r="F27" s="1297" t="s">
        <v>885</v>
      </c>
      <c r="G27" s="1422" t="s">
        <v>2058</v>
      </c>
      <c r="H27" s="1297" t="s">
        <v>1275</v>
      </c>
      <c r="I27" s="1297"/>
    </row>
    <row r="28" spans="2:9" s="317" customFormat="1" ht="12.75" customHeight="1" x14ac:dyDescent="0.2">
      <c r="B28" s="1365"/>
      <c r="C28" s="1279"/>
      <c r="E28" s="1255"/>
    </row>
    <row r="29" spans="2:9" s="317" customFormat="1" ht="12.75" customHeight="1" x14ac:dyDescent="0.2">
      <c r="B29" s="1365" t="s">
        <v>2149</v>
      </c>
      <c r="C29" s="1279"/>
      <c r="D29" s="2474" t="s">
        <v>2128</v>
      </c>
      <c r="E29" s="2474"/>
      <c r="F29" s="2474"/>
      <c r="G29" s="2474"/>
      <c r="H29" s="2474"/>
      <c r="I29" s="2474"/>
    </row>
    <row r="30" spans="2:9" s="317" customFormat="1" x14ac:dyDescent="0.2">
      <c r="B30" s="1365"/>
      <c r="C30" s="322"/>
      <c r="D30" s="1417" t="s">
        <v>1742</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1549</v>
      </c>
      <c r="C33" s="1279"/>
      <c r="E33" s="1422"/>
      <c r="F33" s="1297" t="s">
        <v>885</v>
      </c>
      <c r="G33" s="1422" t="s">
        <v>2058</v>
      </c>
      <c r="H33" s="1297" t="s">
        <v>99</v>
      </c>
    </row>
    <row r="35" spans="2:9" x14ac:dyDescent="0.2">
      <c r="B35" s="1425" t="s">
        <v>1743</v>
      </c>
      <c r="C35" s="1426"/>
      <c r="D35" s="1264"/>
    </row>
    <row r="36" spans="2:9" ht="6" customHeight="1" x14ac:dyDescent="0.2">
      <c r="B36" s="1425"/>
      <c r="C36" s="1426"/>
      <c r="D36" s="1264"/>
    </row>
    <row r="37" spans="2:9" ht="17.25" customHeight="1" x14ac:dyDescent="0.2">
      <c r="B37" s="1427" t="s">
        <v>1744</v>
      </c>
      <c r="C37" s="2475" t="s">
        <v>1745</v>
      </c>
      <c r="D37" s="2476"/>
      <c r="E37" s="2476"/>
      <c r="F37" s="2477"/>
      <c r="G37" s="2475" t="s">
        <v>1589</v>
      </c>
      <c r="H37" s="2476"/>
      <c r="I37" s="2477"/>
    </row>
    <row r="38" spans="2:9" ht="16.5" customHeight="1" x14ac:dyDescent="0.2">
      <c r="B38" s="1428" t="s">
        <v>2129</v>
      </c>
      <c r="C38" s="2463" t="s">
        <v>2130</v>
      </c>
      <c r="D38" s="2464"/>
      <c r="E38" s="2464"/>
      <c r="F38" s="2465"/>
      <c r="G38" s="2478">
        <f>' SEFA (3)'!I18</f>
        <v>640841</v>
      </c>
      <c r="H38" s="2479"/>
      <c r="I38" s="2480"/>
    </row>
    <row r="39" spans="2:9" ht="16.5" customHeight="1" x14ac:dyDescent="0.2">
      <c r="B39" s="1428"/>
      <c r="C39" s="2463"/>
      <c r="D39" s="2464"/>
      <c r="E39" s="2464"/>
      <c r="F39" s="2465"/>
      <c r="G39" s="2466"/>
      <c r="H39" s="2466"/>
      <c r="I39" s="2466"/>
    </row>
    <row r="40" spans="2:9" ht="16.5" customHeight="1" x14ac:dyDescent="0.2">
      <c r="B40" s="1428"/>
      <c r="C40" s="2463"/>
      <c r="D40" s="2464"/>
      <c r="E40" s="2464"/>
      <c r="F40" s="2465"/>
      <c r="G40" s="2466"/>
      <c r="H40" s="2466"/>
      <c r="I40" s="2466"/>
    </row>
    <row r="41" spans="2:9" ht="16.5" customHeight="1" x14ac:dyDescent="0.2">
      <c r="B41" s="1428"/>
      <c r="C41" s="2463"/>
      <c r="D41" s="2464"/>
      <c r="E41" s="2464"/>
      <c r="F41" s="2465"/>
      <c r="G41" s="2466"/>
      <c r="H41" s="2466"/>
      <c r="I41" s="2466"/>
    </row>
    <row r="42" spans="2:9" ht="16.5" customHeight="1" x14ac:dyDescent="0.2">
      <c r="B42" s="1428"/>
      <c r="C42" s="2463"/>
      <c r="D42" s="2464"/>
      <c r="E42" s="2464"/>
      <c r="F42" s="2465"/>
      <c r="G42" s="2466"/>
      <c r="H42" s="2466"/>
      <c r="I42" s="2466"/>
    </row>
    <row r="43" spans="2:9" ht="16.5" customHeight="1" x14ac:dyDescent="0.2">
      <c r="B43" s="1428"/>
      <c r="C43" s="2456" t="s">
        <v>1590</v>
      </c>
      <c r="D43" s="2457"/>
      <c r="E43" s="2457"/>
      <c r="F43" s="2458"/>
      <c r="G43" s="2459">
        <f>SUM(G38:I42)</f>
        <v>640841</v>
      </c>
      <c r="H43" s="2459"/>
      <c r="I43" s="2459"/>
    </row>
    <row r="44" spans="2:9" ht="12.75" customHeight="1" x14ac:dyDescent="0.2"/>
    <row r="45" spans="2:9" ht="12.75" customHeight="1" x14ac:dyDescent="0.2">
      <c r="B45" s="1419" t="s">
        <v>1835</v>
      </c>
      <c r="D45" s="2460">
        <f>' SEFA (3)'!I28</f>
        <v>1186812</v>
      </c>
      <c r="E45" s="2461"/>
    </row>
    <row r="46" spans="2:9" ht="5.25" customHeight="1" x14ac:dyDescent="0.2">
      <c r="B46" s="1429"/>
      <c r="D46" s="1430"/>
      <c r="E46" s="1431"/>
    </row>
    <row r="47" spans="2:9" ht="12.75" customHeight="1" x14ac:dyDescent="0.2">
      <c r="B47" s="1297" t="s">
        <v>1591</v>
      </c>
      <c r="C47" s="1297"/>
      <c r="D47" s="1432">
        <f>+G43/D45</f>
        <v>0.5399684195980492</v>
      </c>
      <c r="E47" s="1433"/>
      <c r="F47" s="1434"/>
      <c r="I47" s="1435"/>
    </row>
    <row r="48" spans="2:9" ht="9.9499999999999993" customHeight="1" x14ac:dyDescent="0.2"/>
    <row r="49" spans="1:9" x14ac:dyDescent="0.2">
      <c r="B49" s="1365" t="s">
        <v>1273</v>
      </c>
      <c r="C49" s="1279"/>
      <c r="D49" s="1279"/>
      <c r="E49" s="2462">
        <v>750000</v>
      </c>
      <c r="F49" s="2462"/>
      <c r="G49" s="2462"/>
      <c r="H49" s="322"/>
    </row>
    <row r="51" spans="1:9" ht="13.5" customHeight="1" x14ac:dyDescent="0.2">
      <c r="B51" s="1365" t="s">
        <v>1272</v>
      </c>
      <c r="C51" s="1279"/>
      <c r="E51" s="1422"/>
      <c r="F51" s="1297" t="s">
        <v>885</v>
      </c>
      <c r="G51" s="1422" t="s">
        <v>2058</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1746</v>
      </c>
      <c r="C54" s="1444"/>
      <c r="D54" s="1444"/>
    </row>
    <row r="55" spans="1:9" s="1445" customFormat="1" ht="12.75" customHeight="1" x14ac:dyDescent="0.2">
      <c r="A55" s="1442"/>
      <c r="B55" s="1446" t="s">
        <v>1592</v>
      </c>
      <c r="C55" s="1442"/>
      <c r="D55" s="1442"/>
    </row>
    <row r="56" spans="1:9" s="1445" customFormat="1" ht="12.75" customHeight="1" x14ac:dyDescent="0.2">
      <c r="A56" s="1442"/>
      <c r="B56" s="1446" t="s">
        <v>1593</v>
      </c>
      <c r="C56" s="1442"/>
      <c r="D56" s="1442"/>
    </row>
    <row r="57" spans="1:9" s="1445" customFormat="1" ht="3.95" customHeight="1" x14ac:dyDescent="0.2">
      <c r="A57" s="1442"/>
      <c r="B57" s="1446"/>
      <c r="C57" s="1442"/>
      <c r="D57" s="1442"/>
    </row>
    <row r="58" spans="1:9" s="1445" customFormat="1" ht="13.5" customHeight="1" x14ac:dyDescent="0.2">
      <c r="A58" s="1442"/>
      <c r="B58" s="1447" t="s">
        <v>1747</v>
      </c>
      <c r="C58" s="1448"/>
      <c r="D58" s="1448"/>
    </row>
    <row r="59" spans="1:9" s="1445" customFormat="1" ht="3.95" customHeight="1" x14ac:dyDescent="0.2">
      <c r="A59" s="1442"/>
      <c r="B59" s="1447"/>
      <c r="C59" s="1448"/>
      <c r="D59" s="1448"/>
    </row>
    <row r="60" spans="1:9" s="1445" customFormat="1" ht="13.5" customHeight="1" x14ac:dyDescent="0.2">
      <c r="A60" s="1442"/>
      <c r="B60" s="1447" t="s">
        <v>1748</v>
      </c>
      <c r="C60" s="1448"/>
      <c r="D60" s="1448"/>
    </row>
    <row r="61" spans="1:9" s="1445" customFormat="1" ht="3.95" customHeight="1" x14ac:dyDescent="0.2">
      <c r="A61" s="1442"/>
      <c r="B61" s="1447"/>
      <c r="C61" s="1448"/>
      <c r="D61" s="1448"/>
    </row>
    <row r="62" spans="1:9" s="1445" customFormat="1" ht="12.75" customHeight="1" x14ac:dyDescent="0.2">
      <c r="A62" s="1442"/>
      <c r="B62" s="1447" t="s">
        <v>1749</v>
      </c>
      <c r="C62" s="1448"/>
      <c r="D62" s="1448"/>
    </row>
    <row r="63" spans="1:9" s="1445" customFormat="1" ht="13.5" customHeight="1" x14ac:dyDescent="0.2">
      <c r="A63" s="1442"/>
      <c r="B63" s="1446" t="s">
        <v>1594</v>
      </c>
      <c r="C63" s="1442"/>
      <c r="D63" s="144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Morton Community Unit School District 709</v>
      </c>
      <c r="C1" s="2467"/>
      <c r="D1" s="2467"/>
      <c r="E1" s="2467"/>
      <c r="F1" s="2467"/>
      <c r="G1" s="2467"/>
      <c r="H1" s="2467"/>
      <c r="I1" s="2467"/>
      <c r="J1" s="2467"/>
      <c r="K1" s="2467"/>
      <c r="L1" s="1371"/>
      <c r="M1" s="1371"/>
    </row>
    <row r="2" spans="1:13" ht="12" customHeight="1" x14ac:dyDescent="0.2">
      <c r="B2" s="2469" t="str">
        <f>'Single Audit Cover'!E7</f>
        <v>53-090-7090-26</v>
      </c>
      <c r="C2" s="2469"/>
      <c r="D2" s="2469"/>
      <c r="E2" s="2469"/>
      <c r="F2" s="2469"/>
      <c r="G2" s="2469"/>
      <c r="H2" s="2469"/>
      <c r="I2" s="2469"/>
      <c r="J2" s="2469"/>
      <c r="K2" s="2469"/>
      <c r="L2" s="1372"/>
      <c r="M2" s="1373"/>
    </row>
    <row r="3" spans="1:13" ht="10.35" customHeight="1" x14ac:dyDescent="0.2">
      <c r="B3" s="2483" t="s">
        <v>1282</v>
      </c>
      <c r="C3" s="2483"/>
      <c r="D3" s="2483"/>
      <c r="E3" s="2483"/>
      <c r="F3" s="2483"/>
      <c r="G3" s="2483"/>
      <c r="H3" s="2483"/>
      <c r="I3" s="2483"/>
      <c r="J3" s="2483"/>
      <c r="K3" s="2483"/>
      <c r="L3" s="1374"/>
      <c r="M3" s="1374"/>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1293</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1736</v>
      </c>
      <c r="C10" s="1382" t="s">
        <v>1985</v>
      </c>
      <c r="D10" s="1383" t="s">
        <v>2127</v>
      </c>
      <c r="E10" s="322"/>
      <c r="F10" s="1384" t="s">
        <v>1292</v>
      </c>
      <c r="G10" s="1385"/>
      <c r="H10" s="1386" t="s">
        <v>1291</v>
      </c>
      <c r="I10" s="1385"/>
      <c r="J10" s="1387" t="s">
        <v>1290</v>
      </c>
      <c r="K10" s="322"/>
      <c r="L10" s="1378"/>
    </row>
    <row r="11" spans="1:13" ht="13.5" customHeight="1" x14ac:dyDescent="0.2">
      <c r="B11" s="322"/>
      <c r="C11" s="322"/>
      <c r="D11" s="322"/>
      <c r="E11" s="322"/>
      <c r="F11" s="322"/>
      <c r="G11" s="1380"/>
      <c r="H11" s="322"/>
      <c r="I11" s="1388" t="s">
        <v>1289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1288</v>
      </c>
      <c r="C13" s="1390"/>
      <c r="D13" s="1391"/>
      <c r="E13" s="1391"/>
      <c r="F13" s="1391"/>
      <c r="G13" s="1392"/>
      <c r="H13" s="1391"/>
      <c r="I13" s="1392"/>
      <c r="J13" s="1391"/>
      <c r="K13" s="1391"/>
      <c r="L13" s="1393"/>
    </row>
    <row r="14" spans="1:13" ht="45.75" customHeight="1" x14ac:dyDescent="0.2">
      <c r="B14" s="2482"/>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1287</v>
      </c>
      <c r="C16" s="1390"/>
      <c r="D16" s="1391"/>
      <c r="E16" s="1391"/>
      <c r="F16" s="1391"/>
      <c r="G16" s="1392"/>
      <c r="H16" s="1391"/>
      <c r="I16" s="1392"/>
      <c r="J16" s="1391"/>
      <c r="K16" s="1391"/>
      <c r="L16" s="1393"/>
    </row>
    <row r="17" spans="2:12" ht="45.75" customHeight="1" x14ac:dyDescent="0.2">
      <c r="B17" s="2482"/>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1737</v>
      </c>
      <c r="C19" s="1390"/>
      <c r="D19" s="1391"/>
      <c r="E19" s="1391"/>
      <c r="F19" s="1391"/>
      <c r="G19" s="1392"/>
      <c r="H19" s="1391"/>
      <c r="I19" s="1392"/>
      <c r="J19" s="1391"/>
      <c r="K19" s="1391"/>
      <c r="L19" s="1393"/>
    </row>
    <row r="20" spans="2:12" ht="45.75" customHeight="1" x14ac:dyDescent="0.2">
      <c r="B20" s="2486"/>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1286</v>
      </c>
      <c r="C22" s="1390"/>
      <c r="D22" s="1376"/>
      <c r="E22" s="1376"/>
      <c r="F22" s="1376"/>
      <c r="G22" s="1377"/>
      <c r="H22" s="1376"/>
      <c r="I22" s="1377"/>
      <c r="J22" s="1376"/>
      <c r="K22" s="1376"/>
      <c r="L22" s="1378"/>
    </row>
    <row r="23" spans="2:12" ht="45" customHeight="1" x14ac:dyDescent="0.2">
      <c r="B23" s="2482"/>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1285</v>
      </c>
      <c r="C25" s="1390"/>
      <c r="D25" s="1376"/>
      <c r="E25" s="1376"/>
      <c r="F25" s="1376"/>
      <c r="G25" s="1377"/>
      <c r="H25" s="1376"/>
      <c r="I25" s="1377"/>
      <c r="J25" s="1376"/>
      <c r="K25" s="1376"/>
      <c r="L25" s="1378"/>
    </row>
    <row r="26" spans="2:12" ht="45.75" customHeight="1" x14ac:dyDescent="0.2">
      <c r="B26" s="2482"/>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1284</v>
      </c>
      <c r="C28" s="1398"/>
      <c r="D28" s="1376"/>
      <c r="E28" s="1376"/>
      <c r="F28" s="1376"/>
      <c r="G28" s="1377"/>
      <c r="H28" s="1376"/>
      <c r="I28" s="1377"/>
      <c r="J28" s="1376"/>
      <c r="K28" s="1376"/>
      <c r="L28" s="1378"/>
    </row>
    <row r="29" spans="2:12" ht="45.75" customHeight="1" x14ac:dyDescent="0.2">
      <c r="B29" s="2481"/>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1738</v>
      </c>
      <c r="C31" s="1400"/>
      <c r="D31" s="1375"/>
      <c r="E31" s="1376"/>
      <c r="F31" s="1376"/>
      <c r="G31" s="1377"/>
      <c r="H31" s="1376"/>
      <c r="I31" s="1377"/>
      <c r="J31" s="1376"/>
      <c r="K31" s="1376"/>
      <c r="L31" s="1378"/>
    </row>
    <row r="32" spans="2:12" s="322" customFormat="1" ht="44.25" customHeight="1" x14ac:dyDescent="0.2">
      <c r="B32" s="2481"/>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1739</v>
      </c>
      <c r="C35" s="1403"/>
      <c r="D35" s="322"/>
      <c r="E35" s="322"/>
      <c r="F35" s="322"/>
      <c r="L35" s="1378"/>
    </row>
    <row r="36" spans="1:13" ht="9.6" customHeight="1" x14ac:dyDescent="0.2">
      <c r="B36" s="1297" t="s">
        <v>1836</v>
      </c>
      <c r="C36" s="1297"/>
      <c r="L36" s="1378"/>
    </row>
    <row r="37" spans="1:13" ht="9.6" customHeight="1" x14ac:dyDescent="0.2">
      <c r="B37" s="1297" t="s">
        <v>1837</v>
      </c>
      <c r="C37" s="1297"/>
    </row>
    <row r="38" spans="1:13" ht="11.85" customHeight="1" x14ac:dyDescent="0.2">
      <c r="B38" s="1404" t="s">
        <v>1740</v>
      </c>
      <c r="C38" s="1404"/>
    </row>
    <row r="39" spans="1:13" ht="9.6" customHeight="1" x14ac:dyDescent="0.2">
      <c r="B39" s="1297" t="s">
        <v>1283</v>
      </c>
      <c r="C39" s="1297"/>
      <c r="M39" s="1405"/>
    </row>
    <row r="40" spans="1:13" ht="12.6" customHeight="1" x14ac:dyDescent="0.2">
      <c r="B40" s="1404" t="s">
        <v>1741</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Morton Community Unit School District 709</v>
      </c>
      <c r="C1" s="2490"/>
      <c r="D1" s="2490"/>
      <c r="E1" s="2490"/>
      <c r="F1" s="2490"/>
      <c r="G1" s="2490"/>
      <c r="H1" s="2490"/>
      <c r="I1" s="2490"/>
      <c r="J1" s="2490"/>
      <c r="K1" s="2490"/>
      <c r="L1" s="1449"/>
    </row>
    <row r="2" spans="1:12" ht="12.75" customHeight="1" x14ac:dyDescent="0.2">
      <c r="B2" s="2491" t="str">
        <f>'Single Audit Cover'!E7</f>
        <v>53-090-7090-26</v>
      </c>
      <c r="C2" s="2491"/>
      <c r="D2" s="2491"/>
      <c r="E2" s="2491"/>
      <c r="F2" s="2491"/>
      <c r="G2" s="2491"/>
      <c r="H2" s="2491"/>
      <c r="I2" s="2491"/>
      <c r="J2" s="2491"/>
      <c r="K2" s="2491"/>
      <c r="L2" s="1450"/>
    </row>
    <row r="3" spans="1:12" ht="12.75" customHeight="1" x14ac:dyDescent="0.2">
      <c r="B3" s="2483" t="s">
        <v>1282</v>
      </c>
      <c r="C3" s="2483"/>
      <c r="D3" s="2483"/>
      <c r="E3" s="2483"/>
      <c r="F3" s="2483"/>
      <c r="G3" s="2483"/>
      <c r="H3" s="2483"/>
      <c r="I3" s="2483"/>
      <c r="J3" s="2483"/>
      <c r="K3" s="2483"/>
      <c r="L3" s="1374"/>
    </row>
    <row r="4" spans="1:12" ht="12.75" customHeight="1" x14ac:dyDescent="0.2">
      <c r="B4" s="2483" t="str">
        <f>'Single Audit Cover'!A4</f>
        <v>Year Ending June 30, 2019</v>
      </c>
      <c r="C4" s="2483"/>
      <c r="D4" s="2483"/>
      <c r="E4" s="2483"/>
      <c r="F4" s="2483"/>
      <c r="G4" s="2483"/>
      <c r="H4" s="2483"/>
      <c r="I4" s="2483"/>
      <c r="J4" s="2483"/>
      <c r="K4" s="2483"/>
      <c r="L4" s="1374"/>
    </row>
    <row r="5" spans="1:12" ht="5.25" customHeight="1" x14ac:dyDescent="0.2">
      <c r="B5" s="1257" t="s">
        <v>1169</v>
      </c>
      <c r="C5" s="1257"/>
      <c r="L5" s="322"/>
    </row>
    <row r="6" spans="1:12" ht="30.75" customHeight="1" x14ac:dyDescent="0.2">
      <c r="A6" s="322"/>
      <c r="B6" s="2492" t="s">
        <v>1305</v>
      </c>
      <c r="C6" s="2492"/>
      <c r="D6" s="2492"/>
      <c r="E6" s="2492"/>
      <c r="F6" s="2492"/>
      <c r="G6" s="2492"/>
      <c r="H6" s="2492"/>
      <c r="I6" s="2492"/>
      <c r="J6" s="2492"/>
      <c r="K6" s="2492"/>
      <c r="L6" s="322"/>
    </row>
    <row r="7" spans="1:12" ht="4.5" customHeight="1" x14ac:dyDescent="0.2">
      <c r="B7" s="1376"/>
      <c r="C7" s="1376"/>
      <c r="D7" s="1376"/>
      <c r="E7" s="1376"/>
      <c r="F7" s="1376"/>
      <c r="G7" s="1377"/>
      <c r="H7" s="1376"/>
      <c r="I7" s="1377"/>
      <c r="J7" s="1376"/>
      <c r="K7" s="1376"/>
      <c r="L7" s="322"/>
    </row>
    <row r="8" spans="1:12" ht="13.5" customHeight="1" x14ac:dyDescent="0.2">
      <c r="B8" s="1384" t="s">
        <v>1750</v>
      </c>
      <c r="C8" s="1451" t="s">
        <v>1985</v>
      </c>
      <c r="D8" s="1452" t="s">
        <v>2127</v>
      </c>
      <c r="E8" s="322"/>
      <c r="F8" s="1381" t="s">
        <v>1292</v>
      </c>
      <c r="G8" s="1453"/>
      <c r="H8" s="1454" t="s">
        <v>1304</v>
      </c>
      <c r="I8" s="1453"/>
      <c r="J8" s="1455" t="s">
        <v>1303</v>
      </c>
      <c r="L8" s="322"/>
    </row>
    <row r="9" spans="1:12" ht="13.5" customHeight="1" x14ac:dyDescent="0.2">
      <c r="D9" s="322"/>
      <c r="E9" s="322"/>
      <c r="F9" s="322"/>
      <c r="G9" s="1380"/>
      <c r="H9" s="322"/>
      <c r="I9" s="1456" t="s">
        <v>1289</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1302</v>
      </c>
      <c r="C12" s="1381"/>
      <c r="D12" s="304"/>
      <c r="E12" s="322"/>
      <c r="F12" s="2474"/>
      <c r="G12" s="2474"/>
      <c r="H12" s="2474"/>
      <c r="I12" s="2474"/>
      <c r="J12" s="2474"/>
      <c r="K12" s="247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1301</v>
      </c>
      <c r="C14" s="1384"/>
      <c r="D14" s="2487"/>
      <c r="E14" s="2487"/>
      <c r="F14" s="2487"/>
      <c r="H14" s="1459" t="s">
        <v>1300</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1299</v>
      </c>
      <c r="C16" s="1384"/>
      <c r="D16" s="2488"/>
      <c r="E16" s="2488"/>
      <c r="F16" s="2488"/>
      <c r="G16" s="2488"/>
      <c r="H16" s="2488"/>
      <c r="I16" s="2488"/>
      <c r="J16" s="2488"/>
      <c r="K16" s="2488"/>
      <c r="L16" s="322"/>
    </row>
    <row r="17" spans="2:12" ht="13.5" customHeight="1" x14ac:dyDescent="0.2">
      <c r="B17" s="1384" t="s">
        <v>1298</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1297</v>
      </c>
      <c r="C19" s="1461"/>
      <c r="D19" s="328"/>
      <c r="E19" s="328"/>
      <c r="F19" s="328"/>
      <c r="G19" s="1462"/>
      <c r="H19" s="328"/>
      <c r="I19" s="1462"/>
      <c r="J19" s="322"/>
      <c r="K19" s="322"/>
      <c r="L19" s="322"/>
    </row>
    <row r="20" spans="2:12" ht="35.25" customHeight="1" x14ac:dyDescent="0.2">
      <c r="B20" s="2482"/>
      <c r="C20" s="2482"/>
      <c r="D20" s="2482"/>
      <c r="E20" s="2482"/>
      <c r="F20" s="2482"/>
      <c r="G20" s="2482"/>
      <c r="H20" s="2482"/>
      <c r="I20" s="2482"/>
      <c r="J20" s="2482"/>
      <c r="K20" s="248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1751</v>
      </c>
      <c r="C22" s="1461"/>
      <c r="D22" s="322"/>
      <c r="E22" s="322"/>
      <c r="F22" s="322"/>
      <c r="G22" s="1380"/>
      <c r="H22" s="322"/>
      <c r="I22" s="1380"/>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1752</v>
      </c>
      <c r="C25" s="1461"/>
      <c r="D25" s="322"/>
      <c r="E25" s="322"/>
      <c r="F25" s="322"/>
      <c r="G25" s="1380"/>
      <c r="H25" s="322"/>
      <c r="I25" s="1380"/>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1753</v>
      </c>
      <c r="C28" s="1461"/>
      <c r="D28" s="322"/>
      <c r="E28" s="322"/>
      <c r="F28" s="322"/>
      <c r="G28" s="1380"/>
      <c r="H28" s="322"/>
      <c r="I28" s="1380"/>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1296</v>
      </c>
      <c r="C31" s="1461"/>
      <c r="D31" s="322"/>
      <c r="E31" s="322"/>
      <c r="F31" s="322"/>
      <c r="G31" s="1380"/>
      <c r="H31" s="322"/>
      <c r="I31" s="1380"/>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1295</v>
      </c>
      <c r="C34" s="1381"/>
      <c r="D34" s="322"/>
      <c r="E34" s="322"/>
      <c r="F34" s="322"/>
      <c r="G34" s="1380"/>
      <c r="H34" s="322"/>
      <c r="I34" s="1380"/>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1294</v>
      </c>
      <c r="C37" s="1381"/>
      <c r="D37" s="322"/>
      <c r="E37" s="322"/>
      <c r="F37" s="322"/>
      <c r="G37" s="1380"/>
      <c r="H37" s="322"/>
      <c r="I37" s="1380"/>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1754</v>
      </c>
      <c r="C40" s="1400"/>
      <c r="D40" s="1375"/>
      <c r="E40" s="1376"/>
      <c r="F40" s="1376"/>
      <c r="G40" s="1377"/>
      <c r="H40" s="1376"/>
      <c r="I40" s="1377"/>
      <c r="J40" s="1376"/>
      <c r="K40" s="1376"/>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1755</v>
      </c>
      <c r="C44" s="1403"/>
      <c r="D44" s="322"/>
      <c r="E44" s="322"/>
      <c r="F44" s="322"/>
    </row>
    <row r="45" spans="2:12" ht="10.5" customHeight="1" x14ac:dyDescent="0.2">
      <c r="B45" s="1404" t="s">
        <v>1756</v>
      </c>
      <c r="C45" s="1404"/>
      <c r="G45" s="317"/>
      <c r="I45" s="317"/>
    </row>
    <row r="46" spans="2:12" ht="11.1" customHeight="1" x14ac:dyDescent="0.2">
      <c r="B46" s="1404" t="s">
        <v>1757</v>
      </c>
      <c r="C46" s="1404"/>
      <c r="G46" s="317"/>
      <c r="I46" s="317"/>
    </row>
    <row r="47" spans="2:12" ht="11.1" customHeight="1" x14ac:dyDescent="0.2">
      <c r="B47" s="1404" t="s">
        <v>1758</v>
      </c>
      <c r="C47" s="1404"/>
      <c r="G47" s="317"/>
      <c r="I47" s="317"/>
    </row>
    <row r="48" spans="2:12" ht="11.1" customHeight="1" x14ac:dyDescent="0.2">
      <c r="B48" s="1404" t="s">
        <v>1759</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7" t="str">
        <f>'Single Audit Cover'!A7</f>
        <v>Morton Community Unit School District 709</v>
      </c>
      <c r="C1" s="2467"/>
      <c r="D1" s="2467"/>
      <c r="E1" s="1469"/>
    </row>
    <row r="2" spans="2:5" s="1279" customFormat="1" ht="12.75" customHeight="1" x14ac:dyDescent="0.2">
      <c r="B2" s="2469" t="str">
        <f>'Single Audit Cover'!E7</f>
        <v>53-090-7090-26</v>
      </c>
      <c r="C2" s="2469"/>
      <c r="D2" s="2469"/>
      <c r="E2" s="1470"/>
    </row>
    <row r="3" spans="2:5" ht="12.75" customHeight="1" x14ac:dyDescent="0.2">
      <c r="B3" s="2483" t="s">
        <v>1760</v>
      </c>
      <c r="C3" s="2483"/>
      <c r="D3" s="2483"/>
      <c r="E3" s="1271"/>
    </row>
    <row r="4" spans="2:5" s="1279" customFormat="1" ht="12.75" customHeight="1" x14ac:dyDescent="0.2">
      <c r="B4" s="2493" t="str">
        <f>'Single Audit Cover'!A4</f>
        <v>Year Ending June 30, 2019</v>
      </c>
      <c r="C4" s="2493"/>
      <c r="D4" s="2493"/>
      <c r="E4" s="1471"/>
    </row>
    <row r="5" spans="2:5" s="1279" customFormat="1" ht="40.15" customHeight="1" x14ac:dyDescent="0.2">
      <c r="B5" s="1472" t="s">
        <v>1761</v>
      </c>
      <c r="C5" s="328"/>
      <c r="D5" s="328"/>
      <c r="E5" s="328"/>
    </row>
    <row r="6" spans="2:5" s="1279" customFormat="1" ht="13.5" customHeight="1" x14ac:dyDescent="0.2">
      <c r="B6" s="1473" t="s">
        <v>1312</v>
      </c>
      <c r="C6" s="1473" t="s">
        <v>1311</v>
      </c>
      <c r="D6" s="1473" t="s">
        <v>1762</v>
      </c>
    </row>
    <row r="7" spans="2:5" ht="13.5" customHeight="1" x14ac:dyDescent="0.2">
      <c r="B7" s="1474" t="s">
        <v>2127</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1310</v>
      </c>
      <c r="C44" s="322"/>
    </row>
    <row r="45" spans="2:5" ht="12.2" customHeight="1" x14ac:dyDescent="0.2">
      <c r="B45" s="1483" t="s">
        <v>1763</v>
      </c>
    </row>
    <row r="46" spans="2:5" ht="12.2" customHeight="1" x14ac:dyDescent="0.2">
      <c r="B46" s="1483" t="s">
        <v>1764</v>
      </c>
    </row>
    <row r="47" spans="2:5" ht="12.2" customHeight="1" x14ac:dyDescent="0.2">
      <c r="B47" s="1484" t="s">
        <v>1309</v>
      </c>
    </row>
    <row r="48" spans="2:5" ht="12.2" customHeight="1" x14ac:dyDescent="0.2">
      <c r="B48" s="1484" t="s">
        <v>1308</v>
      </c>
    </row>
    <row r="49" spans="2:5" ht="12.2" customHeight="1" x14ac:dyDescent="0.2">
      <c r="B49" s="1484" t="s">
        <v>1307</v>
      </c>
    </row>
    <row r="50" spans="2:5" ht="12.2" customHeight="1" x14ac:dyDescent="0.2">
      <c r="B50" s="1484" t="s">
        <v>1306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386</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272</v>
      </c>
      <c r="G7" s="222"/>
      <c r="H7" s="222"/>
      <c r="I7" s="222"/>
      <c r="J7" s="352">
        <v>584559550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3.8462200000000002E-2</v>
      </c>
      <c r="E10" s="356" t="s">
        <v>1005</v>
      </c>
      <c r="F10" s="355">
        <v>7.2871999999999998E-3</v>
      </c>
      <c r="G10" s="356" t="s">
        <v>1005</v>
      </c>
      <c r="H10" s="355">
        <v>1.1324E-3</v>
      </c>
      <c r="I10" s="356" t="s">
        <v>1006</v>
      </c>
      <c r="J10" s="1732">
        <f>ROUND(D10+F10+H10,5)</f>
        <v>4.6879999999999998E-2</v>
      </c>
      <c r="K10" s="222"/>
      <c r="L10" s="355">
        <v>4.9669999999999998E-4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34635302</v>
      </c>
      <c r="E16" s="356"/>
      <c r="F16" s="1733">
        <f>SUM('Acct Summary 7-8'!C17,'Acct Summary 7-8'!D17,'Acct Summary 7-8'!F17)</f>
        <v>33706685</v>
      </c>
      <c r="G16" s="356"/>
      <c r="H16" s="1733">
        <f>SUM(D16-F16)</f>
        <v>928617</v>
      </c>
      <c r="I16" s="222"/>
      <c r="J16" s="1733">
        <f>SUM('Acct Summary 7-8'!C81,'Acct Summary 7-8'!D81,'Acct Summary 7-8'!F81,'Acct Summary 7-8'!I81)</f>
        <v>32039581</v>
      </c>
      <c r="K16" s="222"/>
      <c r="L16" s="222"/>
      <c r="M16" s="222"/>
    </row>
    <row r="17" spans="1:13" ht="12.2" customHeight="1" x14ac:dyDescent="0.2">
      <c r="A17" s="349"/>
      <c r="B17" s="260" t="s">
        <v>8</v>
      </c>
      <c r="C17" s="237" t="s">
        <v>1393</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1647</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80669217.900000006</v>
      </c>
      <c r="I31" s="368"/>
      <c r="J31" s="222"/>
      <c r="K31" s="222"/>
      <c r="L31" s="222"/>
      <c r="M31" s="222"/>
    </row>
    <row r="32" spans="1:13" ht="13.35" customHeight="1" x14ac:dyDescent="0.2">
      <c r="B32" s="369" t="s">
        <v>2058</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7054632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556</v>
      </c>
      <c r="B2" s="2109"/>
      <c r="C2" s="2109"/>
      <c r="D2" s="2109"/>
      <c r="E2" s="2109"/>
      <c r="F2" s="2109"/>
      <c r="G2" s="2109"/>
      <c r="H2" s="2109"/>
      <c r="I2" s="2109"/>
      <c r="J2" s="2109"/>
      <c r="K2" s="2109"/>
      <c r="L2" s="2109"/>
      <c r="M2" s="2109"/>
      <c r="N2" s="2109"/>
      <c r="O2" s="2109"/>
      <c r="P2" s="2109"/>
      <c r="Q2" s="2109"/>
      <c r="R2" s="2109"/>
    </row>
    <row r="3" spans="1:18" ht="12.75" x14ac:dyDescent="0.2">
      <c r="A3" s="2110" t="s">
        <v>1410</v>
      </c>
      <c r="B3" s="2110"/>
      <c r="C3" s="2110"/>
      <c r="D3" s="2110"/>
      <c r="E3" s="2110"/>
      <c r="F3" s="2110"/>
      <c r="G3" s="2110"/>
      <c r="H3" s="2110"/>
      <c r="I3" s="2110"/>
      <c r="J3" s="2110"/>
      <c r="K3" s="2110"/>
      <c r="L3" s="2110"/>
      <c r="M3" s="2110"/>
      <c r="N3" s="2110"/>
      <c r="O3" s="2110"/>
      <c r="P3" s="2110"/>
      <c r="Q3" s="2110"/>
      <c r="R3" s="2110"/>
    </row>
    <row r="4" spans="1:18" x14ac:dyDescent="0.2">
      <c r="A4" s="2111" t="s">
        <v>1551</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Morton Community Unit School District 709</v>
      </c>
      <c r="E7" s="391"/>
      <c r="G7" s="252"/>
      <c r="H7" s="387"/>
      <c r="I7" s="387"/>
      <c r="J7" s="387"/>
      <c r="K7" s="387"/>
      <c r="L7" s="329"/>
      <c r="M7" s="329"/>
      <c r="N7" s="329"/>
      <c r="O7" s="329"/>
      <c r="P7" s="329"/>
    </row>
    <row r="8" spans="1:18" ht="12.75" x14ac:dyDescent="0.2">
      <c r="A8" s="329"/>
      <c r="B8" s="329"/>
      <c r="C8" s="389" t="s">
        <v>1125</v>
      </c>
      <c r="D8" s="392" t="str">
        <f>COVER!A13</f>
        <v>53-090-7090-26</v>
      </c>
      <c r="E8" s="393"/>
      <c r="G8" s="329"/>
      <c r="H8" s="329"/>
      <c r="I8" s="329"/>
      <c r="J8" s="329"/>
      <c r="K8" s="329"/>
      <c r="L8" s="329"/>
      <c r="M8" s="329"/>
      <c r="N8" s="329"/>
      <c r="O8" s="329"/>
      <c r="P8" s="329"/>
    </row>
    <row r="9" spans="1:18" ht="12.75" x14ac:dyDescent="0.2">
      <c r="A9" s="329"/>
      <c r="B9" s="329"/>
      <c r="C9" s="389" t="s">
        <v>713</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1362</v>
      </c>
      <c r="D12" s="218"/>
      <c r="E12" s="218"/>
      <c r="F12" s="218" t="s">
        <v>1091</v>
      </c>
      <c r="G12" s="402"/>
      <c r="H12" s="403">
        <f>SUM('Acct Summary 7-8'!C81+'Acct Summary 7-8'!D81+'Acct Summary 7-8'!F81+'Acct Summary 7-8'!I81+IF('Acct Summary 7-8'!G81&lt;0,'Acct Summary 7-8'!G81,"0")+IF('Acct Summary 7-8'!J81&lt;0,'Acct Summary 7-8'!J81,"0"))</f>
        <v>32039581</v>
      </c>
      <c r="I12" s="404"/>
      <c r="J12" s="404"/>
      <c r="K12" s="405">
        <f>TRUNC((H12/H13*100000),5)/100000</f>
        <v>0.92505562669999997</v>
      </c>
      <c r="L12" s="406"/>
      <c r="M12" s="360" t="s">
        <v>1144</v>
      </c>
      <c r="N12" s="360"/>
      <c r="O12" s="407">
        <v>0.35</v>
      </c>
      <c r="P12" s="218"/>
      <c r="Q12" s="218"/>
    </row>
    <row r="13" spans="1:18" s="408" customFormat="1" ht="12.75" x14ac:dyDescent="0.2">
      <c r="A13" s="218"/>
      <c r="B13" s="401"/>
      <c r="C13" s="2107" t="s">
        <v>1321</v>
      </c>
      <c r="D13" s="2108"/>
      <c r="E13" s="218"/>
      <c r="F13" s="409" t="s">
        <v>793</v>
      </c>
      <c r="G13" s="402"/>
      <c r="H13" s="403">
        <f>SUM('Acct Summary 7-8'!C8+'Acct Summary 7-8'!D8+'Acct Summary 7-8'!F8+'Acct Summary 7-8'!I8)+H14</f>
        <v>34635302</v>
      </c>
      <c r="I13" s="404"/>
      <c r="J13" s="404"/>
      <c r="K13" s="410"/>
      <c r="L13" s="218"/>
      <c r="M13" s="360" t="s">
        <v>1145</v>
      </c>
      <c r="N13" s="360"/>
      <c r="O13" s="411">
        <f>(O11*O12)</f>
        <v>1.4</v>
      </c>
      <c r="P13" s="218"/>
      <c r="Q13" s="218"/>
      <c r="R13" s="412"/>
    </row>
    <row r="14" spans="1:18" s="408" customFormat="1" ht="12.75" x14ac:dyDescent="0.2">
      <c r="A14" s="218"/>
      <c r="B14" s="401"/>
      <c r="C14" s="240" t="s">
        <v>1394</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1408</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33706685</v>
      </c>
      <c r="I17" s="404"/>
      <c r="J17" s="416"/>
      <c r="K17" s="405">
        <f>TRUNC((H17/H18*100000),5)/100000</f>
        <v>0.97318871360000003</v>
      </c>
      <c r="L17" s="406"/>
      <c r="M17" s="417" t="s">
        <v>1171</v>
      </c>
      <c r="O17" s="418" t="str">
        <f>IF(AND(O16="2", J20 &gt; 2),"1",IF(AND(O16 = "1", J20 &gt; 2),"2",IF(AND(O16="1", J20 &gt;1),"1","0")))</f>
        <v>0</v>
      </c>
      <c r="P17" s="218"/>
    </row>
    <row r="18" spans="1:18" s="408" customFormat="1" ht="11.25" x14ac:dyDescent="0.2">
      <c r="A18" s="218"/>
      <c r="B18" s="401"/>
      <c r="C18" s="2107" t="s">
        <v>1314</v>
      </c>
      <c r="D18" s="2108"/>
      <c r="E18" s="218"/>
      <c r="F18" s="419" t="s">
        <v>794</v>
      </c>
      <c r="G18" s="402"/>
      <c r="H18" s="403">
        <f>SUM('Acct Summary 7-8'!C8+'Acct Summary 7-8'!D8+'Acct Summary 7-8'!F8+'Acct Summary 7-8'!I8)+H19</f>
        <v>34635302</v>
      </c>
      <c r="I18" s="404"/>
      <c r="J18" s="404"/>
      <c r="K18" s="410"/>
      <c r="L18" s="218"/>
      <c r="M18" s="360" t="s">
        <v>1144</v>
      </c>
      <c r="N18" s="360"/>
      <c r="O18" s="410">
        <v>0.35</v>
      </c>
      <c r="P18" s="218"/>
    </row>
    <row r="19" spans="1:18" s="408" customFormat="1" ht="11.25" x14ac:dyDescent="0.2">
      <c r="A19" s="218"/>
      <c r="B19" s="401"/>
      <c r="C19" s="240" t="s">
        <v>1394</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4" t="s">
        <v>1409</v>
      </c>
      <c r="D24" s="2104"/>
      <c r="E24" s="218"/>
      <c r="F24" s="218" t="s">
        <v>445</v>
      </c>
      <c r="G24" s="402"/>
      <c r="H24" s="403">
        <f>SUM('Assets-Liab 5-6'!C4+'Assets-Liab 5-6'!D4+'Assets-Liab 5-6'!F4+'Assets-Liab 5-6'!I4+'Assets-Liab 5-6'!C5+'Assets-Liab 5-6'!D5+'Assets-Liab 5-6'!F5+'Assets-Liab 5-6'!I5)</f>
        <v>32039581</v>
      </c>
      <c r="I24" s="422"/>
      <c r="J24" s="422"/>
      <c r="K24" s="423">
        <f>TRUNC(((H24/H25*100000)/100000),2)</f>
        <v>342.19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93629.680559999993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1925</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23293528.948399998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7054632</v>
      </c>
      <c r="I32" s="420"/>
      <c r="J32" s="420"/>
      <c r="K32" s="423">
        <f>TRUNC(100-((((H32/H33*100))*100)/100),2)</f>
        <v>91.25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80669217.900000006</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1503</v>
      </c>
      <c r="I40" s="408"/>
      <c r="J40" s="408"/>
      <c r="K40" s="410"/>
      <c r="L40" s="408"/>
      <c r="M40" s="408"/>
      <c r="N40" s="408"/>
      <c r="O40" s="218"/>
      <c r="P40" s="216"/>
      <c r="Q40" s="216"/>
    </row>
    <row r="41" spans="1:17" x14ac:dyDescent="0.2">
      <c r="G41" s="448"/>
      <c r="H41" s="218" t="s">
        <v>1504</v>
      </c>
      <c r="M41" s="216"/>
      <c r="O41" s="216"/>
      <c r="P41" s="216"/>
      <c r="Q41" s="216"/>
    </row>
    <row r="42" spans="1:17" x14ac:dyDescent="0.2">
      <c r="A42" s="385" t="s">
        <v>1505</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workbookViewId="0">
      <selection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1491</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4" t="s">
        <v>973</v>
      </c>
      <c r="B3" s="2115"/>
      <c r="C3" s="1559"/>
      <c r="D3" s="1560"/>
      <c r="E3" s="1560"/>
      <c r="F3" s="1560"/>
      <c r="G3" s="1560"/>
      <c r="H3" s="1560"/>
      <c r="I3" s="1560"/>
      <c r="J3" s="1560"/>
      <c r="K3" s="1560"/>
      <c r="L3" s="1560"/>
      <c r="M3" s="1561"/>
      <c r="N3" s="1562"/>
    </row>
    <row r="4" spans="1:14" ht="13.5" customHeight="1" x14ac:dyDescent="0.2">
      <c r="A4" s="463" t="s">
        <v>1648</v>
      </c>
      <c r="B4" s="464"/>
      <c r="C4" s="465">
        <v>384401</v>
      </c>
      <c r="D4" s="466">
        <v>740479</v>
      </c>
      <c r="E4" s="466">
        <v>2548</v>
      </c>
      <c r="F4" s="466">
        <v>31201</v>
      </c>
      <c r="G4" s="466">
        <v>83600</v>
      </c>
      <c r="H4" s="466"/>
      <c r="I4" s="466">
        <v>580</v>
      </c>
      <c r="J4" s="467">
        <v>189131</v>
      </c>
      <c r="K4" s="466"/>
      <c r="L4" s="466">
        <v>352555</v>
      </c>
      <c r="M4" s="468"/>
      <c r="N4" s="469"/>
    </row>
    <row r="5" spans="1:14" x14ac:dyDescent="0.2">
      <c r="A5" s="463" t="s">
        <v>992</v>
      </c>
      <c r="B5" s="470">
        <v>120</v>
      </c>
      <c r="C5" s="465">
        <v>18006106</v>
      </c>
      <c r="D5" s="466">
        <v>8917076</v>
      </c>
      <c r="E5" s="466">
        <v>117186</v>
      </c>
      <c r="F5" s="466">
        <v>1115822</v>
      </c>
      <c r="G5" s="466">
        <v>563916</v>
      </c>
      <c r="H5" s="466"/>
      <c r="I5" s="466">
        <v>2843916</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18390507</v>
      </c>
      <c r="D13" s="1737">
        <f t="shared" ref="D13:L13" si="0">SUM(D4:D12)</f>
        <v>9657555</v>
      </c>
      <c r="E13" s="1737">
        <f t="shared" si="0"/>
        <v>119734</v>
      </c>
      <c r="F13" s="1737">
        <f t="shared" si="0"/>
        <v>1147023</v>
      </c>
      <c r="G13" s="1737">
        <f t="shared" si="0"/>
        <v>647516</v>
      </c>
      <c r="H13" s="1737">
        <f t="shared" si="0"/>
        <v>0</v>
      </c>
      <c r="I13" s="1737">
        <f t="shared" si="0"/>
        <v>2844496</v>
      </c>
      <c r="J13" s="1737">
        <f t="shared" si="0"/>
        <v>189131</v>
      </c>
      <c r="K13" s="1737">
        <f t="shared" si="0"/>
        <v>0</v>
      </c>
      <c r="L13" s="1737">
        <f t="shared" si="0"/>
        <v>352555</v>
      </c>
      <c r="M13" s="468"/>
      <c r="N13" s="469"/>
    </row>
    <row r="14" spans="1:14" ht="18" customHeight="1" thickTop="1" x14ac:dyDescent="0.2">
      <c r="A14" s="2116" t="s">
        <v>147</v>
      </c>
      <c r="B14" s="2117"/>
      <c r="C14" s="1563"/>
      <c r="D14" s="1564"/>
      <c r="E14" s="1564"/>
      <c r="F14" s="1564"/>
      <c r="G14" s="1564"/>
      <c r="H14" s="1564"/>
      <c r="I14" s="1564"/>
      <c r="J14" s="1564"/>
      <c r="K14" s="1564"/>
      <c r="L14" s="1564"/>
      <c r="M14" s="1565"/>
      <c r="N14" s="1566"/>
    </row>
    <row r="15" spans="1:14" s="485" customFormat="1" ht="12.75" customHeight="1" x14ac:dyDescent="0.2">
      <c r="A15" s="482" t="s">
        <v>1398</v>
      </c>
      <c r="B15" s="483">
        <v>210</v>
      </c>
      <c r="C15" s="477"/>
      <c r="D15" s="477"/>
      <c r="E15" s="477"/>
      <c r="F15" s="477"/>
      <c r="G15" s="477"/>
      <c r="H15" s="477"/>
      <c r="I15" s="477"/>
      <c r="J15" s="477"/>
      <c r="K15" s="477"/>
      <c r="L15" s="477"/>
      <c r="M15" s="478"/>
      <c r="N15" s="484"/>
    </row>
    <row r="16" spans="1:14" s="485" customFormat="1" ht="12.75" customHeight="1" x14ac:dyDescent="0.2">
      <c r="A16" s="482" t="s">
        <v>1399</v>
      </c>
      <c r="B16" s="483">
        <v>220</v>
      </c>
      <c r="C16" s="477"/>
      <c r="D16" s="477"/>
      <c r="E16" s="477"/>
      <c r="F16" s="477"/>
      <c r="G16" s="477"/>
      <c r="H16" s="477"/>
      <c r="I16" s="477"/>
      <c r="J16" s="477"/>
      <c r="K16" s="477"/>
      <c r="L16" s="477"/>
      <c r="M16" s="467">
        <f>'Cap Outlay Deprec 26'!L5</f>
        <v>4968870</v>
      </c>
      <c r="N16" s="484"/>
    </row>
    <row r="17" spans="1:14" s="485" customFormat="1" ht="12.75" customHeight="1" x14ac:dyDescent="0.2">
      <c r="A17" s="482" t="s">
        <v>1400</v>
      </c>
      <c r="B17" s="483">
        <v>230</v>
      </c>
      <c r="C17" s="477"/>
      <c r="D17" s="477"/>
      <c r="E17" s="477"/>
      <c r="F17" s="477"/>
      <c r="G17" s="477"/>
      <c r="H17" s="477"/>
      <c r="I17" s="477"/>
      <c r="J17" s="477"/>
      <c r="K17" s="477"/>
      <c r="L17" s="477"/>
      <c r="M17" s="467">
        <f>'Cap Outlay Deprec 26'!L8</f>
        <v>33430734</v>
      </c>
      <c r="N17" s="484"/>
    </row>
    <row r="18" spans="1:14" s="485" customFormat="1" ht="12.75" customHeight="1" x14ac:dyDescent="0.2">
      <c r="A18" s="482" t="s">
        <v>1401</v>
      </c>
      <c r="B18" s="483">
        <v>240</v>
      </c>
      <c r="C18" s="477"/>
      <c r="D18" s="477"/>
      <c r="E18" s="477"/>
      <c r="F18" s="477"/>
      <c r="G18" s="477"/>
      <c r="H18" s="477"/>
      <c r="I18" s="477"/>
      <c r="J18" s="477"/>
      <c r="K18" s="477"/>
      <c r="L18" s="477"/>
      <c r="M18" s="467">
        <f>'Cap Outlay Deprec 26'!L10</f>
        <v>6350258</v>
      </c>
      <c r="N18" s="484"/>
    </row>
    <row r="19" spans="1:14" s="485" customFormat="1" ht="12.75" customHeight="1" x14ac:dyDescent="0.2">
      <c r="A19" s="482" t="s">
        <v>1402</v>
      </c>
      <c r="B19" s="483">
        <v>250</v>
      </c>
      <c r="C19" s="477"/>
      <c r="D19" s="477"/>
      <c r="E19" s="477"/>
      <c r="F19" s="477"/>
      <c r="G19" s="477"/>
      <c r="H19" s="477"/>
      <c r="I19" s="477"/>
      <c r="J19" s="477"/>
      <c r="K19" s="477"/>
      <c r="L19" s="477"/>
      <c r="M19" s="467">
        <f>'Cap Outlay Deprec 26'!L12+'Cap Outlay Deprec 26'!L13</f>
        <v>4152444</v>
      </c>
      <c r="N19" s="484"/>
    </row>
    <row r="20" spans="1:14" s="485" customFormat="1" ht="12.75" customHeight="1" x14ac:dyDescent="0.2">
      <c r="A20" s="482" t="s">
        <v>1403</v>
      </c>
      <c r="B20" s="483">
        <v>260</v>
      </c>
      <c r="C20" s="477"/>
      <c r="D20" s="477"/>
      <c r="E20" s="477"/>
      <c r="F20" s="477"/>
      <c r="G20" s="477"/>
      <c r="H20" s="477"/>
      <c r="I20" s="477"/>
      <c r="J20" s="477"/>
      <c r="K20" s="477"/>
      <c r="L20" s="477"/>
      <c r="M20" s="467">
        <f>'Cap Outlay Deprec 26'!L15</f>
        <v>345295</v>
      </c>
      <c r="N20" s="484"/>
    </row>
    <row r="21" spans="1:14" s="485" customFormat="1" ht="12.75" customHeight="1" x14ac:dyDescent="0.2">
      <c r="A21" s="482" t="s">
        <v>1404</v>
      </c>
      <c r="B21" s="483">
        <v>340</v>
      </c>
      <c r="C21" s="477"/>
      <c r="D21" s="477"/>
      <c r="E21" s="477"/>
      <c r="F21" s="477"/>
      <c r="G21" s="477"/>
      <c r="H21" s="477"/>
      <c r="I21" s="477"/>
      <c r="J21" s="477"/>
      <c r="K21" s="477"/>
      <c r="L21" s="477"/>
      <c r="M21" s="486"/>
      <c r="N21" s="467">
        <f>E4+E5</f>
        <v>119734</v>
      </c>
    </row>
    <row r="22" spans="1:14" s="485" customFormat="1" ht="12.75" customHeight="1" x14ac:dyDescent="0.2">
      <c r="A22" s="482" t="s">
        <v>1405</v>
      </c>
      <c r="B22" s="483">
        <v>350</v>
      </c>
      <c r="C22" s="477"/>
      <c r="D22" s="477"/>
      <c r="E22" s="477"/>
      <c r="F22" s="477"/>
      <c r="G22" s="477"/>
      <c r="H22" s="477"/>
      <c r="I22" s="477"/>
      <c r="J22" s="477"/>
      <c r="K22" s="477"/>
      <c r="L22" s="477"/>
      <c r="M22" s="486"/>
      <c r="N22" s="487">
        <f>'Short-Term Long-Term Debt 24'!J49</f>
        <v>6934898</v>
      </c>
    </row>
    <row r="23" spans="1:14" ht="13.5" customHeight="1" thickBot="1" x14ac:dyDescent="0.25">
      <c r="A23" s="1736" t="s">
        <v>643</v>
      </c>
      <c r="B23" s="1741"/>
      <c r="C23" s="468"/>
      <c r="D23" s="468"/>
      <c r="E23" s="468"/>
      <c r="F23" s="468"/>
      <c r="G23" s="468"/>
      <c r="H23" s="468"/>
      <c r="I23" s="468"/>
      <c r="J23" s="468"/>
      <c r="K23" s="468"/>
      <c r="L23" s="468"/>
      <c r="M23" s="1688">
        <f>SUM(M15:M22)</f>
        <v>49247601</v>
      </c>
      <c r="N23" s="1688">
        <f>SUM(N21:N22)</f>
        <v>7054632</v>
      </c>
    </row>
    <row r="24" spans="1:14" ht="18" customHeight="1" thickTop="1" x14ac:dyDescent="0.2">
      <c r="A24" s="2118" t="s">
        <v>598</v>
      </c>
      <c r="B24" s="2119"/>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f>+L4</f>
        <v>352555</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352555</v>
      </c>
      <c r="M34" s="468"/>
      <c r="N34" s="480"/>
    </row>
    <row r="35" spans="1:14" ht="18" customHeight="1" thickTop="1" x14ac:dyDescent="0.2">
      <c r="A35" s="2120" t="s">
        <v>529</v>
      </c>
      <c r="B35" s="212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7054632</v>
      </c>
    </row>
    <row r="37" spans="1:14" ht="13.5" thickBot="1" x14ac:dyDescent="0.25">
      <c r="A37" s="1736" t="s">
        <v>653</v>
      </c>
      <c r="B37" s="1741"/>
      <c r="C37" s="477"/>
      <c r="D37" s="477"/>
      <c r="E37" s="477"/>
      <c r="F37" s="477"/>
      <c r="G37" s="477"/>
      <c r="H37" s="477"/>
      <c r="I37" s="477"/>
      <c r="J37" s="477"/>
      <c r="K37" s="477"/>
      <c r="L37" s="480"/>
      <c r="M37" s="468"/>
      <c r="N37" s="1688">
        <f>SUM(N36:N36)</f>
        <v>7054632</v>
      </c>
    </row>
    <row r="38" spans="1:14" s="329" customFormat="1" ht="13.5" customHeight="1" thickTop="1" x14ac:dyDescent="0.2">
      <c r="A38" s="496" t="s">
        <v>420</v>
      </c>
      <c r="B38" s="483">
        <v>714</v>
      </c>
      <c r="C38" s="466"/>
      <c r="D38" s="466"/>
      <c r="E38" s="466">
        <f>+'Acct Summary 7-8'!E81</f>
        <v>119734</v>
      </c>
      <c r="F38" s="466"/>
      <c r="G38" s="466">
        <f>+'Acct Summary 7-8'!G81</f>
        <v>647516</v>
      </c>
      <c r="H38" s="466"/>
      <c r="I38" s="466"/>
      <c r="J38" s="467">
        <f>+'Acct Summary 7-8'!J81</f>
        <v>189131</v>
      </c>
      <c r="K38" s="466"/>
      <c r="L38" s="481"/>
      <c r="M38" s="497"/>
      <c r="N38" s="497"/>
    </row>
    <row r="39" spans="1:14" s="329" customFormat="1" ht="13.5" customHeight="1" x14ac:dyDescent="0.2">
      <c r="A39" s="496" t="s">
        <v>342</v>
      </c>
      <c r="B39" s="483">
        <v>730</v>
      </c>
      <c r="C39" s="466">
        <f>+'Acct Summary 7-8'!C81</f>
        <v>18390507</v>
      </c>
      <c r="D39" s="466">
        <f>+'Acct Summary 7-8'!D81</f>
        <v>9657555</v>
      </c>
      <c r="E39" s="466"/>
      <c r="F39" s="466">
        <f>+'Acct Summary 7-8'!F81</f>
        <v>1147023</v>
      </c>
      <c r="G39" s="466"/>
      <c r="H39" s="466"/>
      <c r="I39" s="466">
        <f>+'Acct Summary 7-8'!I81</f>
        <v>2844496</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49247601</v>
      </c>
      <c r="N40" s="497"/>
    </row>
    <row r="41" spans="1:14" ht="13.5" customHeight="1" thickBot="1" x14ac:dyDescent="0.25">
      <c r="A41" s="1736" t="s">
        <v>655</v>
      </c>
      <c r="B41" s="1706"/>
      <c r="C41" s="1688">
        <f>(SUM(C34,C37,C38,C39))</f>
        <v>18390507</v>
      </c>
      <c r="D41" s="1688">
        <f t="shared" ref="D41:L41" si="2">SUM(D34,D37,D38:D39)</f>
        <v>9657555</v>
      </c>
      <c r="E41" s="1688">
        <f t="shared" si="2"/>
        <v>119734</v>
      </c>
      <c r="F41" s="1688">
        <f t="shared" si="2"/>
        <v>1147023</v>
      </c>
      <c r="G41" s="1688">
        <f t="shared" si="2"/>
        <v>647516</v>
      </c>
      <c r="H41" s="1688">
        <f t="shared" si="2"/>
        <v>0</v>
      </c>
      <c r="I41" s="1688">
        <f t="shared" si="2"/>
        <v>2844496</v>
      </c>
      <c r="J41" s="1688">
        <f t="shared" si="2"/>
        <v>189131</v>
      </c>
      <c r="K41" s="1688">
        <f t="shared" si="2"/>
        <v>0</v>
      </c>
      <c r="L41" s="1688">
        <f t="shared" si="2"/>
        <v>352555</v>
      </c>
      <c r="M41" s="1688">
        <f>SUM(M40)</f>
        <v>49247601</v>
      </c>
      <c r="N41" s="1688">
        <f>SUM(N37)</f>
        <v>7054632</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workbookViewId="0">
      <selection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1649</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2" t="s">
        <v>1175</v>
      </c>
      <c r="B3" s="2143"/>
      <c r="C3" s="1573"/>
      <c r="D3" s="1574"/>
      <c r="E3" s="1574"/>
      <c r="F3" s="1574"/>
      <c r="G3" s="1574"/>
      <c r="H3" s="1574"/>
      <c r="I3" s="1574"/>
      <c r="J3" s="1574"/>
      <c r="K3" s="1575"/>
      <c r="L3" s="506"/>
    </row>
    <row r="4" spans="1:13" ht="15.75" customHeight="1" x14ac:dyDescent="0.2">
      <c r="A4" s="1928" t="s">
        <v>1496</v>
      </c>
      <c r="B4" s="1929">
        <v>1000</v>
      </c>
      <c r="C4" s="1742">
        <f>'Revenues 9-14'!C109</f>
        <v>23893833</v>
      </c>
      <c r="D4" s="1742">
        <f>'Revenues 9-14'!D109</f>
        <v>5324593</v>
      </c>
      <c r="E4" s="1742">
        <f>'Revenues 9-14'!E109</f>
        <v>1283137</v>
      </c>
      <c r="F4" s="1742">
        <f>'Revenues 9-14'!F109</f>
        <v>679956</v>
      </c>
      <c r="G4" s="1742">
        <f>'Revenues 9-14'!G109</f>
        <v>1103012</v>
      </c>
      <c r="H4" s="1742">
        <f>'Revenues 9-14'!H109</f>
        <v>992</v>
      </c>
      <c r="I4" s="1742">
        <f>'Revenues 9-14'!I109</f>
        <v>317337</v>
      </c>
      <c r="J4" s="1742">
        <f>'Revenues 9-14'!J109</f>
        <v>424190</v>
      </c>
      <c r="K4" s="1742">
        <f>'Revenues 9-14'!K109</f>
        <v>0</v>
      </c>
      <c r="L4" s="347"/>
    </row>
    <row r="5" spans="1:13" ht="15.75" customHeight="1" x14ac:dyDescent="0.2">
      <c r="A5" s="1576" t="s">
        <v>1497</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1498</v>
      </c>
      <c r="B6" s="1578">
        <v>3000</v>
      </c>
      <c r="C6" s="1743">
        <f>'Revenues 9-14'!C170</f>
        <v>2248826</v>
      </c>
      <c r="D6" s="1743">
        <f>'Revenues 9-14'!D170</f>
        <v>700000</v>
      </c>
      <c r="E6" s="1743">
        <f>'Revenues 9-14'!E170</f>
        <v>0</v>
      </c>
      <c r="F6" s="1743">
        <f>'Revenues 9-14'!F170</f>
        <v>277449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1499</v>
      </c>
      <c r="B7" s="1578">
        <v>4000</v>
      </c>
      <c r="C7" s="1743">
        <f>'Revenues 9-14'!C267</f>
        <v>1193308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27335967</v>
      </c>
      <c r="D8" s="1688">
        <f t="shared" ref="D8:K8" si="0">SUM(D4:D7)</f>
        <v>6024593</v>
      </c>
      <c r="E8" s="1688">
        <f t="shared" si="0"/>
        <v>1283137</v>
      </c>
      <c r="F8" s="1688">
        <f t="shared" si="0"/>
        <v>957405</v>
      </c>
      <c r="G8" s="1688">
        <f t="shared" si="0"/>
        <v>1103012</v>
      </c>
      <c r="H8" s="1688">
        <f t="shared" si="0"/>
        <v>992</v>
      </c>
      <c r="I8" s="1688">
        <f t="shared" si="0"/>
        <v>317337</v>
      </c>
      <c r="J8" s="1688">
        <f t="shared" si="0"/>
        <v>424190</v>
      </c>
      <c r="K8" s="1688">
        <f t="shared" si="0"/>
        <v>0</v>
      </c>
      <c r="L8" s="347"/>
    </row>
    <row r="9" spans="1:13" ht="15.75" thickTop="1" x14ac:dyDescent="0.2">
      <c r="A9" s="514" t="s">
        <v>1650</v>
      </c>
      <c r="B9" s="515">
        <v>3998</v>
      </c>
      <c r="C9" s="481">
        <v>10124811</v>
      </c>
      <c r="D9" s="516"/>
      <c r="E9" s="481"/>
      <c r="F9" s="481"/>
      <c r="G9" s="517"/>
      <c r="H9" s="481"/>
      <c r="I9" s="509" t="s">
        <v>1169</v>
      </c>
      <c r="J9" s="478"/>
      <c r="K9" s="481"/>
      <c r="L9" s="347"/>
    </row>
    <row r="10" spans="1:13" s="519" customFormat="1" ht="13.5" thickBot="1" x14ac:dyDescent="0.25">
      <c r="A10" s="1736" t="s">
        <v>1173</v>
      </c>
      <c r="B10" s="1709"/>
      <c r="C10" s="1688">
        <f>SUM(C8:C9)</f>
        <v>37460778</v>
      </c>
      <c r="D10" s="1688">
        <f t="shared" ref="D10:K10" si="1">SUM(D8:D9)</f>
        <v>6024593</v>
      </c>
      <c r="E10" s="1688">
        <f t="shared" si="1"/>
        <v>1283137</v>
      </c>
      <c r="F10" s="1688">
        <f t="shared" si="1"/>
        <v>957405</v>
      </c>
      <c r="G10" s="1688">
        <f t="shared" si="1"/>
        <v>1103012</v>
      </c>
      <c r="H10" s="1688">
        <f t="shared" si="1"/>
        <v>992</v>
      </c>
      <c r="I10" s="1688">
        <f t="shared" si="1"/>
        <v>317337</v>
      </c>
      <c r="J10" s="1688">
        <f t="shared" si="1"/>
        <v>424190</v>
      </c>
      <c r="K10" s="1688">
        <f t="shared" si="1"/>
        <v>0</v>
      </c>
      <c r="L10" s="518"/>
    </row>
    <row r="11" spans="1:13" s="519" customFormat="1" ht="16.7" customHeight="1" thickTop="1" x14ac:dyDescent="0.2">
      <c r="A11" s="2116" t="s">
        <v>1176</v>
      </c>
      <c r="B11" s="2117"/>
      <c r="C11" s="1570"/>
      <c r="D11" s="1571"/>
      <c r="E11" s="1571"/>
      <c r="F11" s="1571"/>
      <c r="G11" s="1571"/>
      <c r="H11" s="1571"/>
      <c r="I11" s="1571"/>
      <c r="J11" s="1571"/>
      <c r="K11" s="1572"/>
      <c r="L11" s="518"/>
    </row>
    <row r="12" spans="1:13" ht="15.75" customHeight="1" x14ac:dyDescent="0.2">
      <c r="A12" s="1576" t="s">
        <v>456</v>
      </c>
      <c r="B12" s="1578">
        <v>1000</v>
      </c>
      <c r="C12" s="1742">
        <f>'Expenditures 15-22'!K33</f>
        <v>18955113</v>
      </c>
      <c r="D12" s="520" t="s">
        <v>1169</v>
      </c>
      <c r="E12" s="468" t="s">
        <v>1169</v>
      </c>
      <c r="F12" s="468" t="s">
        <v>1169</v>
      </c>
      <c r="G12" s="1742">
        <f>'Expenditures 15-22'!K229</f>
        <v>456535</v>
      </c>
      <c r="H12" s="521"/>
      <c r="I12" s="468" t="s">
        <v>1169</v>
      </c>
      <c r="J12" s="468" t="s">
        <v>1169</v>
      </c>
      <c r="K12" s="521" t="s">
        <v>1169</v>
      </c>
      <c r="L12" s="347"/>
    </row>
    <row r="13" spans="1:13" ht="15.75" customHeight="1" x14ac:dyDescent="0.2">
      <c r="A13" s="1576" t="s">
        <v>457</v>
      </c>
      <c r="B13" s="1578">
        <v>2000</v>
      </c>
      <c r="C13" s="1743">
        <f>'Expenditures 15-22'!K74</f>
        <v>7638382</v>
      </c>
      <c r="D13" s="1743">
        <f>'Expenditures 15-22'!K129</f>
        <v>5672774</v>
      </c>
      <c r="E13" s="469" t="s">
        <v>1169</v>
      </c>
      <c r="F13" s="1743">
        <f>'Expenditures 15-22'!K184</f>
        <v>960858</v>
      </c>
      <c r="G13" s="1743">
        <f>'Expenditures 15-22'!K279</f>
        <v>541023</v>
      </c>
      <c r="H13" s="1743">
        <f>'Expenditures 15-22'!K303</f>
        <v>505372</v>
      </c>
      <c r="I13" s="468" t="s">
        <v>1169</v>
      </c>
      <c r="J13" s="1743">
        <f>'Expenditures 15-22'!K330</f>
        <v>358594</v>
      </c>
      <c r="K13" s="1747">
        <f>'Expenditures 15-22'!K352</f>
        <v>0</v>
      </c>
      <c r="L13" s="347"/>
    </row>
    <row r="14" spans="1:13" ht="15.75" customHeight="1" x14ac:dyDescent="0.2">
      <c r="A14" s="1576" t="s">
        <v>449</v>
      </c>
      <c r="B14" s="1578">
        <v>3000</v>
      </c>
      <c r="C14" s="1743">
        <f>'Expenditures 15-22'!K75</f>
        <v>17571</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270846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99</v>
      </c>
      <c r="D16" s="1743">
        <f>'Expenditures 15-22'!K149</f>
        <v>0</v>
      </c>
      <c r="E16" s="1743">
        <f>'Expenditures 15-22'!K172</f>
        <v>1602108</v>
      </c>
      <c r="F16" s="1743">
        <f>'Expenditures 15-22'!K208</f>
        <v>191042</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26882011</v>
      </c>
      <c r="D17" s="1688">
        <f t="shared" si="2"/>
        <v>5672774</v>
      </c>
      <c r="E17" s="1688">
        <f t="shared" si="2"/>
        <v>1602108</v>
      </c>
      <c r="F17" s="1688">
        <f t="shared" si="2"/>
        <v>1151900</v>
      </c>
      <c r="G17" s="1688">
        <f t="shared" si="2"/>
        <v>997558</v>
      </c>
      <c r="H17" s="1688">
        <f t="shared" si="2"/>
        <v>505372</v>
      </c>
      <c r="I17" s="468"/>
      <c r="J17" s="1688">
        <f>SUM(J12:J16)</f>
        <v>358594</v>
      </c>
      <c r="K17" s="1688">
        <f>SUM(K12:K16)</f>
        <v>0</v>
      </c>
      <c r="L17" s="347"/>
    </row>
    <row r="18" spans="1:12" ht="15" customHeight="1" thickTop="1" x14ac:dyDescent="0.2">
      <c r="A18" s="1744" t="s">
        <v>1651</v>
      </c>
      <c r="B18" s="1745">
        <v>4180</v>
      </c>
      <c r="C18" s="1742">
        <f t="shared" ref="C18:H18" si="3">C9</f>
        <v>10124811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37006822</v>
      </c>
      <c r="D19" s="1688">
        <f t="shared" si="4"/>
        <v>5672774</v>
      </c>
      <c r="E19" s="1688">
        <f t="shared" si="4"/>
        <v>1602108</v>
      </c>
      <c r="F19" s="1688">
        <f t="shared" si="4"/>
        <v>1151900</v>
      </c>
      <c r="G19" s="1688">
        <f t="shared" si="4"/>
        <v>997558</v>
      </c>
      <c r="H19" s="1688">
        <f t="shared" si="4"/>
        <v>505372</v>
      </c>
      <c r="I19" s="468"/>
      <c r="J19" s="1688">
        <f>SUM(J17:J18)</f>
        <v>358594</v>
      </c>
      <c r="K19" s="1688">
        <f>SUM(K17:K18)</f>
        <v>0</v>
      </c>
      <c r="L19" s="347"/>
    </row>
    <row r="20" spans="1:12" ht="16.5" thickTop="1" thickBot="1" x14ac:dyDescent="0.25">
      <c r="A20" s="2132" t="s">
        <v>1652</v>
      </c>
      <c r="B20" s="2133"/>
      <c r="C20" s="1746">
        <f>C8-C17</f>
        <v>453956</v>
      </c>
      <c r="D20" s="1746">
        <f t="shared" ref="D20:K20" si="5">D8-D17</f>
        <v>351819</v>
      </c>
      <c r="E20" s="1746">
        <f t="shared" si="5"/>
        <v>-318971</v>
      </c>
      <c r="F20" s="1746">
        <f t="shared" si="5"/>
        <v>-194495</v>
      </c>
      <c r="G20" s="1746">
        <f t="shared" si="5"/>
        <v>105454</v>
      </c>
      <c r="H20" s="1746">
        <f t="shared" si="5"/>
        <v>-504380</v>
      </c>
      <c r="I20" s="1746">
        <f t="shared" si="5"/>
        <v>317337</v>
      </c>
      <c r="J20" s="1746">
        <f t="shared" si="5"/>
        <v>65596</v>
      </c>
      <c r="K20" s="1746">
        <f t="shared" si="5"/>
        <v>0</v>
      </c>
      <c r="L20" s="347"/>
    </row>
    <row r="21" spans="1:12" ht="16.7" customHeight="1" thickTop="1" x14ac:dyDescent="0.2">
      <c r="A21" s="2144" t="s">
        <v>595</v>
      </c>
      <c r="B21" s="2145"/>
      <c r="C21" s="1570"/>
      <c r="D21" s="1571"/>
      <c r="E21" s="1571"/>
      <c r="F21" s="1571"/>
      <c r="G21" s="1571"/>
      <c r="H21" s="1571"/>
      <c r="I21" s="1571"/>
      <c r="J21" s="1571"/>
      <c r="K21" s="1572"/>
      <c r="L21" s="524"/>
    </row>
    <row r="22" spans="1:12" ht="15.75" customHeight="1" collapsed="1" x14ac:dyDescent="0.2">
      <c r="A22" s="2140" t="s">
        <v>596</v>
      </c>
      <c r="B22" s="2141"/>
      <c r="C22" s="477"/>
      <c r="D22" s="477"/>
      <c r="E22" s="477"/>
      <c r="F22" s="477"/>
      <c r="G22" s="477"/>
      <c r="H22" s="477"/>
      <c r="I22" s="477"/>
      <c r="J22" s="477"/>
      <c r="K22" s="477"/>
      <c r="L22" s="347"/>
    </row>
    <row r="23" spans="1:12" s="485" customFormat="1" ht="15.75" customHeight="1" x14ac:dyDescent="0.2">
      <c r="A23" s="2136" t="s">
        <v>293</v>
      </c>
      <c r="B23" s="2137"/>
      <c r="C23" s="480"/>
      <c r="D23" s="477"/>
      <c r="E23" s="477"/>
      <c r="F23" s="477"/>
      <c r="G23" s="477"/>
      <c r="H23" s="477"/>
      <c r="I23" s="477"/>
      <c r="J23" s="477"/>
      <c r="K23" s="477"/>
      <c r="L23" s="524"/>
    </row>
    <row r="24" spans="1:12" s="485" customFormat="1" ht="13.5" customHeight="1" x14ac:dyDescent="0.2">
      <c r="A24" s="1489" t="s">
        <v>1653</v>
      </c>
      <c r="B24" s="525">
        <v>7110</v>
      </c>
      <c r="C24" s="467"/>
      <c r="D24" s="477"/>
      <c r="E24" s="477"/>
      <c r="F24" s="477"/>
      <c r="G24" s="477"/>
      <c r="H24" s="477"/>
      <c r="I24" s="477"/>
      <c r="J24" s="477"/>
      <c r="K24" s="477"/>
      <c r="L24" s="524"/>
    </row>
    <row r="25" spans="1:12" s="485" customFormat="1" ht="13.5" customHeight="1" x14ac:dyDescent="0.2">
      <c r="A25" s="1489" t="s">
        <v>1654</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1395</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1788</v>
      </c>
      <c r="B30" s="527">
        <v>7160</v>
      </c>
      <c r="C30" s="477"/>
      <c r="D30" s="467"/>
      <c r="E30" s="477"/>
      <c r="F30" s="477"/>
      <c r="G30" s="477"/>
      <c r="H30" s="477"/>
      <c r="I30" s="477"/>
      <c r="J30" s="477"/>
      <c r="K30" s="477"/>
      <c r="L30" s="524"/>
    </row>
    <row r="31" spans="1:12" s="485" customFormat="1" ht="26.25" x14ac:dyDescent="0.2">
      <c r="A31" s="1489" t="s">
        <v>1792</v>
      </c>
      <c r="B31" s="527">
        <v>7170</v>
      </c>
      <c r="C31" s="477"/>
      <c r="D31" s="477"/>
      <c r="E31" s="474"/>
      <c r="F31" s="477"/>
      <c r="G31" s="477"/>
      <c r="H31" s="477"/>
      <c r="I31" s="477"/>
      <c r="J31" s="477"/>
      <c r="K31" s="477"/>
      <c r="L31" s="524"/>
    </row>
    <row r="32" spans="1:12" s="485" customFormat="1" ht="15.75" customHeight="1" x14ac:dyDescent="0.2">
      <c r="A32" s="2138" t="s">
        <v>981</v>
      </c>
      <c r="B32" s="2139"/>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1655</v>
      </c>
      <c r="B36" s="525">
        <v>7300</v>
      </c>
      <c r="C36" s="467">
        <v>150</v>
      </c>
      <c r="D36" s="467">
        <v>5644</v>
      </c>
      <c r="E36" s="467"/>
      <c r="F36" s="467"/>
      <c r="G36" s="467"/>
      <c r="H36" s="467"/>
      <c r="I36" s="475"/>
      <c r="J36" s="467"/>
      <c r="K36" s="467"/>
      <c r="L36" s="524"/>
    </row>
    <row r="37" spans="1:12" s="485" customFormat="1" x14ac:dyDescent="0.2">
      <c r="A37" s="1489" t="s">
        <v>441</v>
      </c>
      <c r="B37" s="525">
        <v>7400</v>
      </c>
      <c r="C37" s="475"/>
      <c r="D37" s="475"/>
      <c r="E37" s="1743">
        <f>SUM(C54:D57,H54:H57)</f>
        <v>328125</v>
      </c>
      <c r="F37" s="475"/>
      <c r="G37" s="475"/>
      <c r="H37" s="475"/>
      <c r="I37" s="477"/>
      <c r="J37" s="475"/>
      <c r="K37" s="475"/>
      <c r="L37" s="524"/>
    </row>
    <row r="38" spans="1:12" s="485" customFormat="1" x14ac:dyDescent="0.2">
      <c r="A38" s="1489" t="s">
        <v>442</v>
      </c>
      <c r="B38" s="525">
        <v>7500</v>
      </c>
      <c r="C38" s="477"/>
      <c r="D38" s="477"/>
      <c r="E38" s="1743">
        <f>SUM(C58:D61,H58:H61)</f>
        <v>3688</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v>259862</v>
      </c>
      <c r="E43" s="467"/>
      <c r="F43" s="467"/>
      <c r="G43" s="467"/>
      <c r="H43" s="467"/>
      <c r="I43" s="467"/>
      <c r="J43" s="467"/>
      <c r="K43" s="467"/>
      <c r="L43" s="524"/>
    </row>
    <row r="44" spans="1:12" s="485" customFormat="1" ht="13.5" customHeight="1" thickBot="1" x14ac:dyDescent="0.25">
      <c r="A44" s="2146" t="s">
        <v>374</v>
      </c>
      <c r="B44" s="2147"/>
      <c r="C44" s="1703">
        <f>SUM(C24:C43)</f>
        <v>150</v>
      </c>
      <c r="D44" s="1703">
        <f t="shared" ref="D44:K44" si="6">SUM(D24:D43)</f>
        <v>265506</v>
      </c>
      <c r="E44" s="1703">
        <f t="shared" si="6"/>
        <v>331813</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90" t="s">
        <v>1656</v>
      </c>
      <c r="B47" s="483">
        <v>8110</v>
      </c>
      <c r="C47" s="477"/>
      <c r="D47" s="477"/>
      <c r="E47" s="477"/>
      <c r="F47" s="477"/>
      <c r="G47" s="477"/>
      <c r="H47" s="477"/>
      <c r="I47" s="1743">
        <f>SUM(C24,C25:H25,J25:K25)</f>
        <v>0</v>
      </c>
      <c r="J47" s="477"/>
      <c r="K47" s="477"/>
      <c r="L47" s="529"/>
    </row>
    <row r="48" spans="1:12" s="485" customFormat="1" ht="15" x14ac:dyDescent="0.2">
      <c r="A48" s="1490" t="s">
        <v>1657</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1395</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1791</v>
      </c>
      <c r="B52" s="483">
        <v>8160</v>
      </c>
      <c r="C52" s="477"/>
      <c r="D52" s="477"/>
      <c r="E52" s="477"/>
      <c r="F52" s="477"/>
      <c r="G52" s="477"/>
      <c r="H52" s="477"/>
      <c r="I52" s="477"/>
      <c r="J52" s="477"/>
      <c r="K52" s="1743">
        <f>D30</f>
        <v>0</v>
      </c>
      <c r="L52" s="524"/>
    </row>
    <row r="53" spans="1:12" s="485" customFormat="1" ht="26.25" x14ac:dyDescent="0.2">
      <c r="A53" s="1490" t="s">
        <v>1790</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v>328125</v>
      </c>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v>3688</v>
      </c>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2" t="s">
        <v>440</v>
      </c>
      <c r="B76" s="2123"/>
      <c r="C76" s="1703">
        <f t="shared" ref="C76:K76" si="7">SUM(C47:C75)</f>
        <v>331813</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4" t="s">
        <v>1177</v>
      </c>
      <c r="B77" s="2125"/>
      <c r="C77" s="1703">
        <f t="shared" ref="C77:K77" si="8">C44-C76</f>
        <v>-331663</v>
      </c>
      <c r="D77" s="1703">
        <f t="shared" si="8"/>
        <v>265506</v>
      </c>
      <c r="E77" s="1703">
        <f t="shared" si="8"/>
        <v>331813</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8" t="s">
        <v>597</v>
      </c>
      <c r="B78" s="2129"/>
      <c r="C78" s="1702">
        <f t="shared" ref="C78:K78" si="9">C20+C77</f>
        <v>122293</v>
      </c>
      <c r="D78" s="1702">
        <f t="shared" si="9"/>
        <v>617325</v>
      </c>
      <c r="E78" s="1702">
        <f t="shared" si="9"/>
        <v>12842</v>
      </c>
      <c r="F78" s="1702">
        <f t="shared" si="9"/>
        <v>-194495</v>
      </c>
      <c r="G78" s="1702">
        <f t="shared" si="9"/>
        <v>105454</v>
      </c>
      <c r="H78" s="1702">
        <f t="shared" si="9"/>
        <v>-504380</v>
      </c>
      <c r="I78" s="1702">
        <f t="shared" si="9"/>
        <v>317337</v>
      </c>
      <c r="J78" s="1702">
        <f t="shared" si="9"/>
        <v>65596</v>
      </c>
      <c r="K78" s="1702">
        <f t="shared" si="9"/>
        <v>0</v>
      </c>
      <c r="L78" s="533"/>
    </row>
    <row r="79" spans="1:12" ht="13.5" thickTop="1" x14ac:dyDescent="0.2">
      <c r="A79" s="1494" t="s">
        <v>1943</v>
      </c>
      <c r="B79" s="534"/>
      <c r="C79" s="478">
        <v>18268214</v>
      </c>
      <c r="D79" s="535">
        <v>9040230</v>
      </c>
      <c r="E79" s="535">
        <v>106892</v>
      </c>
      <c r="F79" s="535">
        <v>1341518</v>
      </c>
      <c r="G79" s="535">
        <v>542062</v>
      </c>
      <c r="H79" s="535">
        <v>504380</v>
      </c>
      <c r="I79" s="535">
        <v>2527159</v>
      </c>
      <c r="J79" s="535">
        <v>123535</v>
      </c>
      <c r="K79" s="535"/>
      <c r="L79" s="347"/>
    </row>
    <row r="80" spans="1:12" x14ac:dyDescent="0.2">
      <c r="A80" s="2134" t="s">
        <v>1789</v>
      </c>
      <c r="B80" s="2135"/>
      <c r="C80" s="467"/>
      <c r="D80" s="467"/>
      <c r="E80" s="467"/>
      <c r="F80" s="467"/>
      <c r="G80" s="467"/>
      <c r="H80" s="467"/>
      <c r="I80" s="467"/>
      <c r="J80" s="467"/>
      <c r="K80" s="467"/>
      <c r="L80" s="347"/>
    </row>
    <row r="81" spans="1:12" ht="13.5" thickBot="1" x14ac:dyDescent="0.25">
      <c r="A81" s="2126" t="s">
        <v>1944</v>
      </c>
      <c r="B81" s="2127"/>
      <c r="C81" s="1688">
        <f>(SUM(C78:C80))</f>
        <v>18390507</v>
      </c>
      <c r="D81" s="1688">
        <f>SUM(D78:D80)</f>
        <v>9657555</v>
      </c>
      <c r="E81" s="1688">
        <f t="shared" ref="E81:K81" si="10">SUM(E78:E80)</f>
        <v>119734</v>
      </c>
      <c r="F81" s="1688">
        <f t="shared" si="10"/>
        <v>1147023</v>
      </c>
      <c r="G81" s="1688">
        <f t="shared" si="10"/>
        <v>647516</v>
      </c>
      <c r="H81" s="1688">
        <f t="shared" si="10"/>
        <v>0</v>
      </c>
      <c r="I81" s="1688">
        <f t="shared" si="10"/>
        <v>2844496</v>
      </c>
      <c r="J81" s="1688">
        <f t="shared" si="10"/>
        <v>189131</v>
      </c>
      <c r="K81" s="1688">
        <f t="shared" si="10"/>
        <v>0</v>
      </c>
      <c r="L81" s="347"/>
    </row>
    <row r="82" spans="1:12" ht="0.75" customHeight="1" thickTop="1" thickBot="1" x14ac:dyDescent="0.25">
      <c r="A82" s="536" t="s">
        <v>343</v>
      </c>
      <c r="B82" s="537"/>
      <c r="C82" s="538">
        <f>(C81-C79)</f>
        <v>122293</v>
      </c>
      <c r="D82" s="538">
        <f t="shared" ref="D82:K82" si="11">(D81-D79)</f>
        <v>617325</v>
      </c>
      <c r="E82" s="538">
        <f t="shared" si="11"/>
        <v>12842</v>
      </c>
      <c r="F82" s="538">
        <f t="shared" si="11"/>
        <v>-194495</v>
      </c>
      <c r="G82" s="538">
        <f t="shared" si="11"/>
        <v>105454</v>
      </c>
      <c r="H82" s="538">
        <f t="shared" si="11"/>
        <v>-504380</v>
      </c>
      <c r="I82" s="538">
        <f t="shared" si="11"/>
        <v>317337</v>
      </c>
      <c r="J82" s="538">
        <f t="shared" si="11"/>
        <v>65596</v>
      </c>
      <c r="K82" s="538">
        <f t="shared" si="11"/>
        <v>0</v>
      </c>
    </row>
    <row r="83" spans="1:12" ht="14.25" hidden="1" thickTop="1" thickBot="1" x14ac:dyDescent="0.25">
      <c r="A83" s="539" t="s">
        <v>344</v>
      </c>
      <c r="B83" s="464"/>
      <c r="C83" s="540">
        <f>C82/C81</f>
        <v>6.6497894810621586E-3</v>
      </c>
      <c r="D83" s="540">
        <f t="shared" ref="D83:K83" si="12">D82/D81</f>
        <v>6.3921458381546878E-2</v>
      </c>
      <c r="E83" s="540">
        <f t="shared" si="12"/>
        <v>0.10725441395092455</v>
      </c>
      <c r="F83" s="540">
        <f t="shared" si="12"/>
        <v>-0.16956503923635358</v>
      </c>
      <c r="G83" s="540">
        <f t="shared" si="12"/>
        <v>0.16285929614094477</v>
      </c>
      <c r="H83" s="540" t="e">
        <f t="shared" si="12"/>
        <v>#DIV/0!</v>
      </c>
      <c r="I83" s="540">
        <f t="shared" si="12"/>
        <v>0.11156176700547303</v>
      </c>
      <c r="J83" s="540">
        <f t="shared" si="12"/>
        <v>0.34682838878872319</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zoomScaleNormal="100" workbookViewId="0">
      <selection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1796</v>
      </c>
      <c r="B1" s="452"/>
      <c r="C1" s="453" t="s">
        <v>425</v>
      </c>
      <c r="D1" s="453" t="s">
        <v>426</v>
      </c>
      <c r="E1" s="453" t="s">
        <v>427</v>
      </c>
      <c r="F1" s="453" t="s">
        <v>428</v>
      </c>
      <c r="G1" s="453" t="s">
        <v>429</v>
      </c>
      <c r="H1" s="453" t="s">
        <v>430</v>
      </c>
      <c r="I1" s="453" t="s">
        <v>431</v>
      </c>
      <c r="J1" s="453" t="s">
        <v>432</v>
      </c>
      <c r="K1" s="453" t="s">
        <v>756</v>
      </c>
    </row>
    <row r="2" spans="1:12" ht="36" x14ac:dyDescent="0.2">
      <c r="A2" s="213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1658</v>
      </c>
      <c r="B5" s="547"/>
      <c r="C5" s="481">
        <v>21639791</v>
      </c>
      <c r="D5" s="481">
        <v>4095118</v>
      </c>
      <c r="E5" s="466">
        <v>1270831</v>
      </c>
      <c r="F5" s="548">
        <v>637090</v>
      </c>
      <c r="G5" s="466">
        <v>340009</v>
      </c>
      <c r="H5" s="466"/>
      <c r="I5" s="466">
        <v>284271</v>
      </c>
      <c r="J5" s="467">
        <v>423218</v>
      </c>
      <c r="K5" s="466"/>
    </row>
    <row r="6" spans="1:12" ht="15" x14ac:dyDescent="0.2">
      <c r="A6" s="463" t="s">
        <v>1659</v>
      </c>
      <c r="B6" s="470">
        <v>1130</v>
      </c>
      <c r="C6" s="466"/>
      <c r="D6" s="466"/>
      <c r="E6" s="475"/>
      <c r="F6" s="475"/>
      <c r="G6" s="468"/>
      <c r="H6" s="468"/>
      <c r="I6" s="468"/>
      <c r="J6" s="468"/>
      <c r="K6" s="468"/>
    </row>
    <row r="7" spans="1:12" x14ac:dyDescent="0.2">
      <c r="A7" s="463" t="s">
        <v>110</v>
      </c>
      <c r="B7" s="549">
        <v>1140</v>
      </c>
      <c r="C7" s="466">
        <v>247367</v>
      </c>
      <c r="D7" s="466"/>
      <c r="E7" s="468"/>
      <c r="F7" s="467"/>
      <c r="G7" s="467"/>
      <c r="H7" s="467"/>
      <c r="I7" s="468"/>
      <c r="J7" s="468"/>
      <c r="K7" s="468"/>
    </row>
    <row r="8" spans="1:12" x14ac:dyDescent="0.2">
      <c r="A8" s="463" t="s">
        <v>413</v>
      </c>
      <c r="B8" s="470">
        <v>1150</v>
      </c>
      <c r="C8" s="475"/>
      <c r="D8" s="475"/>
      <c r="E8" s="477"/>
      <c r="F8" s="477"/>
      <c r="G8" s="481">
        <v>444315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21887158</v>
      </c>
      <c r="D12" s="1707">
        <f t="shared" si="0"/>
        <v>4095118</v>
      </c>
      <c r="E12" s="1707">
        <f t="shared" si="0"/>
        <v>1270831</v>
      </c>
      <c r="F12" s="1707">
        <f t="shared" si="0"/>
        <v>637090</v>
      </c>
      <c r="G12" s="1707">
        <f t="shared" si="0"/>
        <v>784324</v>
      </c>
      <c r="H12" s="1707">
        <f t="shared" si="0"/>
        <v>0</v>
      </c>
      <c r="I12" s="1707">
        <f t="shared" si="0"/>
        <v>284271</v>
      </c>
      <c r="J12" s="1707">
        <f t="shared" si="0"/>
        <v>423218</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17400</v>
      </c>
      <c r="D14" s="466">
        <v>3256</v>
      </c>
      <c r="E14" s="466">
        <v>1010</v>
      </c>
      <c r="F14" s="466">
        <v>506</v>
      </c>
      <c r="G14" s="466">
        <v>624</v>
      </c>
      <c r="H14" s="466"/>
      <c r="I14" s="466">
        <v>226</v>
      </c>
      <c r="J14" s="467">
        <v>336</v>
      </c>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1660</v>
      </c>
      <c r="B16" s="549">
        <v>1230</v>
      </c>
      <c r="C16" s="551"/>
      <c r="D16" s="466">
        <v>974055</v>
      </c>
      <c r="E16" s="466"/>
      <c r="F16" s="466"/>
      <c r="G16" s="466">
        <v>300000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17400</v>
      </c>
      <c r="D18" s="1710">
        <f t="shared" ref="D18:K18" si="1">SUM(D14:D17)</f>
        <v>977311</v>
      </c>
      <c r="E18" s="1710">
        <f t="shared" si="1"/>
        <v>1010</v>
      </c>
      <c r="F18" s="1710">
        <f t="shared" si="1"/>
        <v>506</v>
      </c>
      <c r="G18" s="1710">
        <f t="shared" si="1"/>
        <v>300624</v>
      </c>
      <c r="H18" s="1710">
        <f t="shared" si="1"/>
        <v>0</v>
      </c>
      <c r="I18" s="1710">
        <f t="shared" si="1"/>
        <v>226</v>
      </c>
      <c r="J18" s="1710">
        <f t="shared" si="1"/>
        <v>336</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22916</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9315</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v>33851</v>
      </c>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66082</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11448</v>
      </c>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11448</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478274</v>
      </c>
      <c r="D65" s="466">
        <v>184533</v>
      </c>
      <c r="E65" s="466">
        <v>11296</v>
      </c>
      <c r="F65" s="467">
        <v>30912</v>
      </c>
      <c r="G65" s="466">
        <v>18064</v>
      </c>
      <c r="H65" s="466">
        <v>992</v>
      </c>
      <c r="I65" s="466">
        <v>32840</v>
      </c>
      <c r="J65" s="467">
        <v>636</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478274</v>
      </c>
      <c r="D67" s="1688">
        <f t="shared" ref="D67:K67" si="2">SUM(D65:D66)</f>
        <v>184533</v>
      </c>
      <c r="E67" s="1688">
        <f t="shared" si="2"/>
        <v>11296</v>
      </c>
      <c r="F67" s="1688">
        <f t="shared" si="2"/>
        <v>30912</v>
      </c>
      <c r="G67" s="1688">
        <f t="shared" si="2"/>
        <v>18064</v>
      </c>
      <c r="H67" s="1688">
        <f t="shared" si="2"/>
        <v>992</v>
      </c>
      <c r="I67" s="1688">
        <f t="shared" si="2"/>
        <v>32840</v>
      </c>
      <c r="J67" s="1688">
        <f t="shared" si="2"/>
        <v>636</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578148</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15208</v>
      </c>
      <c r="D74" s="468"/>
      <c r="E74" s="468"/>
      <c r="F74" s="468"/>
      <c r="G74" s="468"/>
      <c r="H74" s="468"/>
      <c r="I74" s="468"/>
      <c r="J74" s="468"/>
      <c r="K74" s="468"/>
    </row>
    <row r="75" spans="1:11" ht="12.75" customHeight="1" thickBot="1" x14ac:dyDescent="0.25">
      <c r="A75" s="1708" t="s">
        <v>548</v>
      </c>
      <c r="B75" s="1709"/>
      <c r="C75" s="1688">
        <f>SUM(C69:C74)</f>
        <v>593356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48797</v>
      </c>
      <c r="D77" s="466"/>
      <c r="E77" s="468"/>
      <c r="F77" s="468"/>
      <c r="G77" s="468"/>
      <c r="H77" s="468"/>
      <c r="I77" s="468"/>
      <c r="J77" s="468"/>
      <c r="K77" s="468"/>
    </row>
    <row r="78" spans="1:11" ht="12.75" customHeight="1" x14ac:dyDescent="0.2">
      <c r="A78" s="463" t="s">
        <v>76</v>
      </c>
      <c r="B78" s="470">
        <v>1719</v>
      </c>
      <c r="C78" s="551">
        <v>4750</v>
      </c>
      <c r="D78" s="466"/>
      <c r="E78" s="468"/>
      <c r="F78" s="468"/>
      <c r="G78" s="468"/>
      <c r="H78" s="468"/>
      <c r="I78" s="468"/>
      <c r="J78" s="468"/>
      <c r="K78" s="468"/>
    </row>
    <row r="79" spans="1:11" ht="12.75" customHeight="1" x14ac:dyDescent="0.2">
      <c r="A79" s="463" t="s">
        <v>550</v>
      </c>
      <c r="B79" s="470">
        <v>1720</v>
      </c>
      <c r="C79" s="551">
        <v>196625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250172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301658</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301658</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63727</v>
      </c>
      <c r="E95" s="521"/>
      <c r="F95" s="521"/>
      <c r="G95" s="521"/>
      <c r="H95" s="521"/>
      <c r="I95" s="521"/>
      <c r="J95" s="521"/>
      <c r="K95" s="521"/>
    </row>
    <row r="96" spans="1:11" ht="12.75" customHeight="1" x14ac:dyDescent="0.2">
      <c r="A96" s="463" t="s">
        <v>391</v>
      </c>
      <c r="B96" s="470">
        <v>1920</v>
      </c>
      <c r="C96" s="551">
        <v>11950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188012</v>
      </c>
      <c r="D99" s="466">
        <v>3904</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1427</v>
      </c>
      <c r="B106" s="470">
        <v>1993</v>
      </c>
      <c r="C106" s="466"/>
      <c r="D106" s="489"/>
      <c r="E106" s="467"/>
      <c r="F106" s="467"/>
      <c r="G106" s="467"/>
      <c r="H106" s="467"/>
      <c r="I106" s="521"/>
      <c r="J106" s="467"/>
      <c r="K106" s="467"/>
    </row>
    <row r="107" spans="1:12" ht="12.75" customHeight="1" x14ac:dyDescent="0.2">
      <c r="A107" s="463" t="s">
        <v>78</v>
      </c>
      <c r="B107" s="470">
        <v>1999</v>
      </c>
      <c r="C107" s="551">
        <v>99771</v>
      </c>
      <c r="D107" s="466"/>
      <c r="E107" s="466"/>
      <c r="F107" s="466"/>
      <c r="G107" s="466"/>
      <c r="H107" s="466"/>
      <c r="I107" s="466"/>
      <c r="J107" s="467"/>
      <c r="K107" s="466"/>
    </row>
    <row r="108" spans="1:12" ht="12.75" customHeight="1" thickBot="1" x14ac:dyDescent="0.25">
      <c r="A108" s="1708" t="s">
        <v>487</v>
      </c>
      <c r="B108" s="1712"/>
      <c r="C108" s="1707">
        <f>SUM(C95:C107)</f>
        <v>299733</v>
      </c>
      <c r="D108" s="1707">
        <f t="shared" ref="D108:K108" si="3">SUM(D95:D107)</f>
        <v>67631</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23893833</v>
      </c>
      <c r="D109" s="1715">
        <f t="shared" si="4"/>
        <v>5324593</v>
      </c>
      <c r="E109" s="1715">
        <f t="shared" si="4"/>
        <v>1283137</v>
      </c>
      <c r="F109" s="1715">
        <f t="shared" si="4"/>
        <v>679956</v>
      </c>
      <c r="G109" s="1715">
        <f t="shared" si="4"/>
        <v>1103012</v>
      </c>
      <c r="H109" s="1715">
        <f t="shared" si="4"/>
        <v>992</v>
      </c>
      <c r="I109" s="1715">
        <f t="shared" si="4"/>
        <v>317337</v>
      </c>
      <c r="J109" s="1715">
        <f t="shared" si="4"/>
        <v>424190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1488</v>
      </c>
      <c r="B116" s="1596"/>
      <c r="C116" s="522"/>
      <c r="D116" s="521"/>
      <c r="E116" s="561"/>
      <c r="F116" s="521"/>
      <c r="G116" s="521"/>
      <c r="H116" s="561"/>
      <c r="I116" s="468"/>
      <c r="J116" s="521"/>
      <c r="K116" s="521"/>
    </row>
    <row r="117" spans="1:11" ht="12.75" customHeight="1" x14ac:dyDescent="0.2">
      <c r="A117" s="463" t="s">
        <v>1664</v>
      </c>
      <c r="B117" s="562">
        <v>3001</v>
      </c>
      <c r="C117" s="516">
        <v>1639974</v>
      </c>
      <c r="D117" s="481">
        <v>700000</v>
      </c>
      <c r="E117" s="466"/>
      <c r="F117" s="481"/>
      <c r="G117" s="481"/>
      <c r="H117" s="466"/>
      <c r="I117" s="468"/>
      <c r="J117" s="467"/>
      <c r="K117" s="466"/>
    </row>
    <row r="118" spans="1:11" ht="12.75" customHeight="1" x14ac:dyDescent="0.2">
      <c r="A118" s="463" t="s">
        <v>1793</v>
      </c>
      <c r="B118" s="562">
        <v>3002</v>
      </c>
      <c r="C118" s="551"/>
      <c r="D118" s="466"/>
      <c r="E118" s="466"/>
      <c r="F118" s="466"/>
      <c r="G118" s="466"/>
      <c r="H118" s="466"/>
      <c r="I118" s="468"/>
      <c r="J118" s="467"/>
      <c r="K118" s="466"/>
    </row>
    <row r="119" spans="1:11" ht="12.75" customHeight="1" x14ac:dyDescent="0.2">
      <c r="A119" s="463" t="s">
        <v>1794</v>
      </c>
      <c r="B119" s="562">
        <v>3005</v>
      </c>
      <c r="C119" s="551"/>
      <c r="D119" s="466"/>
      <c r="E119" s="466"/>
      <c r="F119" s="466"/>
      <c r="G119" s="466"/>
      <c r="H119" s="466"/>
      <c r="I119" s="468"/>
      <c r="J119" s="467"/>
      <c r="K119" s="466"/>
    </row>
    <row r="120" spans="1:11" ht="12.75" customHeight="1" x14ac:dyDescent="0.2">
      <c r="A120" s="1931" t="s">
        <v>1930</v>
      </c>
      <c r="B120" s="562">
        <v>3030</v>
      </c>
      <c r="C120" s="551"/>
      <c r="D120" s="466"/>
      <c r="E120" s="466"/>
      <c r="F120" s="466"/>
      <c r="G120" s="466"/>
      <c r="H120" s="466"/>
      <c r="I120" s="468"/>
      <c r="J120" s="467"/>
      <c r="K120" s="466"/>
    </row>
    <row r="121" spans="1:11" x14ac:dyDescent="0.2">
      <c r="A121" s="1496" t="s">
        <v>1795</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1639974</v>
      </c>
      <c r="D122" s="1707">
        <f t="shared" si="5"/>
        <v>700000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1487</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132476</v>
      </c>
      <c r="D125" s="561"/>
      <c r="E125" s="468"/>
      <c r="F125" s="548"/>
      <c r="G125" s="468"/>
      <c r="H125" s="468"/>
      <c r="I125" s="468"/>
      <c r="J125" s="468"/>
      <c r="K125" s="468"/>
    </row>
    <row r="126" spans="1:11" ht="12.75" customHeight="1" x14ac:dyDescent="0.2">
      <c r="A126" s="463" t="s">
        <v>1443</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372258</v>
      </c>
      <c r="D128" s="561"/>
      <c r="E128" s="468"/>
      <c r="F128" s="466"/>
      <c r="G128" s="468"/>
      <c r="H128" s="468"/>
      <c r="I128" s="468"/>
      <c r="J128" s="468"/>
      <c r="K128" s="468"/>
    </row>
    <row r="129" spans="1:11" ht="12.75" customHeight="1" x14ac:dyDescent="0.2">
      <c r="A129" s="463" t="s">
        <v>1444</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504734</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48177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48177</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2642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38718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1445</v>
      </c>
      <c r="B152" s="562">
        <v>3500</v>
      </c>
      <c r="C152" s="551"/>
      <c r="D152" s="466"/>
      <c r="E152" s="561"/>
      <c r="F152" s="466">
        <v>17010</v>
      </c>
      <c r="G152" s="467"/>
      <c r="H152" s="468"/>
      <c r="I152" s="468"/>
      <c r="J152" s="468"/>
      <c r="K152" s="468"/>
    </row>
    <row r="153" spans="1:11" ht="12.75" customHeight="1" x14ac:dyDescent="0.2">
      <c r="A153" s="463" t="s">
        <v>1057</v>
      </c>
      <c r="B153" s="562">
        <v>3510</v>
      </c>
      <c r="C153" s="551"/>
      <c r="D153" s="466"/>
      <c r="E153" s="561"/>
      <c r="F153" s="466">
        <v>260439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277449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1446</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f>10983+3598</f>
        <v>14581</v>
      </c>
      <c r="D168" s="580"/>
      <c r="E168" s="580"/>
      <c r="F168" s="580"/>
      <c r="G168" s="581"/>
      <c r="H168" s="582"/>
      <c r="I168" s="581"/>
      <c r="J168" s="581"/>
      <c r="K168" s="582"/>
    </row>
    <row r="169" spans="1:11" ht="12.75" customHeight="1" thickTop="1" thickBot="1" x14ac:dyDescent="0.25">
      <c r="A169" s="2150" t="s">
        <v>398</v>
      </c>
      <c r="B169" s="2151"/>
      <c r="C169" s="1722">
        <f t="shared" ref="C169:K169" si="6">SUM(C132,C141,C145,C146:C150,C155,C156:C167,C168)</f>
        <v>608852</v>
      </c>
      <c r="D169" s="1722">
        <f t="shared" si="6"/>
        <v>0</v>
      </c>
      <c r="E169" s="1722">
        <f t="shared" si="6"/>
        <v>0</v>
      </c>
      <c r="F169" s="1722">
        <f t="shared" si="6"/>
        <v>277449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2248826</v>
      </c>
      <c r="D170" s="1715">
        <f t="shared" si="7"/>
        <v>700000</v>
      </c>
      <c r="E170" s="1715">
        <f t="shared" si="7"/>
        <v>0</v>
      </c>
      <c r="F170" s="1715">
        <f t="shared" si="7"/>
        <v>277449</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2" t="s">
        <v>1489</v>
      </c>
      <c r="B172" s="215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6" t="s">
        <v>1662</v>
      </c>
      <c r="B175" s="2157"/>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0" t="s">
        <v>1661</v>
      </c>
      <c r="B176" s="216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8" t="s">
        <v>785</v>
      </c>
      <c r="B181" s="2159"/>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4" t="s">
        <v>1797</v>
      </c>
      <c r="B182" s="2155"/>
      <c r="C182" s="584"/>
      <c r="D182" s="566"/>
      <c r="E182" s="509"/>
      <c r="F182" s="566"/>
      <c r="G182" s="566"/>
      <c r="H182" s="468"/>
      <c r="I182" s="468"/>
      <c r="J182" s="468"/>
      <c r="K182" s="468"/>
    </row>
    <row r="183" spans="1:11" ht="15.75" customHeight="1" x14ac:dyDescent="0.2">
      <c r="A183" s="1603" t="s">
        <v>1599</v>
      </c>
      <c r="B183" s="1604"/>
      <c r="C183" s="522"/>
      <c r="D183" s="521"/>
      <c r="E183" s="509"/>
      <c r="F183" s="521"/>
      <c r="G183" s="521"/>
      <c r="H183" s="468"/>
      <c r="I183" s="468"/>
      <c r="J183" s="468"/>
      <c r="K183" s="468"/>
    </row>
    <row r="184" spans="1:11" ht="12.75" customHeight="1" x14ac:dyDescent="0.2">
      <c r="A184" s="463" t="s">
        <v>1600</v>
      </c>
      <c r="B184" s="470">
        <v>4100</v>
      </c>
      <c r="C184" s="516"/>
      <c r="D184" s="481"/>
      <c r="E184" s="561"/>
      <c r="F184" s="481"/>
      <c r="G184" s="481"/>
      <c r="H184" s="468"/>
      <c r="I184" s="468"/>
      <c r="J184" s="468"/>
      <c r="K184" s="468"/>
    </row>
    <row r="185" spans="1:11" ht="12.75" customHeight="1" x14ac:dyDescent="0.2">
      <c r="A185" s="463" t="s">
        <v>1601</v>
      </c>
      <c r="B185" s="470">
        <v>4105</v>
      </c>
      <c r="C185" s="551"/>
      <c r="D185" s="466"/>
      <c r="E185" s="561"/>
      <c r="F185" s="466"/>
      <c r="G185" s="466"/>
      <c r="H185" s="468"/>
      <c r="I185" s="468"/>
      <c r="J185" s="468"/>
      <c r="K185" s="468"/>
    </row>
    <row r="186" spans="1:11" ht="12.75" customHeight="1" x14ac:dyDescent="0.2">
      <c r="A186" s="463" t="s">
        <v>1603</v>
      </c>
      <c r="B186" s="470">
        <v>4107</v>
      </c>
      <c r="C186" s="551"/>
      <c r="D186" s="466"/>
      <c r="E186" s="561"/>
      <c r="F186" s="466"/>
      <c r="G186" s="466"/>
      <c r="H186" s="468"/>
      <c r="I186" s="468"/>
      <c r="J186" s="468"/>
      <c r="K186" s="468"/>
    </row>
    <row r="187" spans="1:11" ht="12.75" customHeight="1" x14ac:dyDescent="0.2">
      <c r="A187" s="463" t="s">
        <v>1602</v>
      </c>
      <c r="B187" s="470">
        <v>4199</v>
      </c>
      <c r="C187" s="551"/>
      <c r="D187" s="466"/>
      <c r="E187" s="561"/>
      <c r="F187" s="466"/>
      <c r="G187" s="466"/>
      <c r="H187" s="468"/>
      <c r="I187" s="468"/>
      <c r="J187" s="468"/>
      <c r="K187" s="468"/>
    </row>
    <row r="188" spans="1:11" ht="12.75" customHeight="1" thickBot="1" x14ac:dyDescent="0.25">
      <c r="A188" s="1708" t="s">
        <v>1604</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1447</v>
      </c>
      <c r="B190" s="470">
        <v>4200</v>
      </c>
      <c r="C190" s="467"/>
      <c r="D190" s="468"/>
      <c r="E190" s="561"/>
      <c r="F190" s="553"/>
      <c r="G190" s="585"/>
      <c r="H190" s="468"/>
      <c r="I190" s="468"/>
      <c r="J190" s="468"/>
      <c r="K190" s="468"/>
    </row>
    <row r="191" spans="1:11" ht="12.75" customHeight="1" x14ac:dyDescent="0.2">
      <c r="A191" s="463" t="s">
        <v>1058</v>
      </c>
      <c r="B191" s="470">
        <v>4210</v>
      </c>
      <c r="C191" s="466">
        <v>218199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1448</v>
      </c>
      <c r="B194" s="470">
        <v>4225</v>
      </c>
      <c r="C194" s="551"/>
      <c r="D194" s="468"/>
      <c r="E194" s="561"/>
      <c r="F194" s="468"/>
      <c r="G194" s="585"/>
      <c r="H194" s="468"/>
      <c r="I194" s="468"/>
      <c r="J194" s="468"/>
      <c r="K194" s="468"/>
    </row>
    <row r="195" spans="1:11" ht="12.75" customHeight="1" x14ac:dyDescent="0.2">
      <c r="A195" s="463" t="s">
        <v>1449</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218199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119789</v>
      </c>
      <c r="D200" s="466"/>
      <c r="E200" s="468"/>
      <c r="F200" s="466"/>
      <c r="G200" s="466"/>
      <c r="H200" s="468"/>
      <c r="I200" s="468"/>
      <c r="J200" s="468"/>
      <c r="K200" s="468"/>
    </row>
    <row r="201" spans="1:11" ht="12.75" customHeight="1" x14ac:dyDescent="0.2">
      <c r="A201" s="463" t="s">
        <v>919</v>
      </c>
      <c r="B201" s="470">
        <v>4305</v>
      </c>
      <c r="C201" s="551">
        <v>43562</v>
      </c>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163351</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1450</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39435</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1451</v>
      </c>
      <c r="B213" s="557">
        <v>4620</v>
      </c>
      <c r="C213" s="551">
        <v>338780</v>
      </c>
      <c r="D213" s="466"/>
      <c r="E213" s="468"/>
      <c r="F213" s="466"/>
      <c r="G213" s="466"/>
      <c r="H213" s="468"/>
      <c r="I213" s="468"/>
      <c r="J213" s="468"/>
      <c r="K213" s="468"/>
    </row>
    <row r="214" spans="1:11" ht="12.75" customHeight="1" x14ac:dyDescent="0.2">
      <c r="A214" s="463" t="s">
        <v>1054</v>
      </c>
      <c r="B214" s="470">
        <v>4625</v>
      </c>
      <c r="C214" s="551">
        <v>262626</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v>10790</v>
      </c>
      <c r="D216" s="466"/>
      <c r="E216" s="468"/>
      <c r="F216" s="466"/>
      <c r="G216" s="466"/>
      <c r="H216" s="468"/>
      <c r="I216" s="468"/>
      <c r="J216" s="468"/>
      <c r="K216" s="468"/>
    </row>
    <row r="217" spans="1:11" ht="12.75" customHeight="1" thickBot="1" x14ac:dyDescent="0.25">
      <c r="A217" s="1708" t="s">
        <v>447</v>
      </c>
      <c r="B217" s="1709"/>
      <c r="C217" s="1707">
        <f>SUM(C211:C216)</f>
        <v>651631</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1452</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1418</v>
      </c>
      <c r="B253" s="588">
        <v>4901</v>
      </c>
      <c r="C253" s="589"/>
      <c r="D253" s="469"/>
      <c r="E253" s="468"/>
      <c r="F253" s="468"/>
      <c r="G253" s="468"/>
      <c r="H253" s="468"/>
      <c r="I253" s="468"/>
      <c r="J253" s="468"/>
      <c r="K253" s="468"/>
    </row>
    <row r="254" spans="1:11" ht="12.75" customHeight="1" thickTop="1" thickBot="1" x14ac:dyDescent="0.25">
      <c r="A254" s="1503" t="s">
        <v>1460</v>
      </c>
      <c r="B254" s="590">
        <v>4902</v>
      </c>
      <c r="C254" s="591"/>
      <c r="D254" s="592"/>
      <c r="E254" s="469"/>
      <c r="F254" s="592"/>
      <c r="G254" s="592"/>
      <c r="H254" s="469"/>
      <c r="I254" s="468"/>
      <c r="J254" s="469"/>
      <c r="K254" s="469"/>
    </row>
    <row r="255" spans="1:11" ht="12.75" customHeight="1" thickTop="1" thickBot="1" x14ac:dyDescent="0.25">
      <c r="A255" s="463" t="s">
        <v>1453</v>
      </c>
      <c r="B255" s="470">
        <v>4905</v>
      </c>
      <c r="C255" s="573"/>
      <c r="D255" s="468"/>
      <c r="E255" s="468"/>
      <c r="F255" s="578"/>
      <c r="G255" s="573"/>
      <c r="H255" s="468"/>
      <c r="I255" s="468"/>
      <c r="J255" s="468"/>
      <c r="K255" s="468"/>
    </row>
    <row r="256" spans="1:11" ht="12.75" customHeight="1" thickTop="1" thickBot="1" x14ac:dyDescent="0.25">
      <c r="A256" s="463" t="s">
        <v>1454</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f>48159-3598</f>
        <v>44561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1931</v>
      </c>
      <c r="B261" s="470">
        <v>4981</v>
      </c>
      <c r="C261" s="575"/>
      <c r="D261" s="576"/>
      <c r="E261" s="468"/>
      <c r="F261" s="576"/>
      <c r="G261" s="576"/>
      <c r="H261" s="468"/>
      <c r="I261" s="468"/>
      <c r="J261" s="468"/>
      <c r="K261" s="468"/>
    </row>
    <row r="262" spans="1:11" ht="12.75" customHeight="1" thickTop="1" thickBot="1" x14ac:dyDescent="0.25">
      <c r="A262" s="1932" t="s">
        <v>1932</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44007</v>
      </c>
      <c r="D263" s="576"/>
      <c r="E263" s="468"/>
      <c r="F263" s="576"/>
      <c r="G263" s="576"/>
      <c r="H263" s="468"/>
      <c r="I263" s="468"/>
      <c r="J263" s="468"/>
      <c r="K263" s="468"/>
    </row>
    <row r="264" spans="1:11" ht="12.75" customHeight="1" thickTop="1" thickBot="1" x14ac:dyDescent="0.25">
      <c r="A264" s="463" t="s">
        <v>377</v>
      </c>
      <c r="B264" s="470">
        <v>4992</v>
      </c>
      <c r="C264" s="575">
        <v>71559</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1663</v>
      </c>
      <c r="B266" s="1727"/>
      <c r="C266" s="1715">
        <f t="shared" ref="C266:H266" si="10">SUM(C188,C198,C204,C209,C217,C221,C222,C252:C265)</f>
        <v>1193308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1193308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27335967</v>
      </c>
      <c r="D268" s="1715">
        <f t="shared" si="12"/>
        <v>6024593</v>
      </c>
      <c r="E268" s="1715">
        <f t="shared" si="12"/>
        <v>1283137</v>
      </c>
      <c r="F268" s="1715">
        <f t="shared" si="12"/>
        <v>957405</v>
      </c>
      <c r="G268" s="1715">
        <f t="shared" si="12"/>
        <v>1103012</v>
      </c>
      <c r="H268" s="1715">
        <f t="shared" si="12"/>
        <v>992</v>
      </c>
      <c r="I268" s="1715">
        <f t="shared" si="12"/>
        <v>317337</v>
      </c>
      <c r="J268" s="1715">
        <f t="shared" si="12"/>
        <v>424190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55"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3" manualBreakCount="3">
    <brk id="71" max="10" man="1"/>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zoomScaleNormal="100" workbookViewId="0">
      <pane ySplit="2" topLeftCell="A3" activePane="bottomLeft" state="frozen"/>
      <selection pane="bottomLeft" sqref="A1:A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1796</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9259729</v>
      </c>
      <c r="D5" s="466">
        <v>2447317</v>
      </c>
      <c r="E5" s="466">
        <v>82760</v>
      </c>
      <c r="F5" s="466">
        <v>510048</v>
      </c>
      <c r="G5" s="466">
        <v>109144</v>
      </c>
      <c r="H5" s="466">
        <v>123</v>
      </c>
      <c r="I5" s="467"/>
      <c r="J5" s="467"/>
      <c r="K5" s="1671">
        <f>SUM(C5:J5)</f>
        <v>12409121</v>
      </c>
      <c r="L5" s="466">
        <v>13308887</v>
      </c>
    </row>
    <row r="6" spans="1:14" x14ac:dyDescent="0.2">
      <c r="A6" s="1504" t="s">
        <v>1430</v>
      </c>
      <c r="B6" s="614" t="s">
        <v>1428</v>
      </c>
      <c r="C6" s="477"/>
      <c r="D6" s="477"/>
      <c r="E6" s="466"/>
      <c r="F6" s="477"/>
      <c r="G6" s="477"/>
      <c r="H6" s="477"/>
      <c r="I6" s="477"/>
      <c r="J6" s="477"/>
      <c r="K6" s="1671">
        <f>SUM(C6,E6)</f>
        <v>0</v>
      </c>
      <c r="L6" s="466"/>
    </row>
    <row r="7" spans="1:14" x14ac:dyDescent="0.2">
      <c r="A7" s="1504" t="s">
        <v>163</v>
      </c>
      <c r="B7" s="614" t="s">
        <v>967</v>
      </c>
      <c r="C7" s="467">
        <v>113650</v>
      </c>
      <c r="D7" s="467">
        <v>12045</v>
      </c>
      <c r="E7" s="467">
        <v>1800</v>
      </c>
      <c r="F7" s="467">
        <v>3300</v>
      </c>
      <c r="G7" s="467"/>
      <c r="H7" s="467"/>
      <c r="I7" s="467"/>
      <c r="J7" s="467"/>
      <c r="K7" s="1671">
        <f t="shared" ref="K7:K32" si="0">SUM(C7:J7)</f>
        <v>130795</v>
      </c>
      <c r="L7" s="466">
        <v>116660</v>
      </c>
    </row>
    <row r="8" spans="1:14" x14ac:dyDescent="0.2">
      <c r="A8" s="1504" t="s">
        <v>164</v>
      </c>
      <c r="B8" s="614">
        <v>1200</v>
      </c>
      <c r="C8" s="466">
        <v>2529226</v>
      </c>
      <c r="D8" s="466">
        <v>603669</v>
      </c>
      <c r="E8" s="466">
        <v>23788</v>
      </c>
      <c r="F8" s="466">
        <v>71351</v>
      </c>
      <c r="G8" s="466">
        <v>13546</v>
      </c>
      <c r="H8" s="466">
        <v>1178490</v>
      </c>
      <c r="I8" s="467"/>
      <c r="J8" s="467"/>
      <c r="K8" s="1671">
        <f t="shared" si="0"/>
        <v>4420070</v>
      </c>
      <c r="L8" s="466">
        <v>4102923</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41954</v>
      </c>
      <c r="D10" s="466">
        <v>10767</v>
      </c>
      <c r="E10" s="466"/>
      <c r="F10" s="466"/>
      <c r="G10" s="466"/>
      <c r="H10" s="466"/>
      <c r="I10" s="467"/>
      <c r="J10" s="467"/>
      <c r="K10" s="1671">
        <f t="shared" si="0"/>
        <v>52721</v>
      </c>
      <c r="L10" s="466">
        <v>76474</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476950</v>
      </c>
      <c r="D13" s="466">
        <v>131687</v>
      </c>
      <c r="E13" s="466">
        <v>290</v>
      </c>
      <c r="F13" s="466">
        <v>25545</v>
      </c>
      <c r="G13" s="466">
        <v>1463</v>
      </c>
      <c r="H13" s="466"/>
      <c r="I13" s="467"/>
      <c r="J13" s="467"/>
      <c r="K13" s="1671">
        <f t="shared" si="0"/>
        <v>635935</v>
      </c>
      <c r="L13" s="466">
        <v>605922</v>
      </c>
    </row>
    <row r="14" spans="1:14" x14ac:dyDescent="0.2">
      <c r="A14" s="1504" t="s">
        <v>963</v>
      </c>
      <c r="B14" s="614">
        <v>1500</v>
      </c>
      <c r="C14" s="466">
        <v>664425</v>
      </c>
      <c r="D14" s="466">
        <v>126442</v>
      </c>
      <c r="E14" s="466">
        <v>107009</v>
      </c>
      <c r="F14" s="466">
        <v>89777</v>
      </c>
      <c r="G14" s="466">
        <v>14526</v>
      </c>
      <c r="H14" s="466">
        <v>33156</v>
      </c>
      <c r="I14" s="467"/>
      <c r="J14" s="467"/>
      <c r="K14" s="1671">
        <f t="shared" si="0"/>
        <v>1035335</v>
      </c>
      <c r="L14" s="466">
        <v>1114543</v>
      </c>
    </row>
    <row r="15" spans="1:14" x14ac:dyDescent="0.2">
      <c r="A15" s="1504" t="s">
        <v>964</v>
      </c>
      <c r="B15" s="614">
        <v>1600</v>
      </c>
      <c r="C15" s="466">
        <v>46733</v>
      </c>
      <c r="D15" s="466">
        <v>3303</v>
      </c>
      <c r="E15" s="466"/>
      <c r="F15" s="466">
        <v>873</v>
      </c>
      <c r="G15" s="466"/>
      <c r="H15" s="466"/>
      <c r="I15" s="467"/>
      <c r="J15" s="467"/>
      <c r="K15" s="1671">
        <f t="shared" si="0"/>
        <v>50909</v>
      </c>
      <c r="L15" s="466">
        <v>53189</v>
      </c>
    </row>
    <row r="16" spans="1:14" x14ac:dyDescent="0.2">
      <c r="A16" s="1504" t="s">
        <v>987</v>
      </c>
      <c r="B16" s="614" t="s">
        <v>424</v>
      </c>
      <c r="C16" s="466">
        <v>20621</v>
      </c>
      <c r="D16" s="466">
        <v>3097</v>
      </c>
      <c r="E16" s="466"/>
      <c r="F16" s="466">
        <v>354</v>
      </c>
      <c r="G16" s="466"/>
      <c r="H16" s="466"/>
      <c r="I16" s="467"/>
      <c r="J16" s="467"/>
      <c r="K16" s="1671">
        <f t="shared" si="0"/>
        <v>24072</v>
      </c>
      <c r="L16" s="466">
        <v>26205</v>
      </c>
    </row>
    <row r="17" spans="1:12" x14ac:dyDescent="0.2">
      <c r="A17" s="1504" t="s">
        <v>724</v>
      </c>
      <c r="B17" s="614" t="s">
        <v>162</v>
      </c>
      <c r="C17" s="467">
        <v>142175</v>
      </c>
      <c r="D17" s="467">
        <v>43767</v>
      </c>
      <c r="E17" s="467">
        <v>5523</v>
      </c>
      <c r="F17" s="467">
        <v>4690</v>
      </c>
      <c r="G17" s="467"/>
      <c r="H17" s="467"/>
      <c r="I17" s="467"/>
      <c r="J17" s="467"/>
      <c r="K17" s="1671">
        <f t="shared" si="0"/>
        <v>196155</v>
      </c>
      <c r="L17" s="466">
        <v>174670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1665</v>
      </c>
      <c r="B33" s="1669" t="s">
        <v>570</v>
      </c>
      <c r="C33" s="1670">
        <f>SUM(C5:C32)</f>
        <v>13295463</v>
      </c>
      <c r="D33" s="1670">
        <f t="shared" ref="D33:L33" si="1">SUM(D5:D32)</f>
        <v>3382094</v>
      </c>
      <c r="E33" s="1670">
        <f t="shared" si="1"/>
        <v>221170</v>
      </c>
      <c r="F33" s="1670">
        <f t="shared" si="1"/>
        <v>705938</v>
      </c>
      <c r="G33" s="1670">
        <f t="shared" si="1"/>
        <v>138679</v>
      </c>
      <c r="H33" s="1670">
        <f t="shared" si="1"/>
        <v>1211769</v>
      </c>
      <c r="I33" s="1670">
        <f t="shared" si="1"/>
        <v>0</v>
      </c>
      <c r="J33" s="1670">
        <f t="shared" si="1"/>
        <v>0</v>
      </c>
      <c r="K33" s="1670">
        <f t="shared" si="1"/>
        <v>18955113</v>
      </c>
      <c r="L33" s="1670">
        <f t="shared" si="1"/>
        <v>19579473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299588</v>
      </c>
      <c r="D36" s="481">
        <v>82134</v>
      </c>
      <c r="E36" s="481">
        <v>17237</v>
      </c>
      <c r="F36" s="481">
        <v>2682</v>
      </c>
      <c r="G36" s="481">
        <v>453</v>
      </c>
      <c r="H36" s="481">
        <v>819</v>
      </c>
      <c r="I36" s="467"/>
      <c r="J36" s="467"/>
      <c r="K36" s="1671">
        <f t="shared" ref="K36:K41" si="2">SUM(C36:J36)</f>
        <v>402913</v>
      </c>
      <c r="L36" s="466">
        <v>460887</v>
      </c>
    </row>
    <row r="37" spans="1:14" x14ac:dyDescent="0.2">
      <c r="A37" s="1504" t="s">
        <v>1090</v>
      </c>
      <c r="B37" s="614">
        <v>2120</v>
      </c>
      <c r="C37" s="466">
        <v>446349</v>
      </c>
      <c r="D37" s="466">
        <v>102205</v>
      </c>
      <c r="E37" s="466">
        <v>25469</v>
      </c>
      <c r="F37" s="466">
        <v>5989</v>
      </c>
      <c r="G37" s="466"/>
      <c r="H37" s="466">
        <v>334</v>
      </c>
      <c r="I37" s="467"/>
      <c r="J37" s="467"/>
      <c r="K37" s="1671">
        <f t="shared" si="2"/>
        <v>580346</v>
      </c>
      <c r="L37" s="466">
        <v>596048</v>
      </c>
    </row>
    <row r="38" spans="1:14" x14ac:dyDescent="0.2">
      <c r="A38" s="1504" t="s">
        <v>198</v>
      </c>
      <c r="B38" s="614">
        <v>2130</v>
      </c>
      <c r="C38" s="466">
        <v>71642</v>
      </c>
      <c r="D38" s="466">
        <v>22235</v>
      </c>
      <c r="E38" s="466">
        <v>104467</v>
      </c>
      <c r="F38" s="466">
        <v>356</v>
      </c>
      <c r="G38" s="466">
        <v>549</v>
      </c>
      <c r="H38" s="466"/>
      <c r="I38" s="467"/>
      <c r="J38" s="467"/>
      <c r="K38" s="1671">
        <f t="shared" si="2"/>
        <v>199249</v>
      </c>
      <c r="L38" s="466">
        <v>228439</v>
      </c>
    </row>
    <row r="39" spans="1:14" x14ac:dyDescent="0.2">
      <c r="A39" s="1504" t="s">
        <v>199</v>
      </c>
      <c r="B39" s="614">
        <v>2140</v>
      </c>
      <c r="C39" s="466">
        <v>167274</v>
      </c>
      <c r="D39" s="466">
        <v>30344</v>
      </c>
      <c r="E39" s="466">
        <v>1464</v>
      </c>
      <c r="F39" s="466">
        <v>5042</v>
      </c>
      <c r="G39" s="466"/>
      <c r="H39" s="466"/>
      <c r="I39" s="467"/>
      <c r="J39" s="467"/>
      <c r="K39" s="1671">
        <f t="shared" si="2"/>
        <v>204124</v>
      </c>
      <c r="L39" s="466">
        <v>218750</v>
      </c>
    </row>
    <row r="40" spans="1:14" x14ac:dyDescent="0.2">
      <c r="A40" s="1504" t="s">
        <v>200</v>
      </c>
      <c r="B40" s="614">
        <v>2150</v>
      </c>
      <c r="C40" s="466">
        <v>329142</v>
      </c>
      <c r="D40" s="466">
        <v>60325</v>
      </c>
      <c r="E40" s="466">
        <v>282</v>
      </c>
      <c r="F40" s="466">
        <v>2481</v>
      </c>
      <c r="G40" s="466"/>
      <c r="H40" s="466"/>
      <c r="I40" s="467"/>
      <c r="J40" s="467"/>
      <c r="K40" s="1671">
        <f t="shared" si="2"/>
        <v>392230</v>
      </c>
      <c r="L40" s="466">
        <v>393152</v>
      </c>
    </row>
    <row r="41" spans="1:14" x14ac:dyDescent="0.2">
      <c r="A41" s="1504" t="s">
        <v>1666</v>
      </c>
      <c r="B41" s="614">
        <v>2190</v>
      </c>
      <c r="C41" s="466">
        <v>140398</v>
      </c>
      <c r="D41" s="466">
        <v>27966</v>
      </c>
      <c r="E41" s="466"/>
      <c r="F41" s="466">
        <v>2701</v>
      </c>
      <c r="G41" s="466">
        <v>333</v>
      </c>
      <c r="H41" s="466">
        <v>520</v>
      </c>
      <c r="I41" s="467"/>
      <c r="J41" s="467"/>
      <c r="K41" s="1671">
        <f t="shared" si="2"/>
        <v>171918</v>
      </c>
      <c r="L41" s="466">
        <v>249473</v>
      </c>
    </row>
    <row r="42" spans="1:14" ht="12.75" customHeight="1" thickBot="1" x14ac:dyDescent="0.25">
      <c r="A42" s="1668" t="s">
        <v>560</v>
      </c>
      <c r="B42" s="1669" t="s">
        <v>716</v>
      </c>
      <c r="C42" s="1670">
        <f>SUM(C36:C41)</f>
        <v>1454393</v>
      </c>
      <c r="D42" s="1670">
        <f t="shared" ref="D42:L42" si="3">SUM(D36:D41)</f>
        <v>325209</v>
      </c>
      <c r="E42" s="1670">
        <f t="shared" si="3"/>
        <v>148919</v>
      </c>
      <c r="F42" s="1670">
        <f t="shared" si="3"/>
        <v>19251</v>
      </c>
      <c r="G42" s="1670">
        <f t="shared" si="3"/>
        <v>1335</v>
      </c>
      <c r="H42" s="1670">
        <f t="shared" si="3"/>
        <v>1673</v>
      </c>
      <c r="I42" s="1670">
        <f t="shared" si="3"/>
        <v>0</v>
      </c>
      <c r="J42" s="1670">
        <f t="shared" si="3"/>
        <v>0</v>
      </c>
      <c r="K42" s="1670">
        <f t="shared" si="3"/>
        <v>1950780</v>
      </c>
      <c r="L42" s="1670">
        <f t="shared" si="3"/>
        <v>2146749</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41336</v>
      </c>
      <c r="D44" s="481">
        <v>6429</v>
      </c>
      <c r="E44" s="481">
        <v>87874</v>
      </c>
      <c r="F44" s="481">
        <v>10486</v>
      </c>
      <c r="G44" s="481"/>
      <c r="H44" s="481"/>
      <c r="I44" s="467"/>
      <c r="J44" s="467"/>
      <c r="K44" s="1672">
        <f>SUM(C44:J44)</f>
        <v>146125</v>
      </c>
      <c r="L44" s="481">
        <v>167578</v>
      </c>
    </row>
    <row r="45" spans="1:14" x14ac:dyDescent="0.2">
      <c r="A45" s="1504" t="s">
        <v>815</v>
      </c>
      <c r="B45" s="614">
        <v>2220</v>
      </c>
      <c r="C45" s="466">
        <v>650069</v>
      </c>
      <c r="D45" s="466">
        <v>122555</v>
      </c>
      <c r="E45" s="466">
        <v>288214</v>
      </c>
      <c r="F45" s="466">
        <v>135034</v>
      </c>
      <c r="G45" s="466">
        <v>119178</v>
      </c>
      <c r="H45" s="466">
        <v>544</v>
      </c>
      <c r="I45" s="467">
        <v>2371</v>
      </c>
      <c r="J45" s="467"/>
      <c r="K45" s="1672">
        <f>SUM(C45:J45)</f>
        <v>1317965</v>
      </c>
      <c r="L45" s="466">
        <v>1270095</v>
      </c>
    </row>
    <row r="46" spans="1:14" x14ac:dyDescent="0.2">
      <c r="A46" s="1504" t="s">
        <v>816</v>
      </c>
      <c r="B46" s="614">
        <v>2230</v>
      </c>
      <c r="C46" s="466"/>
      <c r="D46" s="466"/>
      <c r="E46" s="466">
        <v>20250</v>
      </c>
      <c r="F46" s="466"/>
      <c r="G46" s="466"/>
      <c r="H46" s="466"/>
      <c r="I46" s="467"/>
      <c r="J46" s="467"/>
      <c r="K46" s="1672">
        <f>SUM(C46:J46)</f>
        <v>20250</v>
      </c>
      <c r="L46" s="466">
        <v>30000</v>
      </c>
    </row>
    <row r="47" spans="1:14" ht="12.75" customHeight="1" thickBot="1" x14ac:dyDescent="0.25">
      <c r="A47" s="1668" t="s">
        <v>561</v>
      </c>
      <c r="B47" s="1669" t="s">
        <v>32</v>
      </c>
      <c r="C47" s="1670">
        <f>SUM(C44:C46)</f>
        <v>691405</v>
      </c>
      <c r="D47" s="1670">
        <f t="shared" ref="D47:K47" si="4">SUM(D44:D46)</f>
        <v>128984</v>
      </c>
      <c r="E47" s="1670">
        <f t="shared" si="4"/>
        <v>396338</v>
      </c>
      <c r="F47" s="1670">
        <f t="shared" si="4"/>
        <v>145520</v>
      </c>
      <c r="G47" s="1670">
        <f t="shared" si="4"/>
        <v>119178</v>
      </c>
      <c r="H47" s="1670">
        <f t="shared" si="4"/>
        <v>544</v>
      </c>
      <c r="I47" s="1670">
        <f t="shared" si="4"/>
        <v>2371</v>
      </c>
      <c r="J47" s="1670">
        <f t="shared" si="4"/>
        <v>0</v>
      </c>
      <c r="K47" s="1670">
        <f t="shared" si="4"/>
        <v>1484340</v>
      </c>
      <c r="L47" s="1670">
        <f>SUM(L44:L46)</f>
        <v>1467673</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35045</v>
      </c>
      <c r="D49" s="481">
        <v>1305</v>
      </c>
      <c r="E49" s="481">
        <v>102976</v>
      </c>
      <c r="F49" s="481">
        <v>20114</v>
      </c>
      <c r="G49" s="481"/>
      <c r="H49" s="481">
        <v>7516</v>
      </c>
      <c r="I49" s="467"/>
      <c r="J49" s="467"/>
      <c r="K49" s="1672">
        <f>SUM(C49:J49)</f>
        <v>166956</v>
      </c>
      <c r="L49" s="481">
        <v>206945</v>
      </c>
    </row>
    <row r="50" spans="1:14" x14ac:dyDescent="0.2">
      <c r="A50" s="1504" t="s">
        <v>818</v>
      </c>
      <c r="B50" s="614">
        <v>2320</v>
      </c>
      <c r="C50" s="466">
        <v>281526</v>
      </c>
      <c r="D50" s="466">
        <v>55922</v>
      </c>
      <c r="E50" s="466">
        <v>11698</v>
      </c>
      <c r="F50" s="466">
        <v>9326</v>
      </c>
      <c r="G50" s="466">
        <v>4927</v>
      </c>
      <c r="H50" s="466">
        <v>3076</v>
      </c>
      <c r="I50" s="467"/>
      <c r="J50" s="467"/>
      <c r="K50" s="1672">
        <f>SUM(C50:J50)</f>
        <v>366475</v>
      </c>
      <c r="L50" s="466">
        <v>370383</v>
      </c>
    </row>
    <row r="51" spans="1:14" x14ac:dyDescent="0.2">
      <c r="A51" s="1504" t="s">
        <v>42</v>
      </c>
      <c r="B51" s="614">
        <v>2330</v>
      </c>
      <c r="C51" s="466">
        <v>197411</v>
      </c>
      <c r="D51" s="466">
        <v>44366</v>
      </c>
      <c r="E51" s="466">
        <v>7927</v>
      </c>
      <c r="F51" s="466">
        <v>17767</v>
      </c>
      <c r="G51" s="466">
        <v>5878</v>
      </c>
      <c r="H51" s="466">
        <v>924</v>
      </c>
      <c r="I51" s="467"/>
      <c r="J51" s="467"/>
      <c r="K51" s="1672">
        <f>SUM(C51:J51)</f>
        <v>274273</v>
      </c>
      <c r="L51" s="466">
        <v>264684</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513982</v>
      </c>
      <c r="D53" s="1670">
        <f t="shared" ref="D53:L53" si="5">SUM(D49:D52)</f>
        <v>101593</v>
      </c>
      <c r="E53" s="1670">
        <f t="shared" si="5"/>
        <v>122601</v>
      </c>
      <c r="F53" s="1670">
        <f t="shared" si="5"/>
        <v>47207</v>
      </c>
      <c r="G53" s="1670">
        <f t="shared" si="5"/>
        <v>10805</v>
      </c>
      <c r="H53" s="1670">
        <f t="shared" si="5"/>
        <v>11516</v>
      </c>
      <c r="I53" s="1670">
        <f t="shared" si="5"/>
        <v>0</v>
      </c>
      <c r="J53" s="1670">
        <f t="shared" si="5"/>
        <v>0</v>
      </c>
      <c r="K53" s="1670">
        <f t="shared" si="5"/>
        <v>807704</v>
      </c>
      <c r="L53" s="1670">
        <f t="shared" si="5"/>
        <v>842012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1227243</v>
      </c>
      <c r="D55" s="481">
        <v>345193</v>
      </c>
      <c r="E55" s="481">
        <v>27203</v>
      </c>
      <c r="F55" s="481">
        <v>3343</v>
      </c>
      <c r="G55" s="481">
        <v>3149</v>
      </c>
      <c r="H55" s="481">
        <v>7061</v>
      </c>
      <c r="I55" s="467"/>
      <c r="J55" s="467"/>
      <c r="K55" s="1672">
        <f>SUM(C55:J55)</f>
        <v>1613192</v>
      </c>
      <c r="L55" s="481">
        <v>1607898</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1227243</v>
      </c>
      <c r="D57" s="1674">
        <f t="shared" ref="D57:K57" si="6">SUM(D55:D56)</f>
        <v>345193</v>
      </c>
      <c r="E57" s="1674">
        <f t="shared" si="6"/>
        <v>27203</v>
      </c>
      <c r="F57" s="1674">
        <f t="shared" si="6"/>
        <v>3343</v>
      </c>
      <c r="G57" s="1674">
        <f t="shared" si="6"/>
        <v>3149</v>
      </c>
      <c r="H57" s="1674">
        <f t="shared" si="6"/>
        <v>7061</v>
      </c>
      <c r="I57" s="1674">
        <f t="shared" si="6"/>
        <v>0</v>
      </c>
      <c r="J57" s="1674">
        <f t="shared" si="6"/>
        <v>0</v>
      </c>
      <c r="K57" s="1674">
        <f t="shared" si="6"/>
        <v>1613192</v>
      </c>
      <c r="L57" s="1670">
        <f>SUM(L55:L56)</f>
        <v>1607898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163962</v>
      </c>
      <c r="D59" s="481">
        <v>20624</v>
      </c>
      <c r="E59" s="481">
        <v>5717</v>
      </c>
      <c r="F59" s="481">
        <v>3067</v>
      </c>
      <c r="G59" s="481">
        <v>2679</v>
      </c>
      <c r="H59" s="481">
        <v>3672</v>
      </c>
      <c r="I59" s="467"/>
      <c r="J59" s="467"/>
      <c r="K59" s="1672">
        <f t="shared" ref="K59:K64" si="7">SUM(C59:J59)</f>
        <v>199721</v>
      </c>
      <c r="L59" s="481">
        <v>194421</v>
      </c>
      <c r="M59" s="609"/>
      <c r="N59" s="609"/>
    </row>
    <row r="60" spans="1:14" s="343" customFormat="1" x14ac:dyDescent="0.2">
      <c r="A60" s="1504" t="s">
        <v>463</v>
      </c>
      <c r="B60" s="614">
        <v>2520</v>
      </c>
      <c r="C60" s="466">
        <v>32605</v>
      </c>
      <c r="D60" s="466">
        <v>2464</v>
      </c>
      <c r="E60" s="466">
        <v>133755</v>
      </c>
      <c r="F60" s="466">
        <v>2359</v>
      </c>
      <c r="G60" s="466">
        <v>280365</v>
      </c>
      <c r="H60" s="466"/>
      <c r="I60" s="467"/>
      <c r="J60" s="467"/>
      <c r="K60" s="1672">
        <f t="shared" si="7"/>
        <v>451548</v>
      </c>
      <c r="L60" s="466">
        <v>546037</v>
      </c>
      <c r="M60" s="609"/>
      <c r="N60" s="609"/>
    </row>
    <row r="61" spans="1:14" s="343" customFormat="1" x14ac:dyDescent="0.2">
      <c r="A61" s="1504" t="s">
        <v>197</v>
      </c>
      <c r="B61" s="614">
        <v>2540</v>
      </c>
      <c r="C61" s="466"/>
      <c r="D61" s="466"/>
      <c r="E61" s="466">
        <v>39351</v>
      </c>
      <c r="F61" s="466">
        <v>5980</v>
      </c>
      <c r="G61" s="466">
        <v>25907</v>
      </c>
      <c r="H61" s="466">
        <v>175</v>
      </c>
      <c r="I61" s="467"/>
      <c r="J61" s="467"/>
      <c r="K61" s="1672">
        <f t="shared" si="7"/>
        <v>71413</v>
      </c>
      <c r="L61" s="466">
        <v>77800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v>689438</v>
      </c>
      <c r="F63" s="466">
        <v>6433</v>
      </c>
      <c r="G63" s="466">
        <v>8465</v>
      </c>
      <c r="H63" s="466"/>
      <c r="I63" s="467"/>
      <c r="J63" s="467"/>
      <c r="K63" s="1672">
        <f t="shared" si="7"/>
        <v>704336</v>
      </c>
      <c r="L63" s="466">
        <v>699835</v>
      </c>
    </row>
    <row r="64" spans="1:14" s="609" customFormat="1" x14ac:dyDescent="0.2">
      <c r="A64" s="1509" t="s">
        <v>101</v>
      </c>
      <c r="B64" s="630">
        <v>2570</v>
      </c>
      <c r="C64" s="481">
        <v>3586</v>
      </c>
      <c r="D64" s="481">
        <v>876</v>
      </c>
      <c r="E64" s="481">
        <v>8172</v>
      </c>
      <c r="F64" s="481">
        <v>706</v>
      </c>
      <c r="G64" s="481">
        <v>2405</v>
      </c>
      <c r="H64" s="481"/>
      <c r="I64" s="467"/>
      <c r="J64" s="467"/>
      <c r="K64" s="1672">
        <f t="shared" si="7"/>
        <v>15745</v>
      </c>
      <c r="L64" s="481">
        <v>20901</v>
      </c>
    </row>
    <row r="65" spans="1:14" s="343" customFormat="1" ht="12.75" customHeight="1" thickBot="1" x14ac:dyDescent="0.25">
      <c r="A65" s="1668" t="s">
        <v>719</v>
      </c>
      <c r="B65" s="1669" t="s">
        <v>35</v>
      </c>
      <c r="C65" s="1670">
        <f>SUM(C59:C64)</f>
        <v>200153</v>
      </c>
      <c r="D65" s="1670">
        <f t="shared" ref="D65:L65" si="8">SUM(D59:D64)</f>
        <v>23964</v>
      </c>
      <c r="E65" s="1670">
        <f t="shared" si="8"/>
        <v>876433</v>
      </c>
      <c r="F65" s="1670">
        <f t="shared" si="8"/>
        <v>18545</v>
      </c>
      <c r="G65" s="1670">
        <f t="shared" si="8"/>
        <v>319821</v>
      </c>
      <c r="H65" s="1670">
        <f t="shared" si="8"/>
        <v>3847</v>
      </c>
      <c r="I65" s="1670">
        <f t="shared" si="8"/>
        <v>0</v>
      </c>
      <c r="J65" s="1670">
        <f t="shared" si="8"/>
        <v>0</v>
      </c>
      <c r="K65" s="1670">
        <f t="shared" si="8"/>
        <v>1442763</v>
      </c>
      <c r="L65" s="1670">
        <f t="shared" si="8"/>
        <v>1538994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v>32971</v>
      </c>
      <c r="D69" s="466"/>
      <c r="E69" s="466">
        <v>14311</v>
      </c>
      <c r="F69" s="466">
        <v>6002</v>
      </c>
      <c r="G69" s="466">
        <v>16487</v>
      </c>
      <c r="H69" s="466">
        <v>819</v>
      </c>
      <c r="I69" s="467"/>
      <c r="J69" s="467"/>
      <c r="K69" s="1672">
        <f>SUM(C69:J69)</f>
        <v>70590</v>
      </c>
      <c r="L69" s="466">
        <v>74111</v>
      </c>
      <c r="M69" s="609"/>
      <c r="N69" s="609"/>
    </row>
    <row r="70" spans="1:14" s="343" customFormat="1" x14ac:dyDescent="0.2">
      <c r="A70" s="1504" t="s">
        <v>403</v>
      </c>
      <c r="B70" s="614">
        <v>2640</v>
      </c>
      <c r="C70" s="466">
        <v>206453</v>
      </c>
      <c r="D70" s="466">
        <v>47446</v>
      </c>
      <c r="E70" s="466">
        <v>10860</v>
      </c>
      <c r="F70" s="466">
        <v>1374</v>
      </c>
      <c r="G70" s="466"/>
      <c r="H70" s="466">
        <v>318</v>
      </c>
      <c r="I70" s="467"/>
      <c r="J70" s="467"/>
      <c r="K70" s="1672">
        <f>SUM(C70:J70)</f>
        <v>266451</v>
      </c>
      <c r="L70" s="466">
        <v>296566</v>
      </c>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239424</v>
      </c>
      <c r="D72" s="1670">
        <f t="shared" ref="D72:K72" si="9">SUM(D67:D71)</f>
        <v>47446</v>
      </c>
      <c r="E72" s="1670">
        <f t="shared" si="9"/>
        <v>25171</v>
      </c>
      <c r="F72" s="1670">
        <f t="shared" si="9"/>
        <v>7376</v>
      </c>
      <c r="G72" s="1670">
        <f t="shared" si="9"/>
        <v>16487</v>
      </c>
      <c r="H72" s="1670">
        <f t="shared" si="9"/>
        <v>1137</v>
      </c>
      <c r="I72" s="1670">
        <f t="shared" si="9"/>
        <v>0</v>
      </c>
      <c r="J72" s="1670">
        <f t="shared" si="9"/>
        <v>0</v>
      </c>
      <c r="K72" s="1670">
        <f t="shared" si="9"/>
        <v>337041</v>
      </c>
      <c r="L72" s="1670">
        <f>SUM(L67:L71)</f>
        <v>370677</v>
      </c>
      <c r="M72" s="609"/>
      <c r="N72" s="609"/>
    </row>
    <row r="73" spans="1:14" s="343" customFormat="1" ht="14.25" thickTop="1" thickBot="1" x14ac:dyDescent="0.25">
      <c r="A73" s="1510" t="s">
        <v>980</v>
      </c>
      <c r="B73" s="632" t="s">
        <v>574</v>
      </c>
      <c r="C73" s="573"/>
      <c r="D73" s="573"/>
      <c r="E73" s="573">
        <v>2517</v>
      </c>
      <c r="F73" s="573">
        <v>45</v>
      </c>
      <c r="G73" s="573"/>
      <c r="H73" s="573"/>
      <c r="I73" s="531"/>
      <c r="J73" s="531"/>
      <c r="K73" s="1670">
        <f>SUM(C73:J73)</f>
        <v>2562</v>
      </c>
      <c r="L73" s="576">
        <v>3500</v>
      </c>
      <c r="M73" s="609"/>
      <c r="N73" s="609"/>
    </row>
    <row r="74" spans="1:14" ht="12.75" customHeight="1" thickTop="1" thickBot="1" x14ac:dyDescent="0.25">
      <c r="A74" s="1668" t="s">
        <v>811</v>
      </c>
      <c r="B74" s="1676">
        <v>2000</v>
      </c>
      <c r="C74" s="1677">
        <f>SUM(C42,C47,C53,C57,C65,C72,C73)</f>
        <v>4326600</v>
      </c>
      <c r="D74" s="1677">
        <f t="shared" ref="D74:K74" si="10">SUM(D42,D47,D53,D57,D65,D72,D73)</f>
        <v>972389</v>
      </c>
      <c r="E74" s="1677">
        <f t="shared" si="10"/>
        <v>1599182</v>
      </c>
      <c r="F74" s="1677">
        <f t="shared" si="10"/>
        <v>241287</v>
      </c>
      <c r="G74" s="1677">
        <f t="shared" si="10"/>
        <v>470775</v>
      </c>
      <c r="H74" s="1677">
        <f t="shared" si="10"/>
        <v>25778</v>
      </c>
      <c r="I74" s="1677">
        <f t="shared" si="10"/>
        <v>2371</v>
      </c>
      <c r="J74" s="1677">
        <f t="shared" si="10"/>
        <v>0</v>
      </c>
      <c r="K74" s="1677">
        <f t="shared" si="10"/>
        <v>7638382</v>
      </c>
      <c r="L74" s="1677">
        <f>SUM(L42,L47,L53,L57,L65,L72,L73)</f>
        <v>7977503</v>
      </c>
    </row>
    <row r="75" spans="1:14" s="259" customFormat="1" ht="15.75" customHeight="1" thickTop="1" thickBot="1" x14ac:dyDescent="0.25">
      <c r="A75" s="1610" t="s">
        <v>47</v>
      </c>
      <c r="B75" s="1611" t="s">
        <v>575</v>
      </c>
      <c r="C75" s="573"/>
      <c r="D75" s="573"/>
      <c r="E75" s="573">
        <v>14171</v>
      </c>
      <c r="F75" s="573">
        <v>3400</v>
      </c>
      <c r="G75" s="573"/>
      <c r="H75" s="573"/>
      <c r="I75" s="531"/>
      <c r="J75" s="531"/>
      <c r="K75" s="1670">
        <f>SUM(C75:J75)</f>
        <v>17571</v>
      </c>
      <c r="L75" s="576">
        <v>17615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v>38503</v>
      </c>
      <c r="I78" s="477"/>
      <c r="J78" s="477"/>
      <c r="K78" s="1671">
        <f t="shared" ref="K78:K83" si="11">SUM(C78:J78)</f>
        <v>38503</v>
      </c>
      <c r="L78" s="481">
        <v>10600</v>
      </c>
    </row>
    <row r="79" spans="1:14" x14ac:dyDescent="0.2">
      <c r="A79" s="1504" t="s">
        <v>304</v>
      </c>
      <c r="B79" s="614">
        <v>4120</v>
      </c>
      <c r="C79" s="616"/>
      <c r="D79" s="616"/>
      <c r="E79" s="466"/>
      <c r="F79" s="616"/>
      <c r="G79" s="616"/>
      <c r="H79" s="466">
        <v>10430</v>
      </c>
      <c r="I79" s="477"/>
      <c r="J79" s="477"/>
      <c r="K79" s="1671">
        <f t="shared" si="11"/>
        <v>10430</v>
      </c>
      <c r="L79" s="466">
        <v>10500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1482</v>
      </c>
      <c r="B84" s="1678">
        <v>4100</v>
      </c>
      <c r="C84" s="616"/>
      <c r="D84" s="616"/>
      <c r="E84" s="1670">
        <f>SUM(E78:E83)</f>
        <v>0</v>
      </c>
      <c r="F84" s="616"/>
      <c r="G84" s="616"/>
      <c r="H84" s="1670">
        <f>SUM(H78:H83)</f>
        <v>48933</v>
      </c>
      <c r="I84" s="477"/>
      <c r="J84" s="477"/>
      <c r="K84" s="1670">
        <f>SUM(K78:K83)</f>
        <v>48933</v>
      </c>
      <c r="L84" s="1670">
        <f>SUM(L78:L83)</f>
        <v>21100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221913</v>
      </c>
      <c r="I86" s="477"/>
      <c r="J86" s="477"/>
      <c r="K86" s="1677">
        <f t="shared" ref="K86:K98" si="12">H86</f>
        <v>221913</v>
      </c>
      <c r="L86" s="530">
        <v>200000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1557</v>
      </c>
      <c r="B92" s="1678">
        <v>4200</v>
      </c>
      <c r="C92" s="616"/>
      <c r="D92" s="616"/>
      <c r="E92" s="638"/>
      <c r="F92" s="616"/>
      <c r="G92" s="616"/>
      <c r="H92" s="1670">
        <f>SUM(H85:H91)</f>
        <v>221913</v>
      </c>
      <c r="I92" s="477"/>
      <c r="J92" s="477"/>
      <c r="K92" s="1677">
        <f t="shared" si="12"/>
        <v>221913</v>
      </c>
      <c r="L92" s="1670">
        <f>SUM(L85:L91)</f>
        <v>200000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1485</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1483</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1486</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1484</v>
      </c>
      <c r="B102" s="1678">
        <v>4000</v>
      </c>
      <c r="C102" s="616"/>
      <c r="D102" s="616"/>
      <c r="E102" s="1677">
        <f>SUM(E84,E92,E100,E101)</f>
        <v>0</v>
      </c>
      <c r="F102" s="616"/>
      <c r="G102" s="616"/>
      <c r="H102" s="1677">
        <f>SUM(H84,H92,H100,H101)</f>
        <v>270846</v>
      </c>
      <c r="I102" s="477"/>
      <c r="J102" s="477"/>
      <c r="K102" s="1677">
        <f>SUM(K84,K92,K100,K101)</f>
        <v>270846</v>
      </c>
      <c r="L102" s="1677">
        <f>SUM(L84,L92,L100,L101)</f>
        <v>221100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v>99</v>
      </c>
      <c r="I109" s="468"/>
      <c r="J109" s="468"/>
      <c r="K109" s="1671">
        <f>H109</f>
        <v>99</v>
      </c>
      <c r="L109" s="466">
        <v>1000</v>
      </c>
      <c r="M109" s="210"/>
      <c r="N109" s="210"/>
    </row>
    <row r="110" spans="1:14" s="597" customFormat="1" ht="12.75" customHeight="1" thickBot="1" x14ac:dyDescent="0.25">
      <c r="A110" s="1668" t="s">
        <v>1102</v>
      </c>
      <c r="B110" s="1675" t="s">
        <v>718</v>
      </c>
      <c r="C110" s="616"/>
      <c r="D110" s="616"/>
      <c r="E110" s="616"/>
      <c r="F110" s="616"/>
      <c r="G110" s="616"/>
      <c r="H110" s="1670">
        <f>SUM(H105:H109)</f>
        <v>99</v>
      </c>
      <c r="I110" s="468"/>
      <c r="J110" s="468"/>
      <c r="K110" s="1670">
        <f>SUM(K105:K109)</f>
        <v>99</v>
      </c>
      <c r="L110" s="1670">
        <f>SUM(L105:L109)</f>
        <v>1000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99</v>
      </c>
      <c r="I112" s="468"/>
      <c r="J112" s="468"/>
      <c r="K112" s="1670">
        <f>SUM(K110:K111)</f>
        <v>99</v>
      </c>
      <c r="L112" s="1677">
        <f>SUM(L110,L111)</f>
        <v>1000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17622063</v>
      </c>
      <c r="D114" s="1670">
        <f t="shared" ref="D114:K114" si="13">SUM(D33,D74,D75,D102,D112,D113)</f>
        <v>4354483</v>
      </c>
      <c r="E114" s="1670">
        <f t="shared" si="13"/>
        <v>1834523</v>
      </c>
      <c r="F114" s="1670">
        <f t="shared" si="13"/>
        <v>950625</v>
      </c>
      <c r="G114" s="1670">
        <f t="shared" si="13"/>
        <v>609454</v>
      </c>
      <c r="H114" s="1670">
        <f>SUM(H33,H74,H75,H102,H112,H113)</f>
        <v>1508492</v>
      </c>
      <c r="I114" s="1670">
        <f t="shared" si="13"/>
        <v>2371</v>
      </c>
      <c r="J114" s="1670">
        <f t="shared" si="13"/>
        <v>0</v>
      </c>
      <c r="K114" s="1670">
        <f t="shared" si="13"/>
        <v>26882011</v>
      </c>
      <c r="L114" s="1670">
        <f>SUM(L33,L74,L75,L102,L112,L113)</f>
        <v>27796691</v>
      </c>
    </row>
    <row r="115" spans="1:14" ht="13.5" thickTop="1" x14ac:dyDescent="0.2">
      <c r="A115" s="2187" t="s">
        <v>996</v>
      </c>
      <c r="B115" s="2188"/>
      <c r="C115" s="618"/>
      <c r="D115" s="618"/>
      <c r="E115" s="618"/>
      <c r="F115" s="618"/>
      <c r="G115" s="618"/>
      <c r="H115" s="618"/>
      <c r="I115" s="618"/>
      <c r="J115" s="618"/>
      <c r="K115" s="1684">
        <f>'Revenues 9-14'!C268-'Expenditures 15-22'!K114</f>
        <v>453956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2054</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172165</v>
      </c>
      <c r="F123" s="466">
        <v>6</v>
      </c>
      <c r="G123" s="466">
        <v>2593165</v>
      </c>
      <c r="H123" s="466"/>
      <c r="I123" s="467"/>
      <c r="J123" s="467"/>
      <c r="K123" s="1670">
        <f>SUM(C123:J123)</f>
        <v>2765336</v>
      </c>
      <c r="L123" s="466">
        <v>3849870</v>
      </c>
    </row>
    <row r="124" spans="1:14" ht="14.25" thickTop="1" thickBot="1" x14ac:dyDescent="0.25">
      <c r="A124" s="1504" t="s">
        <v>197</v>
      </c>
      <c r="B124" s="614">
        <v>2540</v>
      </c>
      <c r="C124" s="466">
        <v>1455362</v>
      </c>
      <c r="D124" s="466">
        <v>269891</v>
      </c>
      <c r="E124" s="466">
        <v>288567</v>
      </c>
      <c r="F124" s="466">
        <v>736454</v>
      </c>
      <c r="G124" s="466">
        <v>157164</v>
      </c>
      <c r="H124" s="466"/>
      <c r="I124" s="467"/>
      <c r="J124" s="467"/>
      <c r="K124" s="1670">
        <f>SUM(C124:J124)</f>
        <v>2907438</v>
      </c>
      <c r="L124" s="466">
        <v>3118087</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1455362</v>
      </c>
      <c r="D127" s="1670">
        <f t="shared" ref="D127:L127" si="14">SUM(D122:D126)</f>
        <v>269891</v>
      </c>
      <c r="E127" s="1670">
        <f t="shared" si="14"/>
        <v>460732</v>
      </c>
      <c r="F127" s="1670">
        <f t="shared" si="14"/>
        <v>736460</v>
      </c>
      <c r="G127" s="1670">
        <f t="shared" si="14"/>
        <v>2750329</v>
      </c>
      <c r="H127" s="1670">
        <f t="shared" si="14"/>
        <v>0</v>
      </c>
      <c r="I127" s="1670">
        <f t="shared" si="14"/>
        <v>0</v>
      </c>
      <c r="J127" s="1670">
        <f t="shared" si="14"/>
        <v>0</v>
      </c>
      <c r="K127" s="1670">
        <f t="shared" si="14"/>
        <v>5672774</v>
      </c>
      <c r="L127" s="1670">
        <f t="shared" si="14"/>
        <v>6967957</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1455362</v>
      </c>
      <c r="D129" s="1677">
        <f t="shared" ref="D129:L129" si="15">SUM(D120,D127,D128)</f>
        <v>269891</v>
      </c>
      <c r="E129" s="1677">
        <f t="shared" si="15"/>
        <v>460732</v>
      </c>
      <c r="F129" s="1677">
        <f t="shared" si="15"/>
        <v>736460</v>
      </c>
      <c r="G129" s="1677">
        <f t="shared" si="15"/>
        <v>2750329</v>
      </c>
      <c r="H129" s="1677">
        <f t="shared" si="15"/>
        <v>0</v>
      </c>
      <c r="I129" s="1677">
        <f t="shared" si="15"/>
        <v>0</v>
      </c>
      <c r="J129" s="1677">
        <f t="shared" si="15"/>
        <v>0</v>
      </c>
      <c r="K129" s="1677">
        <f t="shared" si="15"/>
        <v>5672774</v>
      </c>
      <c r="L129" s="1677">
        <f t="shared" si="15"/>
        <v>6967957</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1839</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1484</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7" t="s">
        <v>620</v>
      </c>
      <c r="B151" s="2159"/>
      <c r="C151" s="1670">
        <f>SUM(C129,C130,C139,C149,C150)</f>
        <v>1455362</v>
      </c>
      <c r="D151" s="1670">
        <f t="shared" ref="D151:K151" si="16">SUM(D129,D130,D139,D149,D150)</f>
        <v>269891</v>
      </c>
      <c r="E151" s="1670">
        <f t="shared" si="16"/>
        <v>460732</v>
      </c>
      <c r="F151" s="1670">
        <f t="shared" si="16"/>
        <v>736460</v>
      </c>
      <c r="G151" s="1670">
        <f t="shared" si="16"/>
        <v>2750329</v>
      </c>
      <c r="H151" s="1670">
        <f t="shared" si="16"/>
        <v>0</v>
      </c>
      <c r="I151" s="1670">
        <f t="shared" si="16"/>
        <v>0</v>
      </c>
      <c r="J151" s="1670">
        <f t="shared" si="16"/>
        <v>0</v>
      </c>
      <c r="K151" s="1670">
        <f t="shared" si="16"/>
        <v>5672774</v>
      </c>
      <c r="L151" s="1670">
        <f>SUM(L129,L130,L139,L149,L150)</f>
        <v>6967957</v>
      </c>
    </row>
    <row r="152" spans="1:14" ht="12.75" customHeight="1" thickTop="1" x14ac:dyDescent="0.2">
      <c r="A152" s="2180" t="s">
        <v>1178</v>
      </c>
      <c r="B152" s="2181"/>
      <c r="C152" s="618"/>
      <c r="D152" s="618"/>
      <c r="E152" s="618"/>
      <c r="F152" s="618"/>
      <c r="G152" s="618"/>
      <c r="H152" s="618"/>
      <c r="I152" s="618"/>
      <c r="J152" s="616"/>
      <c r="K152" s="1684">
        <f>'Revenues 9-14'!D268-'Expenditures 15-22'!K151</f>
        <v>351819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1840</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1839</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1841</v>
      </c>
      <c r="C158" s="616"/>
      <c r="D158" s="616"/>
      <c r="E158" s="616"/>
      <c r="F158" s="616"/>
      <c r="G158" s="616"/>
      <c r="H158" s="467"/>
      <c r="I158" s="616"/>
      <c r="J158" s="616"/>
      <c r="K158" s="1671">
        <f>H158</f>
        <v>0</v>
      </c>
      <c r="L158" s="467"/>
      <c r="M158" s="619"/>
      <c r="N158" s="619"/>
    </row>
    <row r="159" spans="1:14" s="620" customFormat="1" ht="12" x14ac:dyDescent="0.2">
      <c r="A159" s="1826" t="s">
        <v>1842</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1843</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118483</v>
      </c>
      <c r="I169" s="616"/>
      <c r="J169" s="616"/>
      <c r="K169" s="1671">
        <f>SUM(C169:H169)</f>
        <v>118483</v>
      </c>
      <c r="L169" s="656">
        <v>114794</v>
      </c>
    </row>
    <row r="170" spans="1:14" ht="33.75" customHeight="1" x14ac:dyDescent="0.2">
      <c r="A170" s="669" t="s">
        <v>1667</v>
      </c>
      <c r="B170" s="671" t="s">
        <v>31</v>
      </c>
      <c r="C170" s="616"/>
      <c r="D170" s="616"/>
      <c r="E170" s="616"/>
      <c r="F170" s="616"/>
      <c r="G170" s="616"/>
      <c r="H170" s="569">
        <v>1483125</v>
      </c>
      <c r="I170" s="616"/>
      <c r="J170" s="616"/>
      <c r="K170" s="1671">
        <f>SUM(C170:J170)</f>
        <v>1483125</v>
      </c>
      <c r="L170" s="569">
        <v>1155000</v>
      </c>
    </row>
    <row r="171" spans="1:14" ht="15.75" customHeight="1" x14ac:dyDescent="0.2">
      <c r="A171" s="621" t="s">
        <v>766</v>
      </c>
      <c r="B171" s="672" t="s">
        <v>84</v>
      </c>
      <c r="C171" s="616"/>
      <c r="D171" s="616"/>
      <c r="E171" s="466">
        <v>500</v>
      </c>
      <c r="F171" s="616"/>
      <c r="G171" s="616"/>
      <c r="H171" s="569"/>
      <c r="I171" s="477"/>
      <c r="J171" s="616"/>
      <c r="K171" s="1671">
        <f>SUM(C171:J171)</f>
        <v>500</v>
      </c>
      <c r="L171" s="569">
        <v>500</v>
      </c>
    </row>
    <row r="172" spans="1:14" ht="12.75" customHeight="1" thickBot="1" x14ac:dyDescent="0.25">
      <c r="A172" s="1668" t="s">
        <v>638</v>
      </c>
      <c r="B172" s="1669" t="s">
        <v>492</v>
      </c>
      <c r="C172" s="616"/>
      <c r="D172" s="616"/>
      <c r="E172" s="1677">
        <f>SUM(E168,E169,E170,E171)</f>
        <v>500</v>
      </c>
      <c r="F172" s="616"/>
      <c r="G172" s="616"/>
      <c r="H172" s="1677">
        <f>SUM(H168,H169,H170,H171)</f>
        <v>1601608</v>
      </c>
      <c r="I172" s="638"/>
      <c r="J172" s="616"/>
      <c r="K172" s="1677">
        <f>SUM(K168,K169,K170,K171)</f>
        <v>1602108</v>
      </c>
      <c r="L172" s="1677">
        <f>SUM(L168,L169,L170,L171)</f>
        <v>1270294</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500</v>
      </c>
      <c r="F174" s="616"/>
      <c r="G174" s="616"/>
      <c r="H174" s="1677">
        <f>SUM(H160,H172,H173)</f>
        <v>1601608</v>
      </c>
      <c r="I174" s="638"/>
      <c r="J174" s="616"/>
      <c r="K174" s="1677">
        <f>SUM(K160,K172,K173)</f>
        <v>1602108</v>
      </c>
      <c r="L174" s="1677">
        <f>SUM(L160,L172,L173)</f>
        <v>1270294</v>
      </c>
    </row>
    <row r="175" spans="1:14" ht="13.5" thickTop="1" x14ac:dyDescent="0.2">
      <c r="A175" s="2187" t="s">
        <v>996</v>
      </c>
      <c r="B175" s="2188"/>
      <c r="C175" s="616"/>
      <c r="D175" s="616"/>
      <c r="E175" s="616"/>
      <c r="F175" s="616"/>
      <c r="G175" s="616"/>
      <c r="H175" s="618"/>
      <c r="I175" s="616"/>
      <c r="J175" s="616"/>
      <c r="K175" s="1684">
        <f>'Revenues 9-14'!E268-'Expenditures 15-22'!K174</f>
        <v>-318971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2054</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514091</v>
      </c>
      <c r="D182" s="466">
        <v>15929</v>
      </c>
      <c r="E182" s="466">
        <f>192589+6997+682</f>
        <v>200268</v>
      </c>
      <c r="F182" s="466">
        <v>112135</v>
      </c>
      <c r="G182" s="466">
        <v>115424</v>
      </c>
      <c r="H182" s="466">
        <v>3011</v>
      </c>
      <c r="I182" s="467"/>
      <c r="J182" s="467"/>
      <c r="K182" s="1671">
        <f>SUM(C182:J182)</f>
        <v>960858</v>
      </c>
      <c r="L182" s="466">
        <v>1131375</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514091</v>
      </c>
      <c r="D184" s="1677">
        <f t="shared" ref="D184:J184" si="17">SUM(D180,D182,D183)</f>
        <v>15929</v>
      </c>
      <c r="E184" s="1677">
        <f t="shared" si="17"/>
        <v>200268</v>
      </c>
      <c r="F184" s="1677">
        <f t="shared" si="17"/>
        <v>112135</v>
      </c>
      <c r="G184" s="1677">
        <f t="shared" si="17"/>
        <v>115424</v>
      </c>
      <c r="H184" s="1677">
        <f t="shared" si="17"/>
        <v>3011</v>
      </c>
      <c r="I184" s="1677">
        <f t="shared" si="17"/>
        <v>0</v>
      </c>
      <c r="J184" s="1677">
        <f t="shared" si="17"/>
        <v>0</v>
      </c>
      <c r="K184" s="1677">
        <f>SUM(K180,K182,K183)</f>
        <v>960858</v>
      </c>
      <c r="L184" s="1677">
        <f>SUM(L180, L182:L183)</f>
        <v>1131375</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1484</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10180</v>
      </c>
      <c r="I205" s="616"/>
      <c r="J205" s="616"/>
      <c r="K205" s="1685">
        <f>SUM(H205)</f>
        <v>10180</v>
      </c>
      <c r="L205" s="535"/>
    </row>
    <row r="206" spans="1:14" ht="30" customHeight="1" x14ac:dyDescent="0.2">
      <c r="A206" s="681" t="s">
        <v>1668</v>
      </c>
      <c r="B206" s="672" t="s">
        <v>31</v>
      </c>
      <c r="C206" s="616"/>
      <c r="D206" s="616"/>
      <c r="E206" s="616"/>
      <c r="F206" s="616"/>
      <c r="G206" s="616"/>
      <c r="H206" s="466">
        <v>180862</v>
      </c>
      <c r="I206" s="616"/>
      <c r="J206" s="616"/>
      <c r="K206" s="1671">
        <f>SUM(H206)</f>
        <v>180862</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191042</v>
      </c>
      <c r="I208" s="616"/>
      <c r="J208" s="616"/>
      <c r="K208" s="1677">
        <f>SUM(K204,K205,K206,K207)</f>
        <v>191042</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514091</v>
      </c>
      <c r="D210" s="1670">
        <f>SUM(D184,D185)</f>
        <v>15929</v>
      </c>
      <c r="E210" s="1670">
        <f>SUM(E184,E185,E196)</f>
        <v>200268</v>
      </c>
      <c r="F210" s="1670">
        <f>SUM(F184,F185)</f>
        <v>112135</v>
      </c>
      <c r="G210" s="1670">
        <f>SUM(G184,G185)</f>
        <v>115424</v>
      </c>
      <c r="H210" s="1670">
        <f>SUM(H184,H185,H196,H208,H209)</f>
        <v>194053</v>
      </c>
      <c r="I210" s="1670">
        <f>SUM(I184,I185)</f>
        <v>0</v>
      </c>
      <c r="J210" s="1670">
        <f>SUM(J184,J185)</f>
        <v>0</v>
      </c>
      <c r="K210" s="1671">
        <f>SUM(K184,K185,K196,K208,K209)</f>
        <v>1151900</v>
      </c>
      <c r="L210" s="1670">
        <f>SUM(L184,L185,L196,L208,L209)</f>
        <v>1131375</v>
      </c>
    </row>
    <row r="211" spans="1:14" ht="13.5" thickTop="1" x14ac:dyDescent="0.2">
      <c r="A211" s="2187" t="s">
        <v>996</v>
      </c>
      <c r="B211" s="2188"/>
      <c r="C211" s="618"/>
      <c r="D211" s="618"/>
      <c r="E211" s="618"/>
      <c r="F211" s="618"/>
      <c r="G211" s="618"/>
      <c r="H211" s="618"/>
      <c r="I211" s="616"/>
      <c r="J211" s="616"/>
      <c r="K211" s="1684">
        <f>'Revenues 9-14'!F268-'Expenditures 15-22'!K210</f>
        <v>-194495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268351</v>
      </c>
      <c r="E215" s="616"/>
      <c r="F215" s="616"/>
      <c r="G215" s="616"/>
      <c r="H215" s="616"/>
      <c r="I215" s="616"/>
      <c r="J215" s="616"/>
      <c r="K215" s="1671">
        <f>D215</f>
        <v>268351</v>
      </c>
      <c r="L215" s="466">
        <f>299701-5807</f>
        <v>293894</v>
      </c>
    </row>
    <row r="216" spans="1:14" x14ac:dyDescent="0.2">
      <c r="A216" s="1504" t="s">
        <v>163</v>
      </c>
      <c r="B216" s="614" t="s">
        <v>967</v>
      </c>
      <c r="C216" s="616"/>
      <c r="D216" s="467">
        <v>5964</v>
      </c>
      <c r="E216" s="616"/>
      <c r="F216" s="616"/>
      <c r="G216" s="616"/>
      <c r="H216" s="616"/>
      <c r="I216" s="616"/>
      <c r="J216" s="616"/>
      <c r="K216" s="1671">
        <f t="shared" ref="K216:K228" si="19">D216</f>
        <v>5964</v>
      </c>
      <c r="L216" s="466">
        <v>5807</v>
      </c>
    </row>
    <row r="217" spans="1:14" x14ac:dyDescent="0.2">
      <c r="A217" s="1504" t="s">
        <v>164</v>
      </c>
      <c r="B217" s="614">
        <v>1200</v>
      </c>
      <c r="C217" s="616"/>
      <c r="D217" s="466">
        <v>149709</v>
      </c>
      <c r="E217" s="616"/>
      <c r="F217" s="616"/>
      <c r="G217" s="616"/>
      <c r="H217" s="616"/>
      <c r="I217" s="616"/>
      <c r="J217" s="616"/>
      <c r="K217" s="1671">
        <f t="shared" si="19"/>
        <v>149709</v>
      </c>
      <c r="L217" s="466">
        <v>155001</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511</v>
      </c>
      <c r="E219" s="616"/>
      <c r="F219" s="616"/>
      <c r="G219" s="616"/>
      <c r="H219" s="616"/>
      <c r="I219" s="616"/>
      <c r="J219" s="616"/>
      <c r="K219" s="1671">
        <f t="shared" si="19"/>
        <v>511</v>
      </c>
      <c r="L219" s="466"/>
    </row>
    <row r="220" spans="1:14" x14ac:dyDescent="0.2">
      <c r="A220" s="1504" t="s">
        <v>280</v>
      </c>
      <c r="B220" s="614" t="s">
        <v>161</v>
      </c>
      <c r="C220" s="616"/>
      <c r="D220" s="467"/>
      <c r="E220" s="616"/>
      <c r="F220" s="616"/>
      <c r="G220" s="616"/>
      <c r="H220" s="616"/>
      <c r="I220" s="616"/>
      <c r="J220" s="616"/>
      <c r="K220" s="1671">
        <f t="shared" si="19"/>
        <v>0</v>
      </c>
      <c r="L220" s="466">
        <v>2613</v>
      </c>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5465</v>
      </c>
      <c r="E222" s="616"/>
      <c r="F222" s="616"/>
      <c r="G222" s="616"/>
      <c r="H222" s="616"/>
      <c r="I222" s="616"/>
      <c r="J222" s="616"/>
      <c r="K222" s="1671">
        <f t="shared" si="19"/>
        <v>5465</v>
      </c>
      <c r="L222" s="466">
        <v>6142</v>
      </c>
    </row>
    <row r="223" spans="1:14" x14ac:dyDescent="0.2">
      <c r="A223" s="1504" t="s">
        <v>963</v>
      </c>
      <c r="B223" s="614">
        <v>1500</v>
      </c>
      <c r="C223" s="616"/>
      <c r="D223" s="466">
        <v>20582</v>
      </c>
      <c r="E223" s="616"/>
      <c r="F223" s="616"/>
      <c r="G223" s="616"/>
      <c r="H223" s="616"/>
      <c r="I223" s="616"/>
      <c r="J223" s="616"/>
      <c r="K223" s="1671">
        <f t="shared" si="19"/>
        <v>20582</v>
      </c>
      <c r="L223" s="466">
        <v>13024</v>
      </c>
    </row>
    <row r="224" spans="1:14" x14ac:dyDescent="0.2">
      <c r="A224" s="1504" t="s">
        <v>964</v>
      </c>
      <c r="B224" s="614">
        <v>1600</v>
      </c>
      <c r="C224" s="616"/>
      <c r="D224" s="466">
        <v>3677</v>
      </c>
      <c r="E224" s="616"/>
      <c r="F224" s="616"/>
      <c r="G224" s="616"/>
      <c r="H224" s="616"/>
      <c r="I224" s="616"/>
      <c r="J224" s="616"/>
      <c r="K224" s="1671">
        <f t="shared" si="19"/>
        <v>3677</v>
      </c>
      <c r="L224" s="466">
        <v>3858</v>
      </c>
    </row>
    <row r="225" spans="1:12" x14ac:dyDescent="0.2">
      <c r="A225" s="1504" t="s">
        <v>987</v>
      </c>
      <c r="B225" s="614">
        <v>1650</v>
      </c>
      <c r="C225" s="616"/>
      <c r="D225" s="466">
        <v>288</v>
      </c>
      <c r="E225" s="616"/>
      <c r="F225" s="616"/>
      <c r="G225" s="616"/>
      <c r="H225" s="616"/>
      <c r="I225" s="616"/>
      <c r="J225" s="616"/>
      <c r="K225" s="1671">
        <f t="shared" si="19"/>
        <v>288</v>
      </c>
      <c r="L225" s="466">
        <v>437</v>
      </c>
    </row>
    <row r="226" spans="1:12" x14ac:dyDescent="0.2">
      <c r="A226" s="1504" t="s">
        <v>724</v>
      </c>
      <c r="B226" s="614" t="s">
        <v>162</v>
      </c>
      <c r="C226" s="616"/>
      <c r="D226" s="467">
        <v>1988</v>
      </c>
      <c r="E226" s="616"/>
      <c r="F226" s="616"/>
      <c r="G226" s="616"/>
      <c r="H226" s="616"/>
      <c r="I226" s="616"/>
      <c r="J226" s="616"/>
      <c r="K226" s="1671">
        <f t="shared" si="19"/>
        <v>1988</v>
      </c>
      <c r="L226" s="466">
        <v>1828</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456535</v>
      </c>
      <c r="E229" s="616"/>
      <c r="F229" s="616"/>
      <c r="G229" s="616"/>
      <c r="H229" s="616"/>
      <c r="I229" s="616"/>
      <c r="J229" s="616"/>
      <c r="K229" s="1670">
        <f>SUM(K215:K228)</f>
        <v>456535</v>
      </c>
      <c r="L229" s="1670">
        <f>SUM(L215:L228)</f>
        <v>482604</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11640</v>
      </c>
      <c r="E232" s="616"/>
      <c r="F232" s="616"/>
      <c r="G232" s="616"/>
      <c r="H232" s="616"/>
      <c r="I232" s="616"/>
      <c r="J232" s="616"/>
      <c r="K232" s="1671">
        <f t="shared" ref="K232:K237" si="20">D232</f>
        <v>11640</v>
      </c>
      <c r="L232" s="466">
        <v>13460</v>
      </c>
    </row>
    <row r="233" spans="1:12" x14ac:dyDescent="0.2">
      <c r="A233" s="1504" t="s">
        <v>1090</v>
      </c>
      <c r="B233" s="614">
        <v>2120</v>
      </c>
      <c r="C233" s="616"/>
      <c r="D233" s="466">
        <v>11799</v>
      </c>
      <c r="E233" s="616"/>
      <c r="F233" s="616"/>
      <c r="G233" s="616"/>
      <c r="H233" s="616"/>
      <c r="I233" s="616"/>
      <c r="J233" s="616"/>
      <c r="K233" s="1671">
        <f t="shared" si="20"/>
        <v>11799</v>
      </c>
      <c r="L233" s="466">
        <v>12207</v>
      </c>
    </row>
    <row r="234" spans="1:12" x14ac:dyDescent="0.2">
      <c r="A234" s="1504" t="s">
        <v>198</v>
      </c>
      <c r="B234" s="614">
        <v>2130</v>
      </c>
      <c r="C234" s="616"/>
      <c r="D234" s="466">
        <v>10662</v>
      </c>
      <c r="E234" s="616"/>
      <c r="F234" s="616"/>
      <c r="G234" s="616"/>
      <c r="H234" s="616"/>
      <c r="I234" s="616"/>
      <c r="J234" s="616"/>
      <c r="K234" s="1671">
        <f t="shared" si="20"/>
        <v>10662</v>
      </c>
      <c r="L234" s="466">
        <v>10641</v>
      </c>
    </row>
    <row r="235" spans="1:12" x14ac:dyDescent="0.2">
      <c r="A235" s="1504" t="s">
        <v>199</v>
      </c>
      <c r="B235" s="614">
        <v>2140</v>
      </c>
      <c r="C235" s="616"/>
      <c r="D235" s="466">
        <v>2410</v>
      </c>
      <c r="E235" s="616"/>
      <c r="F235" s="616"/>
      <c r="G235" s="616"/>
      <c r="H235" s="616"/>
      <c r="I235" s="616"/>
      <c r="J235" s="616"/>
      <c r="K235" s="1671">
        <f t="shared" si="20"/>
        <v>2410</v>
      </c>
      <c r="L235" s="466">
        <v>2631</v>
      </c>
    </row>
    <row r="236" spans="1:12" x14ac:dyDescent="0.2">
      <c r="A236" s="1504" t="s">
        <v>200</v>
      </c>
      <c r="B236" s="614">
        <v>2150</v>
      </c>
      <c r="C236" s="616"/>
      <c r="D236" s="466">
        <v>4619</v>
      </c>
      <c r="E236" s="616"/>
      <c r="F236" s="616"/>
      <c r="G236" s="616"/>
      <c r="H236" s="616"/>
      <c r="I236" s="616"/>
      <c r="J236" s="616"/>
      <c r="K236" s="1671">
        <f t="shared" si="20"/>
        <v>4619</v>
      </c>
      <c r="L236" s="466">
        <v>4768</v>
      </c>
    </row>
    <row r="237" spans="1:12" x14ac:dyDescent="0.2">
      <c r="A237" s="1504" t="s">
        <v>165</v>
      </c>
      <c r="B237" s="614">
        <v>2190</v>
      </c>
      <c r="C237" s="616"/>
      <c r="D237" s="466">
        <v>8449</v>
      </c>
      <c r="E237" s="616"/>
      <c r="F237" s="616"/>
      <c r="G237" s="616"/>
      <c r="H237" s="616"/>
      <c r="I237" s="616"/>
      <c r="J237" s="616"/>
      <c r="K237" s="1671">
        <f t="shared" si="20"/>
        <v>8449</v>
      </c>
      <c r="L237" s="466">
        <v>9466</v>
      </c>
    </row>
    <row r="238" spans="1:12" ht="12.75" customHeight="1" thickBot="1" x14ac:dyDescent="0.25">
      <c r="A238" s="1668" t="s">
        <v>560</v>
      </c>
      <c r="B238" s="1675" t="s">
        <v>716</v>
      </c>
      <c r="C238" s="616"/>
      <c r="D238" s="1670">
        <f>SUM(D232:D237)</f>
        <v>49579</v>
      </c>
      <c r="E238" s="616"/>
      <c r="F238" s="616"/>
      <c r="G238" s="616"/>
      <c r="H238" s="616"/>
      <c r="I238" s="616"/>
      <c r="J238" s="616"/>
      <c r="K238" s="1670">
        <f>SUM(K232:K237)</f>
        <v>49579</v>
      </c>
      <c r="L238" s="1670">
        <f>SUM(L232:L237)</f>
        <v>53173</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748</v>
      </c>
      <c r="E240" s="616"/>
      <c r="F240" s="616"/>
      <c r="G240" s="616"/>
      <c r="H240" s="616"/>
      <c r="I240" s="616"/>
      <c r="J240" s="616"/>
      <c r="K240" s="1672">
        <f>D240</f>
        <v>748</v>
      </c>
      <c r="L240" s="481">
        <v>996</v>
      </c>
    </row>
    <row r="241" spans="1:12" x14ac:dyDescent="0.2">
      <c r="A241" s="1504" t="s">
        <v>815</v>
      </c>
      <c r="B241" s="614">
        <v>2220</v>
      </c>
      <c r="C241" s="616"/>
      <c r="D241" s="466">
        <v>52903</v>
      </c>
      <c r="E241" s="616"/>
      <c r="F241" s="616"/>
      <c r="G241" s="616"/>
      <c r="H241" s="616"/>
      <c r="I241" s="616"/>
      <c r="J241" s="616"/>
      <c r="K241" s="1672">
        <f>D241</f>
        <v>52903</v>
      </c>
      <c r="L241" s="466">
        <v>55734</v>
      </c>
    </row>
    <row r="242" spans="1:12" x14ac:dyDescent="0.2">
      <c r="A242" s="1504" t="s">
        <v>816</v>
      </c>
      <c r="B242" s="614">
        <v>2230</v>
      </c>
      <c r="C242" s="616"/>
      <c r="D242" s="466"/>
      <c r="E242" s="616"/>
      <c r="F242" s="616"/>
      <c r="G242" s="616"/>
      <c r="H242" s="616"/>
      <c r="I242" s="616"/>
      <c r="J242" s="616"/>
      <c r="K242" s="1672">
        <f>D242</f>
        <v>0</v>
      </c>
      <c r="L242" s="466">
        <v>2597</v>
      </c>
    </row>
    <row r="243" spans="1:12" ht="12.75" customHeight="1" thickBot="1" x14ac:dyDescent="0.25">
      <c r="A243" s="1694" t="s">
        <v>561</v>
      </c>
      <c r="B243" s="1695">
        <v>2200</v>
      </c>
      <c r="C243" s="616"/>
      <c r="D243" s="1670">
        <f>SUM(D240:D242)</f>
        <v>53651</v>
      </c>
      <c r="E243" s="616"/>
      <c r="F243" s="616"/>
      <c r="G243" s="616"/>
      <c r="H243" s="616"/>
      <c r="I243" s="616"/>
      <c r="J243" s="616"/>
      <c r="K243" s="1670">
        <f>SUM(K240:K242)</f>
        <v>53651</v>
      </c>
      <c r="L243" s="1670">
        <f>SUM(L240:L242)</f>
        <v>59327</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5745</v>
      </c>
      <c r="E245" s="616"/>
      <c r="F245" s="616"/>
      <c r="G245" s="616"/>
      <c r="H245" s="616"/>
      <c r="I245" s="616"/>
      <c r="J245" s="616"/>
      <c r="K245" s="1672">
        <f>D245</f>
        <v>5745</v>
      </c>
      <c r="L245" s="481">
        <v>5074</v>
      </c>
    </row>
    <row r="246" spans="1:12" x14ac:dyDescent="0.2">
      <c r="A246" s="1504" t="s">
        <v>818</v>
      </c>
      <c r="B246" s="614">
        <v>2320</v>
      </c>
      <c r="C246" s="616"/>
      <c r="D246" s="466">
        <v>19058</v>
      </c>
      <c r="E246" s="616"/>
      <c r="F246" s="616"/>
      <c r="G246" s="616"/>
      <c r="H246" s="616"/>
      <c r="I246" s="616"/>
      <c r="J246" s="616"/>
      <c r="K246" s="1672">
        <f t="shared" ref="K246:K256" si="21">D246</f>
        <v>19058</v>
      </c>
      <c r="L246" s="466">
        <v>19523</v>
      </c>
    </row>
    <row r="247" spans="1:12" x14ac:dyDescent="0.2">
      <c r="A247" s="1504" t="s">
        <v>819</v>
      </c>
      <c r="B247" s="614">
        <v>2330</v>
      </c>
      <c r="C247" s="616"/>
      <c r="D247" s="466">
        <v>8390</v>
      </c>
      <c r="E247" s="616"/>
      <c r="F247" s="616"/>
      <c r="G247" s="616"/>
      <c r="H247" s="616"/>
      <c r="I247" s="616"/>
      <c r="J247" s="616"/>
      <c r="K247" s="1672">
        <f t="shared" si="21"/>
        <v>8390</v>
      </c>
      <c r="L247" s="466">
        <v>4521</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1799</v>
      </c>
      <c r="B249" s="683" t="s">
        <v>282</v>
      </c>
      <c r="C249" s="616"/>
      <c r="D249" s="474"/>
      <c r="E249" s="616"/>
      <c r="F249" s="616"/>
      <c r="G249" s="616"/>
      <c r="H249" s="616"/>
      <c r="I249" s="616"/>
      <c r="J249" s="616"/>
      <c r="K249" s="1672">
        <f t="shared" si="21"/>
        <v>0</v>
      </c>
      <c r="L249" s="466"/>
    </row>
    <row r="250" spans="1:12" x14ac:dyDescent="0.2">
      <c r="A250" s="1505" t="s">
        <v>1800</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33193</v>
      </c>
      <c r="E257" s="616"/>
      <c r="F257" s="616"/>
      <c r="G257" s="616"/>
      <c r="H257" s="616"/>
      <c r="I257" s="616"/>
      <c r="J257" s="616"/>
      <c r="K257" s="1670">
        <f>SUM(K245:K256)</f>
        <v>33193</v>
      </c>
      <c r="L257" s="1670">
        <f>SUM(L245:L256)</f>
        <v>29118</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57183</v>
      </c>
      <c r="E259" s="616"/>
      <c r="F259" s="616"/>
      <c r="G259" s="616"/>
      <c r="H259" s="616"/>
      <c r="I259" s="616"/>
      <c r="J259" s="616"/>
      <c r="K259" s="1672">
        <f>D259</f>
        <v>57183</v>
      </c>
      <c r="L259" s="481">
        <v>60886</v>
      </c>
    </row>
    <row r="260" spans="1:14" s="597" customFormat="1" x14ac:dyDescent="0.2">
      <c r="A260" s="1522" t="s">
        <v>1798</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57183</v>
      </c>
      <c r="E261" s="616"/>
      <c r="F261" s="616"/>
      <c r="G261" s="616"/>
      <c r="H261" s="616"/>
      <c r="I261" s="616"/>
      <c r="J261" s="616"/>
      <c r="K261" s="1670">
        <f>SUM(K259:K260)</f>
        <v>57183</v>
      </c>
      <c r="L261" s="1670">
        <f>SUM(L259:L260)</f>
        <v>60886</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26827</v>
      </c>
      <c r="E263" s="616"/>
      <c r="F263" s="616"/>
      <c r="G263" s="616"/>
      <c r="H263" s="616"/>
      <c r="I263" s="616"/>
      <c r="J263" s="616"/>
      <c r="K263" s="1672">
        <f>D263</f>
        <v>26827</v>
      </c>
      <c r="L263" s="481">
        <v>23794</v>
      </c>
    </row>
    <row r="264" spans="1:14" x14ac:dyDescent="0.2">
      <c r="A264" s="1504" t="s">
        <v>463</v>
      </c>
      <c r="B264" s="685">
        <v>2520</v>
      </c>
      <c r="C264" s="616"/>
      <c r="D264" s="466">
        <v>5396</v>
      </c>
      <c r="E264" s="616"/>
      <c r="F264" s="616"/>
      <c r="G264" s="616"/>
      <c r="H264" s="616"/>
      <c r="I264" s="616"/>
      <c r="J264" s="616"/>
      <c r="K264" s="1672">
        <f t="shared" ref="K264:K269" si="22">D264</f>
        <v>5396</v>
      </c>
      <c r="L264" s="466">
        <v>12491</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225312</v>
      </c>
      <c r="E266" s="616"/>
      <c r="F266" s="616"/>
      <c r="G266" s="616"/>
      <c r="H266" s="616"/>
      <c r="I266" s="616"/>
      <c r="J266" s="616"/>
      <c r="K266" s="1672">
        <f t="shared" si="22"/>
        <v>225312</v>
      </c>
      <c r="L266" s="466">
        <v>244239</v>
      </c>
    </row>
    <row r="267" spans="1:14" x14ac:dyDescent="0.2">
      <c r="A267" s="1504" t="s">
        <v>953</v>
      </c>
      <c r="B267" s="614">
        <v>2550</v>
      </c>
      <c r="C267" s="616"/>
      <c r="D267" s="466">
        <v>72721</v>
      </c>
      <c r="E267" s="616"/>
      <c r="F267" s="616"/>
      <c r="G267" s="616"/>
      <c r="H267" s="616"/>
      <c r="I267" s="616"/>
      <c r="J267" s="616"/>
      <c r="K267" s="1672">
        <f t="shared" si="22"/>
        <v>72721</v>
      </c>
      <c r="L267" s="466">
        <v>71966</v>
      </c>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v>207</v>
      </c>
      <c r="E269" s="616"/>
      <c r="F269" s="616"/>
      <c r="G269" s="616"/>
      <c r="H269" s="616"/>
      <c r="I269" s="616"/>
      <c r="J269" s="616"/>
      <c r="K269" s="1672">
        <f t="shared" si="22"/>
        <v>207</v>
      </c>
      <c r="L269" s="466">
        <v>109</v>
      </c>
    </row>
    <row r="270" spans="1:14" ht="12.75" customHeight="1" thickBot="1" x14ac:dyDescent="0.25">
      <c r="A270" s="1668" t="s">
        <v>719</v>
      </c>
      <c r="B270" s="1675" t="s">
        <v>35</v>
      </c>
      <c r="C270" s="616"/>
      <c r="D270" s="1670">
        <f>SUM(D263:D269)</f>
        <v>330463</v>
      </c>
      <c r="E270" s="616"/>
      <c r="F270" s="616"/>
      <c r="G270" s="616"/>
      <c r="H270" s="616"/>
      <c r="I270" s="616"/>
      <c r="J270" s="616"/>
      <c r="K270" s="1670">
        <f>SUM(K263:K269)</f>
        <v>330463</v>
      </c>
      <c r="L270" s="1670">
        <f>SUM(L263:L269)</f>
        <v>352599</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v>5478</v>
      </c>
      <c r="E274" s="616"/>
      <c r="F274" s="616"/>
      <c r="G274" s="616"/>
      <c r="H274" s="616"/>
      <c r="I274" s="616"/>
      <c r="J274" s="616"/>
      <c r="K274" s="1672">
        <f>D274</f>
        <v>5478</v>
      </c>
      <c r="L274" s="466">
        <v>5252</v>
      </c>
    </row>
    <row r="275" spans="1:12" x14ac:dyDescent="0.2">
      <c r="A275" s="1504" t="s">
        <v>403</v>
      </c>
      <c r="B275" s="614">
        <v>2640</v>
      </c>
      <c r="C275" s="616"/>
      <c r="D275" s="466">
        <v>11476</v>
      </c>
      <c r="E275" s="616"/>
      <c r="F275" s="616"/>
      <c r="G275" s="616"/>
      <c r="H275" s="616"/>
      <c r="I275" s="616"/>
      <c r="J275" s="616"/>
      <c r="K275" s="1672">
        <f>D275</f>
        <v>11476</v>
      </c>
      <c r="L275" s="466">
        <v>11979</v>
      </c>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16954</v>
      </c>
      <c r="E277" s="616"/>
      <c r="F277" s="616"/>
      <c r="G277" s="616"/>
      <c r="H277" s="616"/>
      <c r="I277" s="616"/>
      <c r="J277" s="616"/>
      <c r="K277" s="1670">
        <f>SUM(K272:K276)</f>
        <v>16954</v>
      </c>
      <c r="L277" s="1670">
        <f>SUM(L272:L276)</f>
        <v>17231</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541023</v>
      </c>
      <c r="E279" s="616"/>
      <c r="F279" s="616"/>
      <c r="G279" s="616"/>
      <c r="H279" s="616"/>
      <c r="I279" s="616"/>
      <c r="J279" s="616"/>
      <c r="K279" s="1677">
        <f>SUM(K238,K243,K257,K261,K270,K277,K278)</f>
        <v>541023</v>
      </c>
      <c r="L279" s="1677">
        <f>SUM(L238,L243,L257,L261,L270,L277,L278)</f>
        <v>572334</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1839</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1484</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8" t="s">
        <v>505</v>
      </c>
      <c r="B295" s="2179"/>
      <c r="C295" s="616"/>
      <c r="D295" s="1670">
        <f>SUM(D229,D279,D280,D285)</f>
        <v>997558</v>
      </c>
      <c r="E295" s="616"/>
      <c r="F295" s="616"/>
      <c r="G295" s="616"/>
      <c r="H295" s="1670">
        <f>H293</f>
        <v>0</v>
      </c>
      <c r="I295" s="616"/>
      <c r="J295" s="616"/>
      <c r="K295" s="1670">
        <f>SUM(K229,K279,K280,K285,K293,K294)</f>
        <v>997558</v>
      </c>
      <c r="L295" s="1670">
        <f>SUM(L229,L279,L280,L285,L293,L294)</f>
        <v>1054938</v>
      </c>
    </row>
    <row r="296" spans="1:14" ht="13.5" thickTop="1" x14ac:dyDescent="0.2">
      <c r="A296" s="2187" t="s">
        <v>996</v>
      </c>
      <c r="B296" s="2188"/>
      <c r="C296" s="616"/>
      <c r="D296" s="618"/>
      <c r="E296" s="616"/>
      <c r="F296" s="616"/>
      <c r="G296" s="616"/>
      <c r="H296" s="687"/>
      <c r="I296" s="616"/>
      <c r="J296" s="616"/>
      <c r="K296" s="1684">
        <f>'Revenues 9-14'!G268-'Expenditures 15-22'!K295</f>
        <v>105454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2137</v>
      </c>
      <c r="F301" s="466"/>
      <c r="G301" s="466">
        <v>503235</v>
      </c>
      <c r="H301" s="466"/>
      <c r="I301" s="467"/>
      <c r="J301" s="467"/>
      <c r="K301" s="1671">
        <f>SUM(C301:J301)</f>
        <v>505372</v>
      </c>
      <c r="L301" s="467">
        <v>506153</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2137</v>
      </c>
      <c r="F303" s="1677">
        <f t="shared" si="23"/>
        <v>0</v>
      </c>
      <c r="G303" s="1677">
        <f t="shared" si="23"/>
        <v>503235</v>
      </c>
      <c r="H303" s="1677">
        <f t="shared" si="23"/>
        <v>0</v>
      </c>
      <c r="I303" s="1677">
        <f t="shared" si="23"/>
        <v>0</v>
      </c>
      <c r="J303" s="1677">
        <f t="shared" si="23"/>
        <v>0</v>
      </c>
      <c r="K303" s="1677">
        <f t="shared" si="23"/>
        <v>505372</v>
      </c>
      <c r="L303" s="1677">
        <f t="shared" si="23"/>
        <v>506153</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1844</v>
      </c>
      <c r="B306" s="690" t="s">
        <v>1839</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1484</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5" t="s">
        <v>277</v>
      </c>
      <c r="B312" s="2176"/>
      <c r="C312" s="1670">
        <f>SUM(C303)</f>
        <v>0</v>
      </c>
      <c r="D312" s="1670">
        <f>SUM(D303)</f>
        <v>0</v>
      </c>
      <c r="E312" s="1670">
        <f>SUM(E303,E310)</f>
        <v>2137</v>
      </c>
      <c r="F312" s="1670">
        <f>SUM(F303)</f>
        <v>0</v>
      </c>
      <c r="G312" s="1670">
        <f>SUM(G303)</f>
        <v>503235</v>
      </c>
      <c r="H312" s="1670">
        <f>SUM(H303,H310)</f>
        <v>0</v>
      </c>
      <c r="I312" s="1670">
        <f>SUM(I303)</f>
        <v>0</v>
      </c>
      <c r="J312" s="1670">
        <f>SUM(J303)</f>
        <v>0</v>
      </c>
      <c r="K312" s="1670">
        <f>SUM(K303,K310,K311)</f>
        <v>505372</v>
      </c>
      <c r="L312" s="1670">
        <f>SUM(L303,L310,L311)</f>
        <v>506153</v>
      </c>
      <c r="M312" s="665"/>
      <c r="N312" s="665"/>
    </row>
    <row r="313" spans="1:14" ht="13.5" thickTop="1" x14ac:dyDescent="0.2">
      <c r="A313" s="2171" t="s">
        <v>996</v>
      </c>
      <c r="B313" s="2172"/>
      <c r="C313" s="626"/>
      <c r="D313" s="626"/>
      <c r="E313" s="626"/>
      <c r="F313" s="626"/>
      <c r="G313" s="626"/>
      <c r="H313" s="626"/>
      <c r="I313" s="626"/>
      <c r="J313" s="626"/>
      <c r="K313" s="1685">
        <f>'Revenues 9-14'!H268-'Expenditures 15-22'!K312</f>
        <v>-504380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1799</v>
      </c>
      <c r="B320" s="698" t="s">
        <v>282</v>
      </c>
      <c r="C320" s="467"/>
      <c r="D320" s="467"/>
      <c r="E320" s="467">
        <v>122557</v>
      </c>
      <c r="F320" s="467"/>
      <c r="G320" s="467"/>
      <c r="H320" s="467"/>
      <c r="I320" s="467"/>
      <c r="J320" s="467"/>
      <c r="K320" s="1671">
        <f t="shared" ref="K320:K327" si="24">SUM(C320:J320)</f>
        <v>122557</v>
      </c>
      <c r="L320" s="467">
        <v>132277</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v>222848</v>
      </c>
      <c r="F323" s="467"/>
      <c r="G323" s="467"/>
      <c r="H323" s="467"/>
      <c r="I323" s="467"/>
      <c r="J323" s="467"/>
      <c r="K323" s="1671">
        <f t="shared" si="24"/>
        <v>222848</v>
      </c>
      <c r="L323" s="467">
        <v>228484</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v>13189</v>
      </c>
      <c r="G325" s="467"/>
      <c r="H325" s="467"/>
      <c r="I325" s="467"/>
      <c r="J325" s="467"/>
      <c r="K325" s="1671">
        <f t="shared" si="24"/>
        <v>13189</v>
      </c>
      <c r="L325" s="467">
        <v>60000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345405</v>
      </c>
      <c r="F330" s="1670">
        <f t="shared" si="25"/>
        <v>13189</v>
      </c>
      <c r="G330" s="1670">
        <f t="shared" si="25"/>
        <v>0</v>
      </c>
      <c r="H330" s="1670">
        <f t="shared" si="25"/>
        <v>0</v>
      </c>
      <c r="I330" s="1670">
        <f t="shared" si="25"/>
        <v>0</v>
      </c>
      <c r="J330" s="1670">
        <f t="shared" si="25"/>
        <v>0</v>
      </c>
      <c r="K330" s="1670">
        <f>SUM(K319:K329)</f>
        <v>358594</v>
      </c>
      <c r="L330" s="1670">
        <f>SUM(L319:L329)</f>
        <v>420761</v>
      </c>
      <c r="M330" s="665"/>
      <c r="N330" s="665"/>
    </row>
    <row r="331" spans="1:14" s="674" customFormat="1" ht="12.75" customHeight="1" thickTop="1" x14ac:dyDescent="0.2">
      <c r="A331" s="1831" t="s">
        <v>1845</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1839</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1841</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1846</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345405</v>
      </c>
      <c r="F342" s="1670">
        <f>SUM(F330)</f>
        <v>13189</v>
      </c>
      <c r="G342" s="1670">
        <f>SUM(G330)</f>
        <v>0</v>
      </c>
      <c r="H342" s="1670">
        <f>SUM(H330,H334,H340)</f>
        <v>0</v>
      </c>
      <c r="I342" s="1670">
        <f>SUM(I330)</f>
        <v>0</v>
      </c>
      <c r="J342" s="1670">
        <f>SUM(J330)</f>
        <v>0</v>
      </c>
      <c r="K342" s="1670">
        <f>SUM(K330,K334,K340)</f>
        <v>358594</v>
      </c>
      <c r="L342" s="1677">
        <f>SUM(L330,L340,L341)</f>
        <v>420761</v>
      </c>
    </row>
    <row r="343" spans="1:14" ht="12.75" customHeight="1" thickTop="1" x14ac:dyDescent="0.2">
      <c r="A343" s="2173" t="s">
        <v>996</v>
      </c>
      <c r="B343" s="2174"/>
      <c r="C343" s="616"/>
      <c r="D343" s="616"/>
      <c r="E343" s="616"/>
      <c r="F343" s="616"/>
      <c r="G343" s="616"/>
      <c r="H343" s="616"/>
      <c r="I343" s="616"/>
      <c r="J343" s="616"/>
      <c r="K343" s="1684">
        <f>'Revenues 9-14'!J268-'Expenditures 15-22'!K342</f>
        <v>65596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1847</v>
      </c>
      <c r="B354" s="683" t="s">
        <v>1839</v>
      </c>
      <c r="C354" s="616"/>
      <c r="D354" s="616"/>
      <c r="E354" s="616"/>
      <c r="F354" s="616"/>
      <c r="G354" s="616"/>
      <c r="H354" s="474"/>
      <c r="I354" s="701"/>
      <c r="J354" s="616"/>
      <c r="K354" s="1699">
        <f>H354</f>
        <v>0</v>
      </c>
      <c r="L354" s="471"/>
    </row>
    <row r="355" spans="1:14" ht="12.75" customHeight="1" x14ac:dyDescent="0.2">
      <c r="A355" s="1513" t="s">
        <v>1848</v>
      </c>
      <c r="B355" s="690" t="s">
        <v>1841</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1484</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1669</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7" t="s">
        <v>996</v>
      </c>
      <c r="B368" s="2188"/>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schemas.microsoft.com/sharepoint/v3"/>
    <ds:schemaRef ds:uri="d21dc803-237d-4c68-8692-8d731fd29118"/>
    <ds:schemaRef ds:uri="http://schemas.microsoft.com/office/2006/metadata/properties"/>
    <ds:schemaRef ds:uri="http://schemas.openxmlformats.org/package/2006/metadata/core-properties"/>
    <ds:schemaRef ds:uri="http://schemas.microsoft.com/office/2006/documentManagement/types"/>
    <ds:schemaRef ds:uri="http://www.w3.org/XML/1998/namespace"/>
    <ds:schemaRef ds:uri="4d435f69-8686-490b-bd6d-b153bf22ab50"/>
    <ds:schemaRef ds:uri="http://purl.org/dc/elements/1.1/"/>
    <ds:schemaRef ds:uri="6ce3111e-7420-4802-b50a-75d4e9a0b980"/>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BAXTER CHRISTOPHER</cp:lastModifiedBy>
  <cp:lastPrinted>2019-09-26T16:49:49Z</cp:lastPrinted>
  <dcterms:created xsi:type="dcterms:W3CDTF">2003-10-29T19:06:34Z</dcterms:created>
  <dcterms:modified xsi:type="dcterms:W3CDTF">2019-11-26T21:19:43Z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ies>
</file>