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9E910B9D-94E3-4CF0-B1E1-A224BDB3B759}" xr6:coauthVersionLast="36" xr6:coauthVersionMax="36" xr10:uidLastSave="{00000000-0000-0000-0000-000000000000}"/>
  <bookViews>
    <workbookView xWindow="-105" yWindow="-105" windowWidth="23250" windowHeight="1257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127" l="1"/>
  <c r="C9" i="4" l="1"/>
  <c r="D42" i="127" l="1"/>
  <c r="D37" i="127" l="1"/>
  <c r="D26" i="127"/>
  <c r="D21" i="127"/>
  <c r="D8" i="127" l="1"/>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F158" i="34"/>
  <c r="B30" i="36"/>
  <c r="B33" i="36" s="1"/>
  <c r="B43" i="36" s="1"/>
  <c r="B56" i="36" s="1"/>
  <c r="B66" i="36" s="1"/>
  <c r="B70" i="36" s="1"/>
  <c r="B74" i="36" s="1"/>
  <c r="D73" i="36"/>
  <c r="C188" i="5"/>
  <c r="B4395" i="106" s="1"/>
  <c r="D4395" i="106" s="1"/>
  <c r="C198" i="5"/>
  <c r="B5246" i="106" s="1"/>
  <c r="D5246" i="106" s="1"/>
  <c r="C204" i="5"/>
  <c r="B5260" i="106" s="1"/>
  <c r="D5260" i="106" s="1"/>
  <c r="C209" i="5"/>
  <c r="C217" i="5"/>
  <c r="C221" i="5"/>
  <c r="C252" i="5"/>
  <c r="B6833" i="106" s="1"/>
  <c r="D6833" i="106" s="1"/>
  <c r="B7761" i="106"/>
  <c r="D7761" i="106" s="1"/>
  <c r="L127" i="29"/>
  <c r="L129" i="29" s="1"/>
  <c r="L139" i="29"/>
  <c r="L149" i="29"/>
  <c r="I7" i="145"/>
  <c r="I6" i="145"/>
  <c r="D78" i="36"/>
  <c r="K75" i="29"/>
  <c r="K130" i="29"/>
  <c r="K185" i="29"/>
  <c r="K122" i="29"/>
  <c r="F15" i="145" s="1"/>
  <c r="F19" i="145" s="1"/>
  <c r="K67" i="29"/>
  <c r="E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B6999" i="106" s="1"/>
  <c r="D6999" i="106" s="1"/>
  <c r="K95" i="29"/>
  <c r="K96" i="29"/>
  <c r="K97" i="29"/>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H28" i="118" s="1"/>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7000" i="106"/>
  <c r="D7000" i="106" s="1"/>
  <c r="B7001" i="106"/>
  <c r="D7001" i="106" s="1"/>
  <c r="B7002" i="106"/>
  <c r="D7002" i="106" s="1"/>
  <c r="B7003" i="106"/>
  <c r="D7003" i="106" s="1"/>
  <c r="B7004" i="106"/>
  <c r="D7004" i="106" s="1"/>
  <c r="B7005" i="106"/>
  <c r="D7005" i="106" s="1"/>
  <c r="B7006" i="106"/>
  <c r="D7006"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9" i="36"/>
  <c r="D71" i="36"/>
  <c r="D72" i="36"/>
  <c r="D79" i="36"/>
  <c r="B63" i="127"/>
  <c r="B64" i="127"/>
  <c r="D26" i="108"/>
  <c r="E26" i="108"/>
  <c r="F26" i="108"/>
  <c r="G26" i="108"/>
  <c r="E27" i="108"/>
  <c r="F27" i="108"/>
  <c r="G27" i="108"/>
  <c r="F31" i="108"/>
  <c r="G28" i="108"/>
  <c r="D31" i="108"/>
  <c r="E31" i="108"/>
  <c r="G31"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C42" i="34"/>
  <c r="D42" i="34"/>
  <c r="C43" i="34"/>
  <c r="D43" i="34"/>
  <c r="C44" i="34"/>
  <c r="D44" i="34"/>
  <c r="C45" i="34"/>
  <c r="D45" i="34"/>
  <c r="C46" i="34"/>
  <c r="D46" i="34"/>
  <c r="F46" i="34"/>
  <c r="C47" i="34"/>
  <c r="D47" i="34"/>
  <c r="C48" i="34"/>
  <c r="D48" i="34"/>
  <c r="C49" i="34"/>
  <c r="D49" i="34"/>
  <c r="C50" i="34"/>
  <c r="D50" i="34"/>
  <c r="C51" i="34"/>
  <c r="D51" i="34"/>
  <c r="C52" i="34"/>
  <c r="C53" i="34"/>
  <c r="D53" i="34"/>
  <c r="C56" i="34"/>
  <c r="F56" i="34"/>
  <c r="C57" i="34"/>
  <c r="D57" i="34"/>
  <c r="C61" i="34"/>
  <c r="C62" i="34"/>
  <c r="F62" i="34"/>
  <c r="C63" i="34"/>
  <c r="D63" i="34"/>
  <c r="C64" i="34"/>
  <c r="F64" i="34"/>
  <c r="C67" i="34"/>
  <c r="D67" i="34"/>
  <c r="F67" i="34"/>
  <c r="C68" i="34"/>
  <c r="D68" i="34"/>
  <c r="F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F14" i="4"/>
  <c r="B2597" i="106" s="1"/>
  <c r="D2597" i="106" s="1"/>
  <c r="B2633" i="106"/>
  <c r="D2633" i="106" s="1"/>
  <c r="D7" i="118"/>
  <c r="D8" i="118"/>
  <c r="D9" i="118"/>
  <c r="H14" i="118"/>
  <c r="H19" i="118"/>
  <c r="H24" i="118"/>
  <c r="L22" i="37"/>
  <c r="G39" i="108" l="1"/>
  <c r="E34" i="108"/>
  <c r="E29" i="108"/>
  <c r="D31" i="36"/>
  <c r="J210" i="29"/>
  <c r="B7072" i="106" s="1"/>
  <c r="D7072" i="106" s="1"/>
  <c r="H76" i="4"/>
  <c r="B3298" i="106" s="1"/>
  <c r="D3298" i="106" s="1"/>
  <c r="F36" i="34"/>
  <c r="H29" i="118"/>
  <c r="K28" i="118" s="1"/>
  <c r="O27" i="118" s="1"/>
  <c r="O29" i="118" s="1"/>
  <c r="B2029" i="106"/>
  <c r="D2029" i="106" s="1"/>
  <c r="M19" i="3"/>
  <c r="B276" i="106" s="1"/>
  <c r="D276" i="106" s="1"/>
  <c r="B131" i="106"/>
  <c r="D131" i="106" s="1"/>
  <c r="J32" i="8"/>
  <c r="J49" i="8" s="1"/>
  <c r="B4172" i="106" s="1"/>
  <c r="D4172" i="106" s="1"/>
  <c r="N21" i="3"/>
  <c r="B282" i="106" s="1"/>
  <c r="D282" i="106" s="1"/>
  <c r="B2026" i="106"/>
  <c r="D2026" i="106" s="1"/>
  <c r="M16" i="3"/>
  <c r="B2028" i="106"/>
  <c r="D2028" i="106" s="1"/>
  <c r="M18" i="3"/>
  <c r="B275" i="106" s="1"/>
  <c r="D275" i="106" s="1"/>
  <c r="B2027" i="106"/>
  <c r="D2027" i="106" s="1"/>
  <c r="M17" i="3"/>
  <c r="B274" i="106" s="1"/>
  <c r="D274" i="106" s="1"/>
  <c r="D11" i="37"/>
  <c r="I210" i="29"/>
  <c r="B7071" i="106" s="1"/>
  <c r="D7071" i="106" s="1"/>
  <c r="J22" i="37"/>
  <c r="B2724" i="106"/>
  <c r="D2724" i="106" s="1"/>
  <c r="D68" i="36"/>
  <c r="L367" i="29"/>
  <c r="G33" i="108"/>
  <c r="D36" i="108"/>
  <c r="F36" i="108"/>
  <c r="J77" i="4"/>
  <c r="B6262" i="106" s="1"/>
  <c r="D6262" i="106" s="1"/>
  <c r="H365" i="29"/>
  <c r="B7242" i="106" s="1"/>
  <c r="D7242" i="106" s="1"/>
  <c r="K76" i="4"/>
  <c r="B3586" i="106" s="1"/>
  <c r="D3586" i="106" s="1"/>
  <c r="G15" i="145"/>
  <c r="F70" i="34"/>
  <c r="E38" i="108"/>
  <c r="D22" i="37"/>
  <c r="D24" i="37"/>
  <c r="B4270" i="106" s="1"/>
  <c r="D4270" i="106" s="1"/>
  <c r="J352" i="29"/>
  <c r="J367" i="29" s="1"/>
  <c r="B7245" i="106" s="1"/>
  <c r="D7245" i="106" s="1"/>
  <c r="B6995" i="106"/>
  <c r="D6995" i="106" s="1"/>
  <c r="D6103" i="106"/>
  <c r="B3647" i="106"/>
  <c r="D3647" i="106" s="1"/>
  <c r="F77" i="4"/>
  <c r="B3255" i="106" s="1"/>
  <c r="D3255" i="106" s="1"/>
  <c r="L5" i="11"/>
  <c r="B2056" i="106" s="1"/>
  <c r="D2056" i="106" s="1"/>
  <c r="L13" i="11"/>
  <c r="B2060" i="106" s="1"/>
  <c r="D2060" i="106" s="1"/>
  <c r="G210" i="29"/>
  <c r="H33" i="118"/>
  <c r="F19" i="7"/>
  <c r="B1807" i="106" s="1"/>
  <c r="D1807" i="106" s="1"/>
  <c r="K184" i="29"/>
  <c r="F13" i="4" s="1"/>
  <c r="B2596" i="106" s="1"/>
  <c r="D2596" i="106" s="1"/>
  <c r="G29" i="108"/>
  <c r="C129" i="29"/>
  <c r="C151" i="29" s="1"/>
  <c r="B1226" i="106" s="1"/>
  <c r="D1226" i="106" s="1"/>
  <c r="C14" i="4"/>
  <c r="B2558" i="106" s="1"/>
  <c r="D2558" i="106" s="1"/>
  <c r="F52" i="34"/>
  <c r="G38" i="108"/>
  <c r="F37" i="108"/>
  <c r="D37" i="108"/>
  <c r="G30" i="108"/>
  <c r="E30" i="108"/>
  <c r="F28" i="108"/>
  <c r="E28" i="108"/>
  <c r="F38" i="34"/>
  <c r="F34" i="34"/>
  <c r="C342" i="29"/>
  <c r="B7216" i="106" s="1"/>
  <c r="D7216" i="106" s="1"/>
  <c r="F50" i="34"/>
  <c r="F42" i="34"/>
  <c r="D17" i="7"/>
  <c r="B4104" i="106" s="1"/>
  <c r="D4104" i="106" s="1"/>
  <c r="B7235" i="106"/>
  <c r="D7235" i="106" s="1"/>
  <c r="L15" i="11"/>
  <c r="B3459" i="106" s="1"/>
  <c r="D3459" i="106" s="1"/>
  <c r="C352" i="29"/>
  <c r="B3621" i="106" s="1"/>
  <c r="D3621" i="106" s="1"/>
  <c r="B1308" i="106"/>
  <c r="D1308" i="106" s="1"/>
  <c r="E174" i="29"/>
  <c r="B1309" i="106" s="1"/>
  <c r="D1309" i="106" s="1"/>
  <c r="D9" i="7"/>
  <c r="B1767" i="106" s="1"/>
  <c r="D1767" i="106" s="1"/>
  <c r="L342" i="29"/>
  <c r="F49" i="34"/>
  <c r="F44" i="34"/>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B3629" i="106" s="1"/>
  <c r="D3629" i="106" s="1"/>
  <c r="I76" i="4"/>
  <c r="L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225" i="106"/>
  <c r="D1225"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D41" i="108"/>
  <c r="E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66" i="5"/>
  <c r="J24" i="12"/>
  <c r="B7730" i="106"/>
  <c r="D7730" i="106" s="1"/>
  <c r="B7270" i="106"/>
  <c r="G170" i="5" l="1"/>
  <c r="B5778" i="106" s="1"/>
  <c r="D5778" i="106" s="1"/>
  <c r="B1328" i="106"/>
  <c r="D1328" i="106" s="1"/>
  <c r="B2031" i="106"/>
  <c r="D2031" i="106" s="1"/>
  <c r="M40" i="3"/>
  <c r="N22" i="3"/>
  <c r="B273" i="106"/>
  <c r="D273" i="106" s="1"/>
  <c r="M23" i="3"/>
  <c r="D7252" i="106"/>
  <c r="D7253" i="106"/>
  <c r="K365" i="29"/>
  <c r="B7243" i="106" s="1"/>
  <c r="D7243" i="106" s="1"/>
  <c r="D7255" i="106"/>
  <c r="G6" i="4"/>
  <c r="B2604" i="106" s="1"/>
  <c r="D2604" i="106" s="1"/>
  <c r="D7254" i="106"/>
  <c r="K77" i="4"/>
  <c r="B3587" i="106" s="1"/>
  <c r="D3587" i="106" s="1"/>
  <c r="D7256" i="106"/>
  <c r="D7251" i="106"/>
  <c r="D7250" i="106"/>
  <c r="B1365" i="106"/>
  <c r="D1365" i="106" s="1"/>
  <c r="F65" i="34"/>
  <c r="K342" i="29"/>
  <c r="F13" i="34" s="1"/>
  <c r="B1381" i="106"/>
  <c r="D1381" i="106" s="1"/>
  <c r="B1317" i="106"/>
  <c r="D1317" i="106" s="1"/>
  <c r="B5527" i="106"/>
  <c r="D5527" i="106" s="1"/>
  <c r="F41" i="108"/>
  <c r="G43" i="108" s="1"/>
  <c r="C114" i="29"/>
  <c r="B757" i="106" s="1"/>
  <c r="D757" i="106" s="1"/>
  <c r="F174" i="34"/>
  <c r="J16" i="4"/>
  <c r="B6226" i="106" s="1"/>
  <c r="D6226" i="106" s="1"/>
  <c r="L16" i="11"/>
  <c r="B2061" i="106" s="1"/>
  <c r="D2061" i="106" s="1"/>
  <c r="C367" i="29"/>
  <c r="B3622" i="106" s="1"/>
  <c r="D3622" i="106" s="1"/>
  <c r="B7215" i="106"/>
  <c r="D7215" i="106" s="1"/>
  <c r="L114" i="29"/>
  <c r="B1996" i="106"/>
  <c r="D1996" i="106" s="1"/>
  <c r="I26" i="12"/>
  <c r="B7741" i="106" s="1"/>
  <c r="D7741" i="106" s="1"/>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0" i="5"/>
  <c r="F4" i="4"/>
  <c r="B2591" i="106" s="1"/>
  <c r="D2591" i="106" s="1"/>
  <c r="B5588" i="106"/>
  <c r="D5588" i="106" s="1"/>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M41" i="3" l="1"/>
  <c r="B281" i="106" s="1"/>
  <c r="D281" i="106" s="1"/>
  <c r="B280" i="106"/>
  <c r="D280" i="106" s="1"/>
  <c r="B283" i="106"/>
  <c r="D283" i="106" s="1"/>
  <c r="N23" i="3"/>
  <c r="B284" i="106" s="1"/>
  <c r="D284" i="106" s="1"/>
  <c r="B279" i="106"/>
  <c r="D279" i="106" s="1"/>
  <c r="D54" i="36"/>
  <c r="B7224" i="106"/>
  <c r="D7224" i="106" s="1"/>
  <c r="F24" i="37"/>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B3575" i="106" s="1"/>
  <c r="D3575" i="106" s="1"/>
  <c r="J19" i="4"/>
  <c r="B6229" i="106" s="1"/>
  <c r="D6229" i="106" s="1"/>
  <c r="J20" i="4"/>
  <c r="J78" i="4" s="1"/>
  <c r="B6223" i="106"/>
  <c r="D6223"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l="1"/>
  <c r="D6230"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J39" i="3" s="1"/>
  <c r="B6263" i="106"/>
  <c r="D6263" i="106" s="1"/>
  <c r="F175" i="34" l="1"/>
  <c r="F79" i="34"/>
  <c r="B6215" i="106"/>
  <c r="D6215" i="106" s="1"/>
  <c r="J41" i="3"/>
  <c r="D78" i="4"/>
  <c r="D81" i="4" s="1"/>
  <c r="B3588" i="106"/>
  <c r="D3588" i="106" s="1"/>
  <c r="K81" i="4"/>
  <c r="K39" i="3" s="1"/>
  <c r="F78" i="4"/>
  <c r="B2601" i="106"/>
  <c r="D2601" i="106" s="1"/>
  <c r="B3320" i="106"/>
  <c r="D3320" i="106" s="1"/>
  <c r="I81" i="4"/>
  <c r="I39" i="3" s="1"/>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F177" i="34" l="1"/>
  <c r="F179" i="34" s="1"/>
  <c r="B3567" i="106"/>
  <c r="D3567" i="106" s="1"/>
  <c r="K41" i="3"/>
  <c r="D51" i="36"/>
  <c r="B6216" i="106"/>
  <c r="D6216" i="106" s="1"/>
  <c r="B2912" i="106"/>
  <c r="D2912" i="106" s="1"/>
  <c r="I41" i="3"/>
  <c r="B212" i="106"/>
  <c r="D212" i="106" s="1"/>
  <c r="H41" i="3"/>
  <c r="B3239" i="106"/>
  <c r="D3239" i="106" s="1"/>
  <c r="B123" i="106"/>
  <c r="D123" i="106" s="1"/>
  <c r="D41" i="3"/>
  <c r="B3278" i="106"/>
  <c r="D3278" i="106" s="1"/>
  <c r="E81" i="4"/>
  <c r="E39" i="3" s="1"/>
  <c r="B3233" i="106"/>
  <c r="D3233" i="106" s="1"/>
  <c r="C81" i="4"/>
  <c r="A7263" i="106"/>
  <c r="D7262" i="106"/>
  <c r="B1700" i="106"/>
  <c r="D1700" i="106" s="1"/>
  <c r="H82" i="4"/>
  <c r="D62" i="36"/>
  <c r="J20" i="118"/>
  <c r="O16" i="118"/>
  <c r="K20" i="118"/>
  <c r="F81" i="4"/>
  <c r="F39" i="3" s="1"/>
  <c r="B3256" i="106"/>
  <c r="D3256" i="106" s="1"/>
  <c r="G81" i="4"/>
  <c r="G39"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B3568" i="106" l="1"/>
  <c r="D3568" i="106" s="1"/>
  <c r="D52" i="36"/>
  <c r="B2913" i="106"/>
  <c r="D2913" i="106" s="1"/>
  <c r="D50" i="36"/>
  <c r="B213" i="106"/>
  <c r="D213" i="106" s="1"/>
  <c r="D49" i="36"/>
  <c r="B189" i="106"/>
  <c r="D189" i="106" s="1"/>
  <c r="G41" i="3"/>
  <c r="B170" i="106"/>
  <c r="D170" i="106" s="1"/>
  <c r="F41" i="3"/>
  <c r="B140" i="106"/>
  <c r="D140" i="106" s="1"/>
  <c r="E41" i="3"/>
  <c r="B124" i="106"/>
  <c r="D124" i="106" s="1"/>
  <c r="D45" i="36"/>
  <c r="B92" i="106"/>
  <c r="D92" i="106" s="1"/>
  <c r="D76" i="36"/>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B190" i="106" l="1"/>
  <c r="D190" i="106" s="1"/>
  <c r="D48" i="36"/>
  <c r="B171" i="106"/>
  <c r="D171" i="106" s="1"/>
  <c r="D47" i="36"/>
  <c r="D46" i="36"/>
  <c r="B141" i="106"/>
  <c r="D141" i="106" s="1"/>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<sst xmlns="http://schemas.openxmlformats.org/spreadsheetml/2006/main" count="5145" uniqueCount="2145">
  <si>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</si>
  <si>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</si>
  <si>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</si>
  <si>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</si>
  <si>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</si>
  <si>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</si>
  <si>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</si>
  <si>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</si>
  <si>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</si>
  <si>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</si>
  <si>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</si>
  <si>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</si>
  <si>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</si>
  <si>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</si>
  <si>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</si>
  <si>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</si>
  <si>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</si>
  <si>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</si>
  <si>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</si>
  <si>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</si>
  <si>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</si>
  <si>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</si>
  <si>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</si>
  <si>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</si>
  <si>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</si>
  <si>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</si>
  <si>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</si>
  <si>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</si>
  <si>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</si>
  <si>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</si>
  <si>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</si>
  <si>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</si>
  <si>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</si>
  <si>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</si>
  <si>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</si>
  <si>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</si>
  <si>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</si>
  <si>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</si>
  <si>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</si>
  <si>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</si>
  <si>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</si>
  <si>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</si>
  <si>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</si>
  <si>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</si>
  <si>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</si>
  <si>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</si>
  <si>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</si>
  <si>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</si>
  <si>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</si>
  <si>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</si>
  <si>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</si>
  <si>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</si>
  <si>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</si>
  <si>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</si>
  <si>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</si>
  <si>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</si>
  <si>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</si>
  <si>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</si>
  <si>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</si>
  <si>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</si>
  <si>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</si>
  <si>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</si>
  <si>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</si>
  <si>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</si>
  <si>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</si>
  <si>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</si>
  <si>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</si>
  <si>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</si>
  <si>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</si>
  <si>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</si>
  <si>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</si>
  <si>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</si>
  <si>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</si>
  <si>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</si>
  <si>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</si>
  <si>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</si>
  <si>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</si>
  <si>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</si>
  <si>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</si>
  <si>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</si>
  <si>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</si>
  <si>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</si>
  <si>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</si>
  <si>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</si>
  <si>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</si>
  <si>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</si>
  <si>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</si>
  <si>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</si>
  <si>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</si>
  <si>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</si>
  <si>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</si>
  <si>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</si>
  <si>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</si>
  <si>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</si>
  <si>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</si>
  <si>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</si>
  <si>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</si>
  <si>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</si>
  <si>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</si>
  <si>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</si>
  <si>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</si>
  <si>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</si>
  <si>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</si>
  <si>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</si>
  <si>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</si>
  <si>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</si>
  <si>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</si>
  <si>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</si>
  <si>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</si>
  <si>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</si>
  <si>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</si>
  <si>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</si>
  <si>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</si>
  <si>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</si>
  <si>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</si>
  <si>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</si>
  <si>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</si>
  <si>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</si>
  <si>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</si>
  <si>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</si>
  <si>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</si>
  <si>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</si>
  <si>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</si>
  <si>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</si>
  <si>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</si>
  <si>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</si>
  <si>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</si>
  <si>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</si>
  <si>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</si>
  <si>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</si>
  <si>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</si>
  <si>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</si>
  <si>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</si>
  <si>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</si>
  <si>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</si>
  <si>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</si>
  <si>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</si>
  <si>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</si>
  <si>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</si>
  <si>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</si>
  <si>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</si>
  <si>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</si>
  <si>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</si>
  <si>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</si>
  <si>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</si>
  <si>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</si>
  <si>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</si>
  <si>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</si>
  <si>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</si>
  <si>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</si>
  <si>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</si>
  <si>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</si>
  <si>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</si>
  <si>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</si>
  <si>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</si>
  <si>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</si>
  <si>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</si>
  <si>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</si>
  <si>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</si>
  <si>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</si>
  <si>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</si>
  <si>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</si>
  <si>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</si>
  <si>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</si>
  <si>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</si>
  <si>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</si>
  <si>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</si>
  <si>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</si>
  <si>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</si>
  <si>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</si>
  <si>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</si>
  <si>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</si>
  <si>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</si>
  <si>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</si>
  <si>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</si>
  <si>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</si>
  <si>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</si>
  <si>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</si>
  <si>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</si>
  <si>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</si>
  <si>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</si>
  <si>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</si>
  <si>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</si>
  <si>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</si>
  <si>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</si>
  <si>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</si>
  <si>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</si>
  <si>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</si>
  <si>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</si>
  <si>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</si>
  <si>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</si>
  <si>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</si>
  <si>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</si>
  <si>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</si>
  <si>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</si>
  <si>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</si>
  <si>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</si>
  <si>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</si>
  <si>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</si>
  <si>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</si>
  <si>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</si>
  <si>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</si>
  <si>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</si>
  <si>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</si>
  <si>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</si>
  <si>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</si>
  <si>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</si>
  <si>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</si>
  <si>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</si>
  <si>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</si>
  <si>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</si>
  <si>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</si>
  <si>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</si>
  <si>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</si>
  <si>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</si>
  <si>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</si>
  <si>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</si>
  <si>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</si>
  <si>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</si>
  <si>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</si>
  <si>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</si>
  <si>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</si>
  <si>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</si>
  <si>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</si>
  <si>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</si>
  <si>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</si>
  <si>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</si>
  <si>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</si>
  <si>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</si>
  <si>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</si>
  <si>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</si>
  <si>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</si>
  <si>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</si>
  <si>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</si>
  <si>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</si>
  <si>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</si>
  <si>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</si>
  <si>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</si>
  <si>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</si>
  <si>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</si>
  <si>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</si>
  <si>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</si>
  <si>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</si>
  <si>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</si>
  <si>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</si>
  <si>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</si>
  <si>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</si>
  <si>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</si>
  <si>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</si>
  <si>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</si>
  <si>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</si>
  <si>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</si>
  <si>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</si>
  <si>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</si>
  <si>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</si>
  <si>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</si>
  <si>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</si>
  <si>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</si>
  <si>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</si>
  <si>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</si>
  <si>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</si>
  <si>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</si>
  <si>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</si>
  <si>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</si>
  <si>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</si>
  <si>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</si>
  <si>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</si>
  <si>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</si>
  <si>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</si>
  <si>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</si>
  <si>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</si>
  <si>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</si>
  <si>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</si>
  <si>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</si>
  <si>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</si>
  <si>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</si>
  <si>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</si>
  <si>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</si>
  <si>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</si>
  <si>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</si>
  <si>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</si>
  <si>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</si>
  <si>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</si>
  <si>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</si>
  <si>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</si>
  <si>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</si>
  <si>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</si>
  <si>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</si>
  <si>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</si>
  <si>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</si>
  <si>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</si>
  <si>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</si>
  <si>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</si>
  <si>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</si>
  <si>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</si>
  <si>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</si>
  <si>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</si>
  <si>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</si>
  <si>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</si>
  <si>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</si>
  <si>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</si>
  <si>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</si>
  <si>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</si>
  <si>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</si>
  <si>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</si>
  <si>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</si>
  <si>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</si>
  <si>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</si>
  <si>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</si>
  <si>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</si>
  <si>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</si>
  <si>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</si>
  <si>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</si>
  <si>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</si>
  <si>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</si>
  <si>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</si>
  <si>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</si>
  <si>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</si>
  <si>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</si>
  <si>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</si>
  <si>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</si>
  <si>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</si>
  <si>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</si>
  <si>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</si>
  <si>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</si>
  <si>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</si>
  <si>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</si>
  <si>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</si>
  <si>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</si>
  <si>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</si>
  <si>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</si>
  <si>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</si>
  <si>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</si>
  <si>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</si>
  <si>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</si>
  <si>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</si>
  <si>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</si>
  <si>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</si>
  <si>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</si>
  <si>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</si>
  <si>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</si>
  <si>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</si>
  <si>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</si>
  <si>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</si>
  <si>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</si>
  <si>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</si>
  <si>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</si>
  <si>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</si>
  <si>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</si>
  <si>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</si>
  <si>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</si>
  <si>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</si>
  <si>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</si>
  <si>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</si>
  <si>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</si>
  <si>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</si>
  <si>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</si>
  <si>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</si>
  <si>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</si>
  <si>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</si>
  <si>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</si>
  <si>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</si>
  <si>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</si>
  <si>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</si>
  <si>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</si>
  <si>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</si>
  <si>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</si>
  <si>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</si>
  <si>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</si>
  <si>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</si>
  <si>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</si>
  <si>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</si>
  <si>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</si>
  <si>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</si>
  <si>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</si>
  <si>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</si>
  <si>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</si>
  <si>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</si>
  <si>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</si>
  <si>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</si>
  <si>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</si>
  <si>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</si>
  <si>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</si>
  <si>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</si>
  <si>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</si>
  <si>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</si>
  <si>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</si>
  <si>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</si>
  <si>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</si>
  <si>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</si>
  <si>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</si>
  <si>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</si>
  <si>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</si>
  <si>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</si>
  <si>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</si>
  <si>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</si>
  <si>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</si>
  <si>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</si>
  <si>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</si>
  <si>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</si>
  <si>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</si>
  <si>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</si>
  <si>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</si>
  <si>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</si>
  <si>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</si>
  <si>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</si>
  <si>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</si>
  <si>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</si>
  <si>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</si>
  <si>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</si>
  <si>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</si>
  <si>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</si>
  <si>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</si>
  <si>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</si>
  <si>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</si>
  <si>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</si>
  <si>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</si>
  <si>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</si>
  <si>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</si>
  <si>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</si>
  <si>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</si>
  <si>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</si>
  <si>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</si>
  <si>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</si>
  <si>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</si>
  <si>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</si>
  <si>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</si>
  <si>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</si>
  <si>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</si>
  <si>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</si>
  <si>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</si>
  <si>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</si>
  <si>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</si>
  <si>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</si>
  <si>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</si>
  <si>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</si>
  <si>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</si>
  <si>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</si>
  <si>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</si>
  <si>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</si>
  <si>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</si>
  <si>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</si>
  <si>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</si>
  <si>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</si>
  <si>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</si>
  <si>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</si>
  <si>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</si>
  <si>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</si>
  <si>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</si>
  <si>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</si>
  <si>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</si>
  <si>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</si>
  <si>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</si>
  <si>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</si>
  <si>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</si>
  <si>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</si>
  <si>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</si>
  <si>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</si>
  <si>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</si>
  <si>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</si>
  <si>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</si>
  <si>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</si>
  <si>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</si>
  <si>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</si>
  <si>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</si>
  <si>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</si>
  <si>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</si>
  <si>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</si>
  <si>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</si>
  <si>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</si>
  <si>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</si>
  <si>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</si>
  <si>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</si>
  <si>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</si>
  <si>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</si>
  <si>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</si>
  <si>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</si>
  <si>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</si>
  <si>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</si>
  <si>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</si>
  <si>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</si>
  <si>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</si>
  <si>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</si>
  <si>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</si>
  <si>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</si>
  <si>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</si>
  <si>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</si>
  <si>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</si>
  <si>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</si>
  <si>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</si>
  <si>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</si>
  <si>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</si>
  <si>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</si>
  <si>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</si>
  <si>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</si>
  <si>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</si>
  <si>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</si>
  <si>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</si>
  <si>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</si>
  <si>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</si>
  <si>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</si>
  <si>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</si>
  <si>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</si>
  <si>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</si>
  <si>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</si>
  <si>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</si>
  <si>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</si>
  <si>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</si>
  <si>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</si>
  <si>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</si>
  <si>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</si>
  <si>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</si>
  <si>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</si>
  <si>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</si>
  <si>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</si>
  <si>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</si>
  <si>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</si>
  <si>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</si>
  <si>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</si>
  <si>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</si>
  <si>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</si>
  <si>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</si>
  <si>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</si>
  <si>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</si>
  <si>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</si>
  <si>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</si>
  <si>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</si>
  <si>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</si>
  <si>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</si>
  <si>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</si>
  <si>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</si>
  <si>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</si>
  <si>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</si>
  <si>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</si>
  <si>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</si>
  <si>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</si>
  <si>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</si>
  <si>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</si>
  <si>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</si>
  <si>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</si>
  <si>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</si>
  <si>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</si>
  <si>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</si>
  <si>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</si>
  <si>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</si>
  <si>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</si>
  <si>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</si>
  <si>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</si>
  <si>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</si>
  <si>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</si>
  <si>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</si>
  <si>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</si>
  <si>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</si>
  <si>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</si>
  <si>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</si>
  <si>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</si>
  <si>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</si>
  <si>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</si>
  <si>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</si>
  <si>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</si>
  <si>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</si>
  <si>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</si>
  <si>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</si>
  <si>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</si>
  <si>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</si>
  <si>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</si>
  <si>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</si>
  <si>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</si>
  <si>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</si>
  <si>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</si>
  <si>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</si>
  <si>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</si>
  <si>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</si>
  <si>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</si>
  <si>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</si>
  <si>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</si>
  <si>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</si>
  <si>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</si>
  <si>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</si>
  <si>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</si>
  <si>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</si>
  <si>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</si>
  <si>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</si>
  <si>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</si>
  <si>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</si>
  <si>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</si>
  <si>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</si>
  <si>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</si>
  <si>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</si>
  <si>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</si>
  <si>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</si>
  <si>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</si>
  <si>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</si>
  <si>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</si>
  <si>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</si>
  <si>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</si>
  <si>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</si>
  <si>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</si>
  <si>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</si>
  <si>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</si>
  <si>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</si>
  <si>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</si>
  <si>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</si>
  <si>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</si>
  <si>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</si>
  <si>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</si>
  <si>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</si>
  <si>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</si>
  <si>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</si>
  <si>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</si>
  <si>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</si>
  <si>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</si>
  <si>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</si>
  <si>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</si>
  <si>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</si>
  <si>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</si>
  <si>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</si>
  <si>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</si>
  <si>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</si>
  <si>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</si>
  <si>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</si>
  <si>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</si>
  <si>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</si>
  <si>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</si>
  <si>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</si>
  <si>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</si>
  <si>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</si>
  <si>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</si>
  <si>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</si>
  <si>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</si>
  <si>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</si>
  <si>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</si>
  <si>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</si>
  <si>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</si>
  <si>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</si>
  <si>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</si>
  <si>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</si>
  <si>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</si>
  <si>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</si>
  <si>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</si>
  <si>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</si>
  <si>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</si>
  <si>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</si>
  <si>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</si>
  <si>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</si>
  <si>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</si>
  <si>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</si>
  <si>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</si>
  <si>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</si>
  <si>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</si>
  <si>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</si>
  <si>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</si>
  <si>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</si>
  <si>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</si>
  <si>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</si>
  <si>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</si>
  <si>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</si>
  <si>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</si>
  <si>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</si>
  <si>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</si>
  <si>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</si>
  <si>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</si>
  <si>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</si>
  <si>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</si>
  <si>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</si>
  <si>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</si>
  <si>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</si>
  <si>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</si>
  <si>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</si>
  <si>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</si>
  <si>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</si>
  <si>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</si>
  <si>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</si>
  <si>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</si>
  <si>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</si>
  <si>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</si>
  <si>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</si>
  <si>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</si>
  <si>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</si>
  <si>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</si>
  <si>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</si>
  <si>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</si>
  <si>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</si>
  <si>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</si>
  <si>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</si>
  <si>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</si>
  <si>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</si>
  <si>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</si>
  <si>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</si>
  <si>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</si>
  <si>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</si>
  <si>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</si>
  <si>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</si>
  <si>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</si>
  <si>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</si>
  <si>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</si>
  <si>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</si>
  <si>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</si>
  <si>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</si>
  <si>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</si>
  <si>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</si>
  <si>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</si>
  <si>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</si>
  <si>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</si>
  <si>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</si>
  <si>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</si>
  <si>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</si>
  <si>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</si>
  <si>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</si>
  <si>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</si>
  <si>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</si>
  <si>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</si>
  <si>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</si>
  <si>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</si>
  <si>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</si>
  <si>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</si>
  <si>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</si>
  <si>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</si>
  <si>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</si>
  <si>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</si>
  <si>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</si>
  <si>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</si>
  <si>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</si>
  <si>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</si>
  <si>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</si>
  <si>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</si>
  <si>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</si>
  <si>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</si>
  <si>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</si>
  <si>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</si>
  <si>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</si>
  <si>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</si>
  <si>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</si>
  <si>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</si>
  <si>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</si>
  <si>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</si>
  <si>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</si>
  <si>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</si>
  <si>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</si>
  <si>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</si>
  <si>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</si>
  <si>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</si>
  <si>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</si>
  <si>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</si>
  <si>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</si>
  <si>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</si>
  <si>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</si>
  <si>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</si>
  <si>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</si>
  <si>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</si>
  <si>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</si>
  <si>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</si>
  <si>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</si>
  <si>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</si>
  <si>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</si>
  <si>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</si>
  <si>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</si>
  <si>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</si>
  <si>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</si>
  <si>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</si>
  <si>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</si>
  <si>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</si>
  <si>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</si>
  <si>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</si>
  <si>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</si>
  <si>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</si>
  <si>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</si>
  <si>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</si>
  <si>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</si>
  <si>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</si>
  <si>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</si>
  <si>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</si>
  <si>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</si>
  <si>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</si>
  <si>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</si>
  <si>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</si>
  <si>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</si>
  <si>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</si>
  <si>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</si>
  <si>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</si>
  <si>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</si>
  <si>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</si>
  <si>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</si>
  <si>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</si>
  <si>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</si>
  <si>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</si>
  <si>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</si>
  <si>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</si>
  <si>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</si>
  <si>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</si>
  <si>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</si>
  <si>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</si>
  <si>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</si>
  <si>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</si>
  <si>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</si>
  <si>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</si>
  <si>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</si>
  <si>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</si>
  <si>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</si>
  <si>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</si>
  <si>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</si>
  <si>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</si>
  <si>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</si>
  <si>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</si>
  <si>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</si>
  <si>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</si>
  <si>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</si>
  <si>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</si>
  <si>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</si>
  <si>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</si>
  <si>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</si>
  <si>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</si>
  <si>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</si>
  <si>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</si>
  <si>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</si>
  <si>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</si>
  <si>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</si>
  <si>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</si>
  <si>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</si>
  <si>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</si>
  <si>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</si>
  <si>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</si>
  <si>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</si>
  <si>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</si>
  <si>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</si>
  <si>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</si>
  <si>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</si>
  <si>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</si>
  <si>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</si>
  <si>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</si>
  <si>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</si>
  <si>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</si>
  <si>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</si>
  <si>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</si>
  <si>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</si>
  <si>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</si>
  <si>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</si>
  <si>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</si>
  <si>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</si>
  <si>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</si>
  <si>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</si>
  <si>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</si>
  <si>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</si>
  <si>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</si>
  <si>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</si>
  <si>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</si>
  <si>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</si>
  <si>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</si>
  <si>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</si>
  <si>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</si>
  <si>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</si>
  <si>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</si>
  <si>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</si>
  <si>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</si>
  <si>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</si>
  <si>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</si>
  <si>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</si>
  <si>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</si>
  <si>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</si>
  <si>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</si>
  <si>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</si>
  <si>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</si>
  <si>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</si>
  <si>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</si>
  <si>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</si>
  <si>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</si>
  <si>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</si>
  <si>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</si>
  <si>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</si>
  <si>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</si>
  <si>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</si>
  <si>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</si>
  <si>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</si>
  <si>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</si>
  <si>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</si>
  <si>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</si>
  <si>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</si>
  <si>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</si>
  <si>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</si>
  <si>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</si>
  <si>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</si>
  <si>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</si>
  <si>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</si>
  <si>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</si>
  <si>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</si>
  <si>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</si>
  <si>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</si>
  <si>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</si>
  <si>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</si>
  <si>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</si>
  <si>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</si>
  <si>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</si>
  <si>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</si>
  <si>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</si>
  <si>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</si>
  <si>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</si>
  <si>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</si>
  <si>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</si>
  <si>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</si>
  <si>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</si>
  <si>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</si>
  <si>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</si>
  <si>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</si>
  <si>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</si>
  <si>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</si>
  <si>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</si>
  <si>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</si>
  <si>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</si>
  <si>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</si>
  <si>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</si>
  <si>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</si>
  <si>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</si>
  <si>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</si>
  <si>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</si>
  <si>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</si>
  <si>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</si>
  <si>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</si>
  <si>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</si>
  <si>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</si>
  <si>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</si>
  <si>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</si>
  <si>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</si>
  <si>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</si>
  <si>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</si>
  <si>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</si>
  <si>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</si>
  <si>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</si>
  <si>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</si>
  <si>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</si>
  <si>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</si>
  <si>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</si>
  <si>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</si>
  <si>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</si>
  <si>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</si>
  <si>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</si>
  <si>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</si>
  <si>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</si>
  <si>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</si>
  <si>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</si>
  <si>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</si>
  <si>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</si>
  <si>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</si>
  <si>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</si>
  <si>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</si>
  <si>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</si>
  <si>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</si>
  <si>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</si>
  <si>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</si>
  <si>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</si>
  <si>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</si>
  <si>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</si>
  <si>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</si>
  <si>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</si>
  <si>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</si>
  <si>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</si>
  <si>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</si>
  <si>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</si>
  <si>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</si>
  <si>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</si>
  <si>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</si>
  <si>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</si>
  <si>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</si>
  <si>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</si>
  <si>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</si>
  <si>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</si>
  <si>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</si>
  <si>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</si>
  <si>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</si>
  <si>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</si>
  <si>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</si>
  <si>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</si>
  <si>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</si>
  <si>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</si>
  <si>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</si>
  <si>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</si>
  <si>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</si>
  <si>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</si>
  <si>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</si>
  <si>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</si>
  <si>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</si>
  <si>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</si>
  <si>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</si>
  <si>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</si>
  <si>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</si>
  <si>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</si>
  <si>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</si>
  <si>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</si>
  <si>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</si>
  <si>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</si>
  <si>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</si>
  <si>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</si>
  <si>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</si>
  <si>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</si>
  <si>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</si>
  <si>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</si>
  <si>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</si>
  <si>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</si>
  <si>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</si>
  <si>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</si>
  <si>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</si>
  <si>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</si>
  <si>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</si>
  <si>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</si>
  <si>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</si>
  <si>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</si>
  <si>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</si>
  <si>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</si>
  <si>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</si>
  <si>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</si>
  <si>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</si>
  <si>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</si>
  <si>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</si>
  <si>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</si>
  <si>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</si>
  <si>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</si>
  <si>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</si>
  <si>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</si>
  <si>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</si>
  <si>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</si>
  <si>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</si>
  <si>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</si>
  <si>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</si>
  <si>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</si>
  <si>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</si>
  <si>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</si>
  <si>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</si>
  <si>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</si>
  <si>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</si>
  <si>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</si>
  <si>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</si>
  <si>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</si>
  <si>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</si>
  <si>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</si>
  <si>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</si>
  <si>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</si>
  <si>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</si>
  <si>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</si>
  <si>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</si>
  <si>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</si>
  <si>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</si>
  <si>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</si>
  <si>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</si>
  <si>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</si>
  <si>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</si>
  <si>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</si>
  <si>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</si>
  <si>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</si>
  <si>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</si>
  <si>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</si>
  <si>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</si>
  <si>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</si>
  <si>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</si>
  <si>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</si>
  <si>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</si>
  <si>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</si>
  <si>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</si>
  <si>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</si>
  <si>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</si>
  <si>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</si>
  <si>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</si>
  <si>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</si>
  <si>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</si>
  <si>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</si>
  <si>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</si>
  <si>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</si>
  <si>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</si>
  <si>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</si>
  <si>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</si>
  <si>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</si>
  <si>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</si>
  <si>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</si>
  <si>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</si>
  <si>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</si>
  <si>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</si>
  <si>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</si>
  <si>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</si>
  <si>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</si>
  <si>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</si>
  <si>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</si>
  <si>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</si>
  <si>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</si>
  <si>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</si>
  <si>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</si>
  <si>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</si>
  <si>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</si>
  <si>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</si>
  <si>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</si>
  <si>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</si>
  <si>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</si>
  <si>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</si>
  <si>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</si>
  <si>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</si>
  <si>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</si>
  <si>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</si>
  <si>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</si>
  <si>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</si>
  <si>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</si>
  <si>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</si>
  <si>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</si>
  <si>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</si>
  <si>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</si>
  <si>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</si>
  <si>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</si>
  <si>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</si>
  <si>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</si>
  <si>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</si>
  <si>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</si>
  <si>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</si>
  <si>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</si>
  <si>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</si>
  <si>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</si>
  <si>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</si>
  <si>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</si>
  <si>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</si>
  <si>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</si>
  <si>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</si>
  <si>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</si>
  <si>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</si>
  <si>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</si>
  <si>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</si>
  <si>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</si>
  <si>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</si>
  <si>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</si>
  <si>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</si>
  <si>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</si>
  <si>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</si>
  <si>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</si>
  <si>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</si>
  <si>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</si>
  <si>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</si>
  <si>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</si>
  <si>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</si>
  <si>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</si>
  <si>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</si>
  <si>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</si>
  <si>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</si>
  <si>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</si>
  <si>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</si>
  <si>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</si>
  <si>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</si>
  <si>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</si>
  <si>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</si>
  <si>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</si>
  <si>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</si>
  <si>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</si>
  <si>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</si>
  <si>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</si>
  <si>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</si>
  <si>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</si>
  <si>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</si>
  <si>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</si>
  <si>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</si>
  <si>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</si>
  <si>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</si>
  <si>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</si>
  <si>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</si>
  <si>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</si>
  <si>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</si>
  <si>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</si>
  <si>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</si>
  <si>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</si>
  <si>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</si>
  <si>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</si>
  <si>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</si>
  <si>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</si>
  <si>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</si>
  <si>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</si>
  <si>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</si>
  <si>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</si>
  <si>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</si>
  <si>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</si>
  <si>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</si>
  <si>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</si>
  <si>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</si>
  <si>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</si>
  <si>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</si>
  <si>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</si>
  <si>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</si>
  <si>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</si>
  <si>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</si>
  <si>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</si>
  <si>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</si>
  <si>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</si>
  <si>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</si>
  <si>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</si>
  <si>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</si>
  <si>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</si>
  <si>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</si>
  <si>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</si>
  <si>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</si>
  <si>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</si>
  <si>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</si>
  <si>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</si>
  <si>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</si>
  <si>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</si>
  <si>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</si>
  <si>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</si>
  <si>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</si>
  <si>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</si>
  <si>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</si>
  <si>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</si>
  <si>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</si>
  <si>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</si>
  <si>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</si>
  <si>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</si>
  <si>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</si>
  <si>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</si>
  <si>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</si>
  <si>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</si>
  <si>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</si>
  <si>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</si>
  <si>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</si>
  <si>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</si>
  <si>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</si>
  <si>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</si>
  <si>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</si>
  <si>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</si>
  <si>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</si>
  <si>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</si>
  <si>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</si>
  <si>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</si>
  <si>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</si>
  <si>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</si>
  <si>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</si>
  <si>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</si>
  <si>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</si>
  <si>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</si>
  <si>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</si>
  <si>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</si>
  <si>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</si>
  <si>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</si>
  <si>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</si>
  <si>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</si>
  <si>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</si>
  <si>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</si>
  <si>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</si>
  <si>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</si>
  <si>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</si>
  <si>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</si>
  <si>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</si>
  <si>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</si>
  <si>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</si>
  <si>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</si>
  <si>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</si>
  <si>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</si>
  <si>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</si>
  <si>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</si>
  <si>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</si>
  <si>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</si>
  <si>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</si>
  <si>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</si>
  <si>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</si>
  <si>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</si>
  <si>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</si>
  <si>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</si>
  <si>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</si>
  <si>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</si>
  <si>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</si>
  <si>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</si>
  <si>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</si>
  <si>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</si>
  <si>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</si>
  <si>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</si>
  <si>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</si>
  <si>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</si>
  <si>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</si>
  <si>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</si>
  <si>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</si>
  <si>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</si>
  <si>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</si>
  <si>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</si>
  <si>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</si>
  <si>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</si>
  <si>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</si>
  <si>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</si>
  <si>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</si>
  <si>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</si>
  <si>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</si>
  <si>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</si>
  <si>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</si>
  <si>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</si>
  <si>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</si>
  <si>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</si>
  <si>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</si>
  <si>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</si>
  <si>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</si>
  <si>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</si>
  <si>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</si>
  <si>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</si>
  <si>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</si>
  <si>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</si>
  <si>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</si>
  <si>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</si>
  <si>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</si>
  <si>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</si>
  <si>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</si>
  <si>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</si>
  <si>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</si>
  <si>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</si>
  <si>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</si>
  <si>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</si>
  <si>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</si>
  <si>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</si>
  <si>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</si>
  <si>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</si>
  <si>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</si>
  <si>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</si>
  <si>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</si>
  <si>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</si>
  <si>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</si>
  <si>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</si>
  <si>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</si>
  <si>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</si>
  <si>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</si>
  <si>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</si>
  <si>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</si>
  <si>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</si>
  <si>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</si>
  <si>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</si>
  <si>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</si>
  <si>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</si>
  <si>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</si>
  <si>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</si>
  <si>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</si>
  <si>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</si>
  <si>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</si>
  <si>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</si>
  <si>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</si>
  <si>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</si>
  <si>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</si>
  <si>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</si>
  <si>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</si>
  <si>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</si>
  <si>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</si>
  <si>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</si>
  <si>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</si>
  <si>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</si>
  <si>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</si>
  <si>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</si>
  <si>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</si>
  <si>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</si>
  <si>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</si>
  <si>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</si>
  <si>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</si>
  <si>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</si>
  <si>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</si>
  <si>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</si>
  <si>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</si>
  <si>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</si>
  <si>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</si>
  <si>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</si>
  <si>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</si>
  <si>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</si>
  <si>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</si>
  <si>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</si>
  <si>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</si>
  <si>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</si>
  <si>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</si>
  <si>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</si>
  <si>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</si>
  <si>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</si>
  <si>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</si>
  <si>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</si>
  <si>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</si>
  <si>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</si>
  <si>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</si>
  <si>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</si>
  <si>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</si>
  <si>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</si>
  <si>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</si>
  <si>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</si>
  <si>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</si>
  <si>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</si>
  <si>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</si>
  <si>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</si>
  <si>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</si>
  <si>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</si>
  <si>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</si>
  <si>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</si>
  <si>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</si>
  <si>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</si>
  <si>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</si>
  <si>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</si>
  <si>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</si>
  <si>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</si>
  <si>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</si>
  <si>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</si>
  <si>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</si>
  <si>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</si>
  <si>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</si>
  <si>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</si>
  <si>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</si>
  <si>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</si>
  <si>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</si>
  <si>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</si>
  <si>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</si>
  <si>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</si>
  <si>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</si>
  <si>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</si>
  <si>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</si>
  <si>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</si>
  <si>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</si>
  <si>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</si>
  <si>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</si>
  <si>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</si>
  <si>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</si>
  <si>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</si>
  <si>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</si>
  <si>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</si>
  <si>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</si>
  <si>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</si>
  <si>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</si>
  <si>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</si>
  <si>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</si>
  <si>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</si>
  <si>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</si>
  <si>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</si>
  <si>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</si>
  <si>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</si>
  <si>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</si>
  <si>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</si>
  <si>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</si>
  <si>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</si>
  <si>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</si>
  <si>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</si>
  <si>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</si>
  <si>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</si>
  <si>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</si>
  <si>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</si>
  <si>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</si>
  <si>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</si>
  <si>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</si>
  <si>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</si>
  <si>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</si>
  <si>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</si>
  <si>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</si>
  <si>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</si>
  <si>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</si>
  <si>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</si>
  <si>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</si>
  <si>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</si>
  <si>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</si>
  <si>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</si>
  <si>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</si>
  <si>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</si>
  <si>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</si>
  <si>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</si>
  <si>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</si>
  <si>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</si>
  <si>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</si>
  <si>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</si>
  <si>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</si>
  <si>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</si>
  <si>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</si>
  <si>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</si>
  <si>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</si>
  <si>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</si>
  <si>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</si>
  <si>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</si>
  <si>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</si>
  <si>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</si>
  <si>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</si>
  <si>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</si>
  <si>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</si>
  <si>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</si>
  <si>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</si>
  <si>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</si>
  <si>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</si>
  <si>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</si>
  <si>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</si>
  <si>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</si>
  <si>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</si>
  <si>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</si>
  <si>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</si>
  <si>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</si>
  <si>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</si>
  <si>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</si>
  <si>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</si>
  <si>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</si>
  <si>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</si>
  <si>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</si>
  <si>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</si>
  <si>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</si>
  <si>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</si>
  <si>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</si>
  <si>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</si>
  <si>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</si>
  <si>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</si>
  <si>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</si>
  <si>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</si>
  <si>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</si>
  <si>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</si>
  <si>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</si>
  <si>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</si>
  <si>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</si>
  <si>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</si>
  <si>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</si>
  <si>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</si>
  <si>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</si>
  <si>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</si>
  <si>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</si>
  <si>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</si>
  <si>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</si>
  <si>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</si>
  <si>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</si>
  <si>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</si>
  <si>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</si>
  <si>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</si>
  <si>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</si>
  <si>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</si>
  <si>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</si>
  <si>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</si>
  <si>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</si>
  <si>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</si>
  <si>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</si>
  <si>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</si>
  <si>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</si>
  <si>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</si>
  <si>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</si>
  <si>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</si>
  <si>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</si>
  <si>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</si>
  <si>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</si>
  <si>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</si>
  <si>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</si>
  <si>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</si>
  <si>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</si>
  <si>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</si>
  <si>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</si>
  <si>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</si>
  <si>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</si>
  <si>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</si>
  <si>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</si>
  <si>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</si>
  <si>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</si>
  <si>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</si>
  <si>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</si>
  <si>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</si>
  <si>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</si>
  <si>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</si>
  <si>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</si>
  <si>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</si>
  <si>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</si>
  <si>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</si>
  <si>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</si>
  <si>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</si>
  <si>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</si>
  <si>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</si>
  <si>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</si>
  <si>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</si>
  <si>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</si>
  <si>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</si>
  <si>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</si>
  <si>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</si>
  <si>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</si>
  <si>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</si>
  <si>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</si>
  <si>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</si>
  <si>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</si>
  <si>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</si>
  <si>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</si>
  <si>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</si>
  <si>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</si>
  <si>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</si>
  <si>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</si>
  <si>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</si>
  <si>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</si>
  <si>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</si>
  <si>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</si>
  <si>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</si>
  <si>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</si>
  <si>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</si>
  <si>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</si>
  <si>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</si>
  <si>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</si>
  <si>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</si>
  <si>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</si>
  <si>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</si>
  <si>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</si>
  <si>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</si>
  <si>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</si>
  <si>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</si>
  <si>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</si>
  <si>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</si>
  <si>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</si>
  <si>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</si>
  <si>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</si>
  <si>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</si>
  <si>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</si>
  <si>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</si>
  <si>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</si>
  <si>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</si>
  <si>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</si>
  <si>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</si>
  <si>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</si>
  <si>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</si>
  <si>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</si>
  <si>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</si>
  <si>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</si>
  <si>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</si>
  <si>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</si>
  <si>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</si>
  <si>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</si>
  <si>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</si>
  <si>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</si>
  <si>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</si>
  <si>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</si>
  <si>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</si>
  <si>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</si>
  <si>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</si>
  <si>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</si>
  <si>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</si>
  <si>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</si>
  <si>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</si>
  <si>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</si>
  <si>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</si>
  <si>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</si>
  <si>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</si>
  <si>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</si>
  <si>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</si>
  <si>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</si>
  <si>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</si>
  <si>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</si>
  <si>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</si>
  <si>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</si>
  <si>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</si>
  <si>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</si>
  <si>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</si>
  <si>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</si>
  <si>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</si>
  <si>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</si>
  <si>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</si>
  <si>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</si>
  <si>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</si>
  <si>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</si>
  <si>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</si>
  <si>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</si>
  <si>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</si>
  <si>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</si>
  <si>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</si>
  <si>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</si>
  <si>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</si>
  <si>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</si>
  <si>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</si>
  <si>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</si>
  <si>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</si>
  <si>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</si>
  <si>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</si>
  <si>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</si>
  <si>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</si>
  <si>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</si>
  <si>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</si>
  <si>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</si>
  <si>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</si>
  <si>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</si>
  <si>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</si>
  <si>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</si>
  <si>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</si>
  <si>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</si>
  <si>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</si>
  <si>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</si>
  <si>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</si>
  <si>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</si>
  <si>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</si>
  <si>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</si>
  <si>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</si>
  <si>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</si>
  <si>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</si>
  <si>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</si>
  <si>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</si>
  <si>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</si>
  <si>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</si>
  <si>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</si>
  <si>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</si>
  <si>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</si>
  <si>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</si>
  <si>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</si>
  <si>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</si>
  <si>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</si>
  <si>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</si>
  <si>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</si>
  <si>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</si>
  <si>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</si>
  <si>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</si>
  <si>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</si>
  <si>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</si>
  <si>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</si>
  <si>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</si>
  <si>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</si>
  <si>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</si>
  <si>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</si>
  <si>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</si>
  <si>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</si>
  <si>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</si>
  <si>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</si>
  <si>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</si>
  <si>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</si>
  <si>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</si>
  <si>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</si>
  <si>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</si>
  <si>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</si>
  <si>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</si>
  <si>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</si>
  <si>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</si>
  <si>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</si>
  <si>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</si>
  <si>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</si>
  <si>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</si>
  <si>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</si>
  <si>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</si>
  <si>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</si>
  <si>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</si>
  <si>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</si>
  <si>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</si>
  <si>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</si>
  <si>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</si>
  <si>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</si>
  <si>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</si>
  <si>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</si>
  <si>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</si>
  <si>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</si>
  <si>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</si>
  <si>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</si>
  <si>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</si>
  <si>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</si>
  <si>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</si>
  <si>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</si>
  <si>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</si>
  <si>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</si>
  <si>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</si>
  <si>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</si>
  <si>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</si>
  <si>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</si>
  <si>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</si>
  <si>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</si>
  <si>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</si>
  <si>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</si>
  <si>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</si>
  <si>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</si>
  <si>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</si>
  <si>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</si>
  <si>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</si>
  <si>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</si>
  <si>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</si>
  <si>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</si>
  <si>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</si>
  <si>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</si>
  <si>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</si>
  <si>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</si>
  <si>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</si>
  <si>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</si>
  <si>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</si>
  <si>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</si>
  <si>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</si>
  <si>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</si>
  <si>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</si>
  <si>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</si>
  <si>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</si>
  <si>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</si>
  <si>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</si>
  <si>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</si>
  <si>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</si>
  <si>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</si>
  <si>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</si>
  <si>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</si>
  <si>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</si>
  <si>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</si>
  <si>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</si>
  <si>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</si>
  <si>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</si>
  <si>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</si>
  <si>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</si>
  <si>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</si>
  <si>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</si>
  <si>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</si>
  <si>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</si>
  <si>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</si>
  <si>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</si>
  <si>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</si>
  <si>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</si>
  <si>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</si>
  <si>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</si>
  <si>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</si>
  <si>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</si>
  <si>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</si>
  <si>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</si>
  <si>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</si>
  <si>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</si>
  <si>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</si>
  <si>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</si>
  <si>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</si>
  <si>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</si>
  <si>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</si>
  <si>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</si>
  <si>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</si>
  <si>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</si>
  <si>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</si>
  <si>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</si>
  <si>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</si>
  <si>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</si>
  <si>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</si>
  <si>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</si>
  <si>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</si>
  <si>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</si>
  <si>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</si>
  <si>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</si>
  <si>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</si>
  <si>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</si>
  <si>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</si>
  <si>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</si>
  <si>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</si>
  <si>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</si>
  <si>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</si>
  <si>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</si>
  <si>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</si>
  <si>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</si>
  <si>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</si>
  <si>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</si>
  <si>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</si>
  <si>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</si>
  <si>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</si>
  <si>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</si>
  <si>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</si>
  <si>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</si>
  <si>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</si>
  <si>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</si>
  <si>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</si>
  <si>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</si>
  <si>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</si>
  <si>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</si>
  <si>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</si>
  <si>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</si>
  <si>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</si>
  <si>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</si>
  <si>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</si>
  <si>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</si>
  <si>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</si>
  <si>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</si>
  <si>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</si>
  <si>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</si>
  <si>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</si>
  <si>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</si>
  <si>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</si>
  <si>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</si>
  <si>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</si>
  <si>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</si>
  <si>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</si>
  <si>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</si>
  <si>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</si>
  <si>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</si>
  <si>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</si>
  <si>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</si>
  <si>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</si>
  <si>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</si>
  <si>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</si>
  <si>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</si>
  <si>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</si>
  <si>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</si>
  <si>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</si>
  <si>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</si>
  <si>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</si>
  <si>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</si>
  <si>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</si>
  <si>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</si>
  <si>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</si>
  <si>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</si>
  <si>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</si>
  <si>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</si>
  <si>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</si>
  <si>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</si>
  <si>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</si>
  <si>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</si>
  <si>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</si>
  <si>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</si>
  <si>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</si>
  <si>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</si>
  <si>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</si>
  <si>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</si>
  <si>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</si>
  <si>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</si>
  <si>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</si>
  <si>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</si>
  <si>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</si>
  <si>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</si>
  <si>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</si>
  <si>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</si>
  <si>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</si>
  <si>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</si>
  <si>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</si>
  <si>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</si>
  <si>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</si>
  <si>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</si>
  <si>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</si>
  <si>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</si>
  <si>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</si>
  <si>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</si>
  <si>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</si>
  <si>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</si>
  <si>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</si>
  <si>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</si>
  <si>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</si>
  <si>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</si>
  <si>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</si>
  <si>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</si>
  <si>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</si>
  <si>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</si>
  <si>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</si>
  <si>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</si>
  <si>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</si>
  <si>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</si>
  <si>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</si>
  <si>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</si>
  <si>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</si>
  <si>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</si>
  <si>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</si>
  <si>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</si>
  <si>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</si>
  <si>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</si>
  <si>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</si>
  <si>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</si>
  <si>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</si>
  <si>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</si>
  <si>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</si>
  <si>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</si>
  <si>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</si>
  <si>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</si>
  <si>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</si>
  <si>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</si>
  <si>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</si>
  <si>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</si>
  <si>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</si>
  <si>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</si>
  <si>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</si>
  <si>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</si>
  <si>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</si>
  <si>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</si>
  <si>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</si>
  <si>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</si>
  <si>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</si>
  <si>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</si>
  <si>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</si>
  <si>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</si>
  <si>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</si>
  <si>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</si>
  <si>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</si>
  <si>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</si>
  <si>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</si>
  <si>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</si>
  <si>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</si>
  <si>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</si>
  <si>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</si>
  <si>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</si>
  <si>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</si>
  <si>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</si>
  <si>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</si>
  <si>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</si>
  <si>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</si>
  <si>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</si>
  <si>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</si>
  <si>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</si>
  <si>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</si>
  <si>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</si>
  <si>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</si>
  <si>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</si>
  <si>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</si>
  <si>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</si>
  <si>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</si>
  <si>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</si>
  <si>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</si>
  <si>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</si>
  <si>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</si>
  <si>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</si>
  <si>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</si>
  <si>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</si>
  <si>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</si>
  <si>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</si>
  <si>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</si>
  <si>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</si>
  <si>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</si>
  <si>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</si>
  <si>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</si>
  <si>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</si>
  <si>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</si>
  <si>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</si>
  <si>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</si>
  <si>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</si>
  <si>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</si>
  <si>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</si>
  <si>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</si>
  <si>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</si>
  <si>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</si>
  <si>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</si>
  <si>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</si>
  <si>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</si>
  <si>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</si>
  <si>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</si>
  <si>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</si>
  <si>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</si>
  <si>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</si>
  <si>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</si>
  <si>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</si>
  <si>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</si>
  <si>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</si>
  <si>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</si>
  <si>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</si>
  <si>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</si>
  <si>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</si>
  <si>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</si>
  <si>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</si>
  <si>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</si>
  <si>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</si>
  <si>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</si>
  <si>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</si>
  <si>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</si>
  <si>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</si>
  <si>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</si>
  <si>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</si>
  <si>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</si>
  <si>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</si>
  <si>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</si>
  <si>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</si>
  <si>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</si>
  <si>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</si>
  <si>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</si>
  <si>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</si>
  <si>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</si>
  <si>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</si>
  <si>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</si>
  <si>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</si>
  <si>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</si>
  <si>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</si>
  <si>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</si>
  <si>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</si>
  <si>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</si>
  <si>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</si>
  <si>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</si>
  <si>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</si>
  <si>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</si>
  <si>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</si>
  <si>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</si>
  <si>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</si>
  <si>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</si>
  <si>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</si>
  <si>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</si>
  <si>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</si>
  <si>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</si>
  <si>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</si>
  <si>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</si>
  <si>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</si>
  <si>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</si>
  <si>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</si>
  <si>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</si>
  <si>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</si>
  <si>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</si>
  <si>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</si>
  <si>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</si>
  <si>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</si>
  <si>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</si>
  <si>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</si>
  <si>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</si>
  <si>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</si>
  <si>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</si>
  <si>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</si>
  <si>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</si>
  <si>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Phillips, Salmi &amp; Associates, LLC</t>
  </si>
  <si>
    <t>112 S Main Street</t>
  </si>
  <si>
    <t>Washington</t>
  </si>
  <si>
    <t>IL</t>
  </si>
  <si>
    <t>(309) 444-4909</t>
  </si>
  <si>
    <t>(309) 444-8580</t>
  </si>
  <si>
    <t>066-004355</t>
  </si>
  <si>
    <t>Lori Salmi</t>
  </si>
  <si>
    <t>lsalmi@psa-cpa.com</t>
  </si>
  <si>
    <t>X</t>
  </si>
  <si>
    <t>2017 GOB Working Cash</t>
  </si>
  <si>
    <t>2017A GOB Refunding Bonds</t>
  </si>
  <si>
    <t>2017B GOB Construction Bonds</t>
  </si>
  <si>
    <t>Surface Tablet Capital Lease</t>
  </si>
  <si>
    <t>Scoreboard Capital Lease</t>
  </si>
  <si>
    <t>Capital Lease</t>
  </si>
  <si>
    <t>Tazewell &amp; Woodford</t>
  </si>
  <si>
    <t>401 East Fifth Street</t>
  </si>
  <si>
    <t>Mackinaw</t>
  </si>
  <si>
    <t>mjacobs@deemack.org</t>
  </si>
  <si>
    <t>Mrs. Michele Jacobs</t>
  </si>
  <si>
    <t>(309) 359-8965</t>
  </si>
  <si>
    <t>(309) 359-5291</t>
  </si>
  <si>
    <t>20-2540-400</t>
  </si>
  <si>
    <t>Nicor Gas</t>
  </si>
  <si>
    <t>Opeartion &amp; Maintenance of Plant Services</t>
  </si>
  <si>
    <t>Ameren Illinois</t>
  </si>
  <si>
    <t>Cintas Corporation</t>
  </si>
  <si>
    <t>40-2550-400</t>
  </si>
  <si>
    <t>Direct Energy Business</t>
  </si>
  <si>
    <t>20-2540-300</t>
  </si>
  <si>
    <t>Frontier</t>
  </si>
  <si>
    <t>Hopedale Medical Complex</t>
  </si>
  <si>
    <t xml:space="preserve">Ideal Environmental </t>
  </si>
  <si>
    <t>Illinois Power Marketing</t>
  </si>
  <si>
    <t>10-2660-300</t>
  </si>
  <si>
    <t>Stratus Networks</t>
  </si>
  <si>
    <t>Thompson Electronics Co.</t>
  </si>
  <si>
    <t>10-2540-300</t>
  </si>
  <si>
    <t>Walz Label &amp; Mailing Systems</t>
  </si>
  <si>
    <t>Wells Fargo Financial Leasing</t>
  </si>
  <si>
    <t>Tazewell-Mason Cty SpEd District</t>
  </si>
  <si>
    <t>Tremont School District 702</t>
  </si>
  <si>
    <t>Morton CUSD #709</t>
  </si>
  <si>
    <t>Tazewell Co Area Education for Employment</t>
  </si>
  <si>
    <t>Page 10</t>
  </si>
  <si>
    <t>1790 - Educational - Other District/School Activity Revenue</t>
  </si>
  <si>
    <t>Field trip fees and sales of merchandise to students</t>
  </si>
  <si>
    <t>Page 12</t>
  </si>
  <si>
    <t>3999-Educational - Other Restricted Revenue from State Sources</t>
  </si>
  <si>
    <t>State Library Grant</t>
  </si>
  <si>
    <t>Page 14</t>
  </si>
  <si>
    <t>4999 - Educational - Other Restricted Revenue from Federal Sources</t>
  </si>
  <si>
    <t>STEP Reimbursement</t>
  </si>
  <si>
    <t>Page 15</t>
  </si>
  <si>
    <t>2190-100 - Educational - Other Support Services - Pupils</t>
  </si>
  <si>
    <t>Occupational Therapist</t>
  </si>
  <si>
    <t>Crossing Guard</t>
  </si>
  <si>
    <t>2190-200 - Educational - Other Support Services - Pupils</t>
  </si>
  <si>
    <t>Insurance - Occupational Therapist</t>
  </si>
  <si>
    <t>Insurance - Crossing Guard</t>
  </si>
  <si>
    <t>Page 16</t>
  </si>
  <si>
    <t>Homeless supplies</t>
  </si>
  <si>
    <t>Page 19</t>
  </si>
  <si>
    <t>2190-200 - MR/SS - Other Support Services - Pupils</t>
  </si>
  <si>
    <t>Page 18</t>
  </si>
  <si>
    <t>Debt Services - Payments on Principal on Long Term Debt</t>
  </si>
  <si>
    <t>Capital Lease Payments</t>
  </si>
  <si>
    <t>Retired Debt Total</t>
  </si>
  <si>
    <t>Page 24</t>
  </si>
  <si>
    <t>Bond Agent Fees</t>
  </si>
  <si>
    <t>5400-300 - Debt Service - Other/Fees</t>
  </si>
  <si>
    <t>PSAT</t>
  </si>
  <si>
    <t>N/A</t>
  </si>
  <si>
    <t>Prior Year Adjustment</t>
  </si>
  <si>
    <t>Pavers at sports complex</t>
  </si>
  <si>
    <t>2900-400 - Educational - Other Support Services</t>
  </si>
  <si>
    <t>Page 23</t>
  </si>
  <si>
    <t>See PDF at Opinion-Notes 35 Tab</t>
  </si>
  <si>
    <t>Deer Creek-Mackinaw CUSD 701</t>
  </si>
  <si>
    <t>10-1000-300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</si>
</sst>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style="thin">
        <color indexed="64"/>
      </top>
      <bottom style="double">
        <color indexed="64"/>
      </bottom>
      <diagonal/>
    </border>
  </borders>
  <cellStyleXfs count="20">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xf numFmtId="44" fontId="138" fillId="0" borderId="0" applyFont="0" applyFill="0" applyBorder="0" applyAlignment="0" applyProtection="0"/>
  </cellStyleXfs>
  <cellXfs count="2492">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7" xfId="17" applyNumberFormat="1" applyFont="1" applyFill="1" applyBorder="1" applyAlignment="1" applyProtection="1">
      <alignment horizontal="right" vertical="top"/>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181" fontId="57" fillId="0" borderId="0" xfId="19" applyNumberFormat="1" applyFont="1"/>
    <xf numFmtId="0" fontId="57" fillId="0" borderId="0" xfId="0" applyFont="1" applyAlignment="1">
      <alignment horizontal="left" indent="1"/>
    </xf>
    <xf numFmtId="181" fontId="57" fillId="0" borderId="165" xfId="0" applyNumberFormat="1" applyFont="1" applyBorder="1"/>
    <xf numFmtId="181" fontId="57" fillId="0" borderId="165" xfId="19" applyNumberFormat="1" applyFont="1" applyBorder="1"/>
    <xf numFmtId="182" fontId="57" fillId="0" borderId="0" xfId="1" applyNumberFormat="1" applyFont="1"/>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xf numFmtId="49" fontId="1" fillId="0" borderId="157" xfId="17" applyNumberFormat="1" applyFont="1" applyBorder="1" applyAlignment="1" applyProtection="1">
      <alignment horizontal="center" vertical="top"/>
      <protection locked="0"/>
    </xf>
  </cellXfs>
  <cellStyles count="20">
    <cellStyle name="Comma" xfId="1" builtinId="3"/>
    <cellStyle name="Currency" xfId="19" builtinId="4"/>
    <cellStyle name="Hyperlink" xfId="2" builtinId="8"/>
    <cellStyle name="Hyperlink 2" xfId="15" xr:uid="{00000000-0005-0000-0000-000003000000}"/>
    <cellStyle name="Normal" xfId="0" builtinId="0"/>
    <cellStyle name="Normal 2" xfId="3" xr:uid="{00000000-0005-0000-0000-000005000000}"/>
    <cellStyle name="Normal 3" xfId="4" xr:uid="{00000000-0005-0000-0000-000006000000}"/>
    <cellStyle name="Normal 3 2" xfId="14" xr:uid="{00000000-0005-0000-0000-000007000000}"/>
    <cellStyle name="Normal 3 2 2" xfId="18" xr:uid="{00000000-0005-0000-0000-000008000000}"/>
    <cellStyle name="Normal 4" xfId="16" xr:uid="{00000000-0005-0000-0000-000009000000}"/>
    <cellStyle name="Normal 5" xfId="17" xr:uid="{00000000-0005-0000-0000-00000A000000}"/>
    <cellStyle name="Normal_AFRPG3" xfId="5" xr:uid="{00000000-0005-0000-0000-00000B000000}"/>
    <cellStyle name="Normal_AFRPG41" xfId="6" xr:uid="{00000000-0005-0000-0000-00000C000000}"/>
    <cellStyle name="Normal_AFRPG47" xfId="7" xr:uid="{00000000-0005-0000-0000-00000D000000}"/>
    <cellStyle name="Normal_AFRPG56" xfId="8" xr:uid="{00000000-0005-0000-0000-00000E000000}"/>
    <cellStyle name="Normal_AFRPG59" xfId="9" xr:uid="{00000000-0005-0000-0000-00000F000000}"/>
    <cellStyle name="Normal_AFRPG63" xfId="10" xr:uid="{00000000-0005-0000-0000-000010000000}"/>
    <cellStyle name="Normal_AFRPG64" xfId="11" xr:uid="{00000000-0005-0000-0000-000011000000}"/>
    <cellStyle name="Normal_COVER" xfId="12" xr:uid="{00000000-0005-0000-0000-000012000000}"/>
    <cellStyle name="Normal_THRESHOLD CALCULATOR v3" xfId="13"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914400</xdr:colOff>
          <xdr:row>4</xdr:row>
          <xdr:rowOff>38100</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0</xdr:row>
          <xdr:rowOff>0</xdr:rowOff>
        </xdr:from>
        <xdr:to>
          <xdr:col>1</xdr:col>
          <xdr:colOff>1885950</xdr:colOff>
          <xdr:row>4</xdr:row>
          <xdr:rowOff>38100</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000000-0008-0000-1400-000002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7" t="s">
        <v>405</v>
      </c>
      <c r="J1" s="1988"/>
      <c r="K1" s="1988"/>
      <c r="L1" s="1988"/>
      <c r="M1" s="1988"/>
      <c r="N1" s="1988"/>
      <c r="O1" s="1988"/>
      <c r="P1" s="1988"/>
      <c r="Q1" s="1988"/>
      <c r="R1" s="1988"/>
      <c r="S1" s="1988"/>
    </row>
    <row r="2" spans="1:28" ht="12" customHeight="1" x14ac:dyDescent="0.2">
      <c r="A2" s="47" t="s">
        <v>1993</v>
      </c>
      <c r="D2" s="48"/>
      <c r="I2" s="1989" t="s">
        <v>979</v>
      </c>
      <c r="J2" s="1988"/>
      <c r="K2" s="1988"/>
      <c r="L2" s="1988"/>
      <c r="M2" s="1988"/>
      <c r="N2" s="1988"/>
      <c r="O2" s="1988"/>
      <c r="P2" s="1988"/>
      <c r="Q2" s="1988"/>
      <c r="R2" s="1988"/>
      <c r="S2" s="1988"/>
    </row>
    <row r="3" spans="1:28" ht="12" customHeight="1" x14ac:dyDescent="0.2">
      <c r="A3" s="155" t="s">
        <v>1945</v>
      </c>
      <c r="B3" s="156"/>
      <c r="C3" s="156"/>
      <c r="D3" s="157"/>
      <c r="I3" s="1989" t="s">
        <v>52</v>
      </c>
      <c r="J3" s="1988"/>
      <c r="K3" s="1988"/>
      <c r="L3" s="1988"/>
      <c r="M3" s="1988"/>
      <c r="N3" s="1988"/>
      <c r="O3" s="1988"/>
      <c r="P3" s="1988"/>
      <c r="Q3" s="1988"/>
      <c r="R3" s="1988"/>
      <c r="S3" s="1988"/>
    </row>
    <row r="4" spans="1:28" ht="12" customHeight="1" x14ac:dyDescent="0.2">
      <c r="A4" s="37"/>
      <c r="I4" s="1989" t="s">
        <v>524</v>
      </c>
      <c r="J4" s="1988"/>
      <c r="K4" s="1988"/>
      <c r="L4" s="1988"/>
      <c r="M4" s="1988"/>
      <c r="N4" s="1988"/>
      <c r="O4" s="1988"/>
      <c r="P4" s="1988"/>
      <c r="Q4" s="1988"/>
      <c r="R4" s="1988"/>
      <c r="S4" s="1988"/>
    </row>
    <row r="5" spans="1:28" ht="14.1" customHeight="1" x14ac:dyDescent="0.2">
      <c r="B5" s="104" t="s">
        <v>2073</v>
      </c>
      <c r="C5" s="26" t="s">
        <v>910</v>
      </c>
      <c r="D5" s="84"/>
      <c r="E5" s="84"/>
      <c r="H5" s="38"/>
      <c r="I5" s="1997" t="s">
        <v>680</v>
      </c>
      <c r="J5" s="1996"/>
      <c r="K5" s="1996"/>
      <c r="L5" s="1996"/>
      <c r="M5" s="1996"/>
      <c r="N5" s="1996"/>
      <c r="O5" s="1996"/>
      <c r="P5" s="1996"/>
      <c r="Q5" s="1996"/>
      <c r="R5" s="1996"/>
      <c r="S5" s="1996"/>
    </row>
    <row r="6" spans="1:28" ht="14.1" customHeight="1" x14ac:dyDescent="0.2">
      <c r="B6" s="104"/>
      <c r="C6" s="26" t="s">
        <v>911</v>
      </c>
      <c r="D6" s="84"/>
      <c r="E6" s="84"/>
      <c r="I6" s="1995" t="s">
        <v>883</v>
      </c>
      <c r="J6" s="1996"/>
      <c r="K6" s="1996"/>
      <c r="L6" s="1996"/>
      <c r="M6" s="1996"/>
      <c r="N6" s="1996"/>
      <c r="O6" s="1996"/>
      <c r="P6" s="1996"/>
      <c r="Q6" s="1996"/>
      <c r="R6" s="1996"/>
      <c r="S6" s="1996"/>
    </row>
    <row r="7" spans="1:28" ht="12.2" customHeight="1" x14ac:dyDescent="0.2">
      <c r="I7" s="1990">
        <v>43646</v>
      </c>
      <c r="J7" s="1991"/>
      <c r="K7" s="1991"/>
      <c r="L7" s="1991"/>
      <c r="M7" s="1991"/>
      <c r="N7" s="1991"/>
      <c r="O7" s="1991"/>
      <c r="P7" s="1991"/>
      <c r="Q7" s="1991"/>
      <c r="R7" s="1991"/>
      <c r="S7" s="1991"/>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2" t="s">
        <v>674</v>
      </c>
      <c r="J9" s="1993"/>
      <c r="K9" s="1993"/>
      <c r="L9" s="1993"/>
      <c r="M9" s="1993"/>
      <c r="N9" s="1993"/>
      <c r="O9" s="1993"/>
      <c r="P9" s="1993"/>
      <c r="Q9" s="1993"/>
      <c r="R9" s="1993"/>
      <c r="S9" s="1994"/>
      <c r="T9" s="2008" t="s">
        <v>533</v>
      </c>
      <c r="U9" s="2009"/>
      <c r="V9" s="2009"/>
      <c r="W9" s="2009"/>
      <c r="X9" s="2009"/>
      <c r="Y9" s="2009"/>
      <c r="Z9" s="2009"/>
      <c r="AA9" s="2010"/>
    </row>
    <row r="10" spans="1:28" ht="13.5" customHeight="1" x14ac:dyDescent="0.2">
      <c r="A10" s="2015" t="s">
        <v>675</v>
      </c>
      <c r="B10" s="2016"/>
      <c r="C10" s="2016"/>
      <c r="D10" s="2016"/>
      <c r="E10" s="2016"/>
      <c r="F10" s="2016"/>
      <c r="G10" s="2016"/>
      <c r="H10" s="2017"/>
      <c r="I10" s="29"/>
      <c r="J10" s="30"/>
      <c r="K10" s="28"/>
      <c r="R10" s="30"/>
      <c r="S10" s="30"/>
      <c r="T10" s="2011"/>
      <c r="U10" s="1996"/>
      <c r="V10" s="1996"/>
      <c r="W10" s="1996"/>
      <c r="X10" s="1996"/>
      <c r="Y10" s="1996"/>
      <c r="Z10" s="1996"/>
      <c r="AA10" s="2002"/>
    </row>
    <row r="11" spans="1:28" ht="14.25" customHeight="1" x14ac:dyDescent="0.2">
      <c r="A11" s="2018" t="s">
        <v>955</v>
      </c>
      <c r="B11" s="2019"/>
      <c r="C11" s="2019"/>
      <c r="D11" s="2019"/>
      <c r="E11" s="2019"/>
      <c r="F11" s="2019"/>
      <c r="G11" s="2019"/>
      <c r="H11" s="2020"/>
      <c r="I11" s="27"/>
      <c r="J11" s="74"/>
      <c r="K11" s="27"/>
      <c r="O11" s="148" t="s">
        <v>2073</v>
      </c>
      <c r="P11" s="100" t="s">
        <v>201</v>
      </c>
      <c r="Q11" s="30"/>
      <c r="R11" s="28"/>
      <c r="S11" s="27"/>
      <c r="T11" s="2012"/>
      <c r="U11" s="2013"/>
      <c r="V11" s="2013"/>
      <c r="W11" s="2013"/>
      <c r="X11" s="2013"/>
      <c r="Y11" s="2013"/>
      <c r="Z11" s="2013"/>
      <c r="AA11" s="2014"/>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2">
        <v>53090701026</v>
      </c>
      <c r="B13" s="2023"/>
      <c r="C13" s="2023"/>
      <c r="D13" s="2023"/>
      <c r="E13" s="2023"/>
      <c r="F13" s="2023"/>
      <c r="G13" s="2023"/>
      <c r="H13" s="2024"/>
      <c r="I13" s="31"/>
      <c r="J13" s="30"/>
      <c r="K13" s="28"/>
      <c r="L13" s="30"/>
      <c r="M13" s="30"/>
      <c r="N13" s="30"/>
      <c r="O13" s="30"/>
      <c r="P13" s="30"/>
      <c r="Q13" s="30"/>
      <c r="R13" s="30"/>
      <c r="S13" s="30"/>
      <c r="T13" s="2027" t="s">
        <v>2064</v>
      </c>
      <c r="U13" s="2028"/>
      <c r="V13" s="2028"/>
      <c r="W13" s="2028"/>
      <c r="X13" s="2028"/>
      <c r="Y13" s="2029"/>
      <c r="Z13" s="2029"/>
      <c r="AA13" s="2030"/>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21" t="s">
        <v>2080</v>
      </c>
      <c r="B15" s="2025"/>
      <c r="C15" s="2025"/>
      <c r="D15" s="2025"/>
      <c r="E15" s="2025"/>
      <c r="F15" s="2025"/>
      <c r="G15" s="2025"/>
      <c r="H15" s="2026"/>
      <c r="T15" s="2031" t="s">
        <v>2071</v>
      </c>
      <c r="U15" s="1975"/>
      <c r="V15" s="1975"/>
      <c r="W15" s="1975"/>
      <c r="X15" s="1975"/>
      <c r="Y15" s="2032"/>
      <c r="Z15" s="2032"/>
      <c r="AA15" s="2033"/>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81" t="s">
        <v>2143</v>
      </c>
      <c r="B17" s="1982"/>
      <c r="C17" s="1982"/>
      <c r="D17" s="1982"/>
      <c r="E17" s="1982"/>
      <c r="F17" s="1982"/>
      <c r="G17" s="1982"/>
      <c r="H17" s="2007"/>
      <c r="T17" s="2038" t="s">
        <v>2065</v>
      </c>
      <c r="U17" s="2039"/>
      <c r="V17" s="2039"/>
      <c r="W17" s="2039"/>
      <c r="X17" s="2039"/>
      <c r="Y17" s="2039"/>
      <c r="Z17" s="2039"/>
      <c r="AA17" s="2040"/>
    </row>
    <row r="18" spans="1:27" ht="13.5" customHeight="1" x14ac:dyDescent="0.2">
      <c r="A18" s="85" t="s">
        <v>530</v>
      </c>
      <c r="B18" s="76"/>
      <c r="C18" s="72"/>
      <c r="D18" s="76"/>
      <c r="E18" s="76"/>
      <c r="F18" s="76"/>
      <c r="G18" s="76"/>
      <c r="H18" s="56"/>
      <c r="I18" s="2006" t="s">
        <v>676</v>
      </c>
      <c r="J18" s="1957"/>
      <c r="K18" s="1957"/>
      <c r="L18" s="1957"/>
      <c r="M18" s="1957"/>
      <c r="N18" s="1957"/>
      <c r="O18" s="1957"/>
      <c r="P18" s="1957"/>
      <c r="Q18" s="1957"/>
      <c r="R18" s="1957"/>
      <c r="S18" s="1958"/>
      <c r="T18" s="85" t="s">
        <v>711</v>
      </c>
      <c r="U18" s="51"/>
      <c r="V18" s="72"/>
      <c r="W18" s="50"/>
      <c r="X18" s="85" t="s">
        <v>266</v>
      </c>
      <c r="Y18" s="81"/>
      <c r="Z18" s="159" t="s">
        <v>677</v>
      </c>
      <c r="AA18" s="46"/>
    </row>
    <row r="19" spans="1:27" ht="13.5" customHeight="1" x14ac:dyDescent="0.2">
      <c r="A19" s="2021" t="s">
        <v>2081</v>
      </c>
      <c r="B19" s="1967"/>
      <c r="C19" s="1967"/>
      <c r="D19" s="1967"/>
      <c r="E19" s="1967"/>
      <c r="F19" s="1967"/>
      <c r="G19" s="1967"/>
      <c r="H19" s="1947"/>
      <c r="I19" s="30"/>
      <c r="J19" s="99"/>
      <c r="K19" s="40"/>
      <c r="L19" s="38"/>
      <c r="M19" s="112" t="s">
        <v>315</v>
      </c>
      <c r="P19" s="27"/>
      <c r="Q19" s="27"/>
      <c r="R19" s="27"/>
      <c r="S19" s="31"/>
      <c r="T19" s="2021" t="s">
        <v>2066</v>
      </c>
      <c r="U19" s="1946"/>
      <c r="V19" s="1946"/>
      <c r="W19" s="1947"/>
      <c r="X19" s="2036" t="s">
        <v>2067</v>
      </c>
      <c r="Y19" s="2037"/>
      <c r="Z19" s="2034">
        <v>61571</v>
      </c>
      <c r="AA19" s="2035"/>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5" t="s">
        <v>2082</v>
      </c>
      <c r="B21" s="1946"/>
      <c r="C21" s="1946"/>
      <c r="D21" s="1946"/>
      <c r="E21" s="1946"/>
      <c r="F21" s="1946"/>
      <c r="G21" s="1946"/>
      <c r="H21" s="1947"/>
      <c r="I21" s="2001" t="s">
        <v>678</v>
      </c>
      <c r="J21" s="1996"/>
      <c r="K21" s="1996"/>
      <c r="L21" s="1996"/>
      <c r="M21" s="1996"/>
      <c r="N21" s="1996"/>
      <c r="O21" s="1996"/>
      <c r="P21" s="1996"/>
      <c r="Q21" s="1996"/>
      <c r="R21" s="1996"/>
      <c r="S21" s="2002"/>
      <c r="T21" s="2045" t="s">
        <v>2068</v>
      </c>
      <c r="U21" s="2046"/>
      <c r="V21" s="2046"/>
      <c r="W21" s="2046"/>
      <c r="X21" s="2051" t="s">
        <v>2069</v>
      </c>
      <c r="Y21" s="2052"/>
      <c r="Z21" s="2052"/>
      <c r="AA21" s="2053"/>
    </row>
    <row r="22" spans="1:27" ht="13.5" customHeight="1" x14ac:dyDescent="0.2">
      <c r="A22" s="87" t="s">
        <v>531</v>
      </c>
      <c r="B22" s="59"/>
      <c r="C22" s="59"/>
      <c r="D22" s="59"/>
      <c r="E22" s="59"/>
      <c r="F22" s="59"/>
      <c r="G22" s="59"/>
      <c r="H22" s="60"/>
      <c r="I22" s="2003" t="s">
        <v>1429</v>
      </c>
      <c r="J22" s="2004"/>
      <c r="K22" s="2004"/>
      <c r="L22" s="2004"/>
      <c r="M22" s="2004"/>
      <c r="N22" s="2004"/>
      <c r="O22" s="2004"/>
      <c r="P22" s="2004"/>
      <c r="Q22" s="2004"/>
      <c r="R22" s="2004"/>
      <c r="S22" s="2005"/>
      <c r="T22" s="85" t="s">
        <v>1516</v>
      </c>
      <c r="U22" s="51"/>
      <c r="V22" s="72"/>
      <c r="W22" s="51"/>
      <c r="X22" s="160" t="s">
        <v>1318</v>
      </c>
      <c r="Z22" s="45"/>
      <c r="AA22" s="46"/>
    </row>
    <row r="23" spans="1:27" ht="13.5" customHeight="1" x14ac:dyDescent="0.2">
      <c r="A23" s="1998" t="s">
        <v>2083</v>
      </c>
      <c r="B23" s="1999"/>
      <c r="C23" s="1999"/>
      <c r="D23" s="1999"/>
      <c r="E23" s="1999"/>
      <c r="F23" s="1999"/>
      <c r="G23" s="1999"/>
      <c r="H23" s="2000"/>
      <c r="T23" s="1981" t="s">
        <v>2070</v>
      </c>
      <c r="U23" s="2044"/>
      <c r="V23" s="2044"/>
      <c r="W23" s="2044"/>
      <c r="X23" s="2048">
        <v>44530</v>
      </c>
      <c r="Y23" s="2049"/>
      <c r="Z23" s="2049"/>
      <c r="AA23" s="2050"/>
    </row>
    <row r="24" spans="1:27" ht="14.1" customHeight="1" x14ac:dyDescent="0.2">
      <c r="A24" s="88" t="s">
        <v>677</v>
      </c>
      <c r="B24" s="49"/>
      <c r="C24" s="49"/>
      <c r="D24" s="49"/>
      <c r="E24" s="49"/>
      <c r="F24" s="49"/>
      <c r="G24" s="49"/>
      <c r="H24" s="61"/>
      <c r="J24" s="1968">
        <f>IF(B5="x",IF(AUDITCHECK!D29="AFR form Incomplete.","",IF(AUDITCHECK!D29="Deficit reduction plan is required.","School District must complete a deficit reduction plan in the 2019-2020 Budget",)),"")</f>
        <v>0</v>
      </c>
      <c r="K24" s="1968"/>
      <c r="L24" s="1968"/>
      <c r="M24" s="1968"/>
      <c r="N24" s="1968"/>
      <c r="O24" s="1968"/>
      <c r="P24" s="1968"/>
      <c r="Q24" s="1968"/>
      <c r="R24" s="1968"/>
      <c r="S24" s="1969"/>
      <c r="T24" s="105" t="s">
        <v>531</v>
      </c>
      <c r="U24" s="106"/>
      <c r="V24" s="106"/>
      <c r="W24" s="106"/>
      <c r="X24" s="107"/>
      <c r="Y24" s="107"/>
      <c r="Z24" s="107"/>
      <c r="AA24" s="108"/>
    </row>
    <row r="25" spans="1:27" ht="14.1" customHeight="1" x14ac:dyDescent="0.2">
      <c r="A25" s="1945">
        <v>61755</v>
      </c>
      <c r="B25" s="1946"/>
      <c r="C25" s="1946"/>
      <c r="D25" s="1946"/>
      <c r="E25" s="1946"/>
      <c r="F25" s="1946"/>
      <c r="G25" s="1946"/>
      <c r="H25" s="1947"/>
      <c r="I25" s="113"/>
      <c r="J25" s="1970"/>
      <c r="K25" s="1970"/>
      <c r="L25" s="1970"/>
      <c r="M25" s="1970"/>
      <c r="N25" s="1970"/>
      <c r="O25" s="1970"/>
      <c r="P25" s="1970"/>
      <c r="Q25" s="1970"/>
      <c r="R25" s="1970"/>
      <c r="S25" s="1971"/>
      <c r="T25" s="2041" t="s">
        <v>2072</v>
      </c>
      <c r="U25" s="2042"/>
      <c r="V25" s="2042"/>
      <c r="W25" s="2042"/>
      <c r="X25" s="2042"/>
      <c r="Y25" s="2042"/>
      <c r="Z25" s="2042"/>
      <c r="AA25" s="204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6" t="s">
        <v>1511</v>
      </c>
      <c r="J27" s="1957"/>
      <c r="K27" s="1957"/>
      <c r="L27" s="1957"/>
      <c r="M27" s="1957"/>
      <c r="N27" s="1957"/>
      <c r="O27" s="1957"/>
      <c r="P27" s="1957"/>
      <c r="Q27" s="1957"/>
      <c r="R27" s="1957"/>
      <c r="S27" s="1958"/>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2073</v>
      </c>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c r="C30" s="124" t="s">
        <v>1164</v>
      </c>
      <c r="D30" s="28"/>
      <c r="E30" s="28"/>
      <c r="F30" s="140"/>
      <c r="G30" s="114"/>
      <c r="H30" s="114"/>
      <c r="I30" s="54"/>
      <c r="J30" s="102"/>
      <c r="K30" s="28" t="s">
        <v>576</v>
      </c>
      <c r="L30" s="148"/>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7"/>
      <c r="Q35" s="1946"/>
      <c r="R35" s="194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81" t="s">
        <v>2084</v>
      </c>
      <c r="B38" s="1982"/>
      <c r="C38" s="1982"/>
      <c r="D38" s="1982"/>
      <c r="E38" s="1982"/>
      <c r="F38" s="1946"/>
      <c r="G38" s="1946"/>
      <c r="H38" s="1947"/>
      <c r="I38" s="1974"/>
      <c r="J38" s="1975"/>
      <c r="K38" s="1975"/>
      <c r="L38" s="1975"/>
      <c r="M38" s="1975"/>
      <c r="N38" s="1975"/>
      <c r="O38" s="1975"/>
      <c r="P38" s="1976"/>
      <c r="Q38" s="1976"/>
      <c r="R38" s="1976"/>
      <c r="S38" s="1977"/>
      <c r="T38" s="2031"/>
      <c r="U38" s="1975"/>
      <c r="V38" s="1975"/>
      <c r="W38" s="1975"/>
      <c r="X38" s="1976"/>
      <c r="Y38" s="1976"/>
      <c r="Z38" s="1976"/>
      <c r="AA38" s="1977"/>
    </row>
    <row r="39" spans="1:27" ht="12" customHeight="1" x14ac:dyDescent="0.2">
      <c r="A39" s="1951" t="s">
        <v>531</v>
      </c>
      <c r="B39" s="1952"/>
      <c r="C39" s="72"/>
      <c r="D39" s="69"/>
      <c r="E39" s="69"/>
      <c r="F39" s="79"/>
      <c r="G39" s="69"/>
      <c r="H39" s="56"/>
      <c r="I39" s="1951" t="s">
        <v>531</v>
      </c>
      <c r="J39" s="1952"/>
      <c r="K39" s="1952"/>
      <c r="L39" s="1952"/>
      <c r="M39" s="1952"/>
      <c r="N39" s="67"/>
      <c r="O39" s="72"/>
      <c r="P39" s="72"/>
      <c r="Q39" s="78"/>
      <c r="R39" s="72"/>
      <c r="S39" s="56"/>
      <c r="T39" s="72" t="s">
        <v>531</v>
      </c>
      <c r="U39" s="51"/>
      <c r="V39" s="72"/>
      <c r="W39" s="50"/>
      <c r="X39" s="78"/>
      <c r="Y39" s="45"/>
      <c r="Z39" s="45"/>
      <c r="AA39" s="46"/>
    </row>
    <row r="40" spans="1:27" ht="13.5" customHeight="1" x14ac:dyDescent="0.2">
      <c r="A40" s="1959" t="s">
        <v>2083</v>
      </c>
      <c r="B40" s="1960"/>
      <c r="C40" s="1961"/>
      <c r="D40" s="1961"/>
      <c r="E40" s="1961"/>
      <c r="F40" s="1962"/>
      <c r="G40" s="1962"/>
      <c r="H40" s="1963"/>
      <c r="I40" s="1984"/>
      <c r="J40" s="1985"/>
      <c r="K40" s="1985"/>
      <c r="L40" s="1985"/>
      <c r="M40" s="1985"/>
      <c r="N40" s="1985"/>
      <c r="O40" s="1985"/>
      <c r="P40" s="1985"/>
      <c r="Q40" s="1985"/>
      <c r="R40" s="1985"/>
      <c r="S40" s="1986"/>
      <c r="T40" s="1984"/>
      <c r="U40" s="2047"/>
      <c r="V40" s="1985"/>
      <c r="W40" s="1985"/>
      <c r="X40" s="1985"/>
      <c r="Y40" s="1985"/>
      <c r="Z40" s="1985"/>
      <c r="AA40" s="1986"/>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3" t="s">
        <v>2085</v>
      </c>
      <c r="B42" s="1965"/>
      <c r="C42" s="1966"/>
      <c r="D42" s="1964" t="s">
        <v>2086</v>
      </c>
      <c r="E42" s="1965"/>
      <c r="F42" s="1965"/>
      <c r="G42" s="1965"/>
      <c r="H42" s="1966"/>
      <c r="I42" s="1948"/>
      <c r="J42" s="1949"/>
      <c r="K42" s="1949"/>
      <c r="L42" s="1949"/>
      <c r="M42" s="1949"/>
      <c r="N42" s="1949"/>
      <c r="O42" s="1950"/>
      <c r="P42" s="1983"/>
      <c r="Q42" s="1949"/>
      <c r="R42" s="1949"/>
      <c r="S42" s="1950"/>
      <c r="T42" s="1948"/>
      <c r="U42" s="1949"/>
      <c r="V42" s="1949"/>
      <c r="W42" s="1950"/>
      <c r="X42" s="1983"/>
      <c r="Y42" s="1949"/>
      <c r="Z42" s="1949"/>
      <c r="AA42" s="1950"/>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8"/>
      <c r="B44" s="1979"/>
      <c r="C44" s="1979"/>
      <c r="D44" s="1979"/>
      <c r="E44" s="1979"/>
      <c r="F44" s="1979"/>
      <c r="G44" s="1979"/>
      <c r="H44" s="1980"/>
      <c r="I44" s="1953"/>
      <c r="J44" s="1954"/>
      <c r="K44" s="1954"/>
      <c r="L44" s="1954"/>
      <c r="M44" s="1954"/>
      <c r="N44" s="1954"/>
      <c r="O44" s="1954"/>
      <c r="P44" s="1954"/>
      <c r="Q44" s="1954"/>
      <c r="R44" s="1954"/>
      <c r="S44" s="1955"/>
      <c r="T44" s="1953"/>
      <c r="U44" s="1972"/>
      <c r="V44" s="1972"/>
      <c r="W44" s="1972"/>
      <c r="X44" s="1972"/>
      <c r="Y44" s="1972"/>
      <c r="Z44" s="1954"/>
      <c r="AA44" s="1955"/>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J31" sqref="J31"/>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1951</v>
      </c>
      <c r="C2" s="714" t="s">
        <v>1952</v>
      </c>
      <c r="D2" s="714" t="s">
        <v>1953</v>
      </c>
      <c r="E2" s="714" t="s">
        <v>1954</v>
      </c>
      <c r="F2" s="714" t="s">
        <v>1955</v>
      </c>
    </row>
    <row r="3" spans="1:6" ht="12" customHeight="1" x14ac:dyDescent="0.2">
      <c r="A3" s="2188"/>
      <c r="B3" s="1525"/>
      <c r="C3" s="1526"/>
      <c r="D3" s="1527" t="s">
        <v>256</v>
      </c>
      <c r="E3" s="1526"/>
      <c r="F3" s="1527" t="s">
        <v>257</v>
      </c>
    </row>
    <row r="4" spans="1:6" ht="13.7" customHeight="1" x14ac:dyDescent="0.2">
      <c r="A4" s="715" t="s">
        <v>1155</v>
      </c>
      <c r="B4" s="1749">
        <f>'Revenues 9-14'!C5</f>
        <v>3746369</v>
      </c>
      <c r="C4" s="1524"/>
      <c r="D4" s="1752">
        <f>B4-C4</f>
        <v>3746369</v>
      </c>
      <c r="E4" s="1524">
        <v>3787768</v>
      </c>
      <c r="F4" s="1752">
        <f>E4-C4</f>
        <v>3787768</v>
      </c>
    </row>
    <row r="5" spans="1:6" ht="13.7" customHeight="1" x14ac:dyDescent="0.2">
      <c r="A5" s="715" t="s">
        <v>870</v>
      </c>
      <c r="B5" s="1750">
        <f>'Revenues 9-14'!D5</f>
        <v>594661</v>
      </c>
      <c r="C5" s="585"/>
      <c r="D5" s="1753">
        <f t="shared" ref="D5:D18" si="0">B5-C5</f>
        <v>594661</v>
      </c>
      <c r="E5" s="585">
        <v>601233</v>
      </c>
      <c r="F5" s="1753">
        <f>E5-C5</f>
        <v>601233</v>
      </c>
    </row>
    <row r="6" spans="1:6" ht="13.7" customHeight="1" x14ac:dyDescent="0.2">
      <c r="A6" s="715" t="s">
        <v>411</v>
      </c>
      <c r="B6" s="1750">
        <f>'Revenues 9-14'!E5</f>
        <v>860700</v>
      </c>
      <c r="C6" s="585"/>
      <c r="D6" s="1753">
        <f t="shared" si="0"/>
        <v>860700</v>
      </c>
      <c r="E6" s="585">
        <v>864078</v>
      </c>
      <c r="F6" s="1753">
        <f t="shared" ref="F6:F18" si="1">E6-C6</f>
        <v>864078</v>
      </c>
    </row>
    <row r="7" spans="1:6" ht="13.7" customHeight="1" x14ac:dyDescent="0.2">
      <c r="A7" s="715" t="s">
        <v>155</v>
      </c>
      <c r="B7" s="1750">
        <f>'Revenues 9-14'!F5</f>
        <v>237864</v>
      </c>
      <c r="C7" s="585"/>
      <c r="D7" s="1753">
        <f t="shared" si="0"/>
        <v>237864</v>
      </c>
      <c r="E7" s="585">
        <v>240493</v>
      </c>
      <c r="F7" s="1753">
        <f t="shared" si="1"/>
        <v>240493</v>
      </c>
    </row>
    <row r="8" spans="1:6" ht="13.7" customHeight="1" x14ac:dyDescent="0.2">
      <c r="A8" s="715" t="s">
        <v>1179</v>
      </c>
      <c r="B8" s="1750">
        <f>'Revenues 9-14'!G5</f>
        <v>130146</v>
      </c>
      <c r="C8" s="585"/>
      <c r="D8" s="1753">
        <f t="shared" si="0"/>
        <v>130146</v>
      </c>
      <c r="E8" s="585">
        <v>200241</v>
      </c>
      <c r="F8" s="1753">
        <f t="shared" si="1"/>
        <v>200241</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59467</v>
      </c>
      <c r="C10" s="585"/>
      <c r="D10" s="1753">
        <f t="shared" si="0"/>
        <v>59467</v>
      </c>
      <c r="E10" s="585">
        <v>60123</v>
      </c>
      <c r="F10" s="1753">
        <f t="shared" si="1"/>
        <v>60123</v>
      </c>
    </row>
    <row r="11" spans="1:6" x14ac:dyDescent="0.2">
      <c r="A11" s="715" t="s">
        <v>409</v>
      </c>
      <c r="B11" s="1750">
        <f>'Revenues 9-14'!J5</f>
        <v>328992</v>
      </c>
      <c r="C11" s="585"/>
      <c r="D11" s="1753">
        <f t="shared" si="0"/>
        <v>328992</v>
      </c>
      <c r="E11" s="585">
        <v>350420</v>
      </c>
      <c r="F11" s="1753">
        <f t="shared" si="1"/>
        <v>350420</v>
      </c>
    </row>
    <row r="12" spans="1:6" ht="13.7" customHeight="1" x14ac:dyDescent="0.2">
      <c r="A12" s="715" t="s">
        <v>157</v>
      </c>
      <c r="B12" s="1750">
        <f>'Revenues 9-14'!K5</f>
        <v>59466</v>
      </c>
      <c r="C12" s="585"/>
      <c r="D12" s="1753">
        <f t="shared" si="0"/>
        <v>59466</v>
      </c>
      <c r="E12" s="585">
        <v>60123</v>
      </c>
      <c r="F12" s="1753">
        <f t="shared" si="1"/>
        <v>60123</v>
      </c>
    </row>
    <row r="13" spans="1:6" ht="13.7" customHeight="1" x14ac:dyDescent="0.2">
      <c r="A13" s="715" t="s">
        <v>936</v>
      </c>
      <c r="B13" s="1750">
        <f>SUM('Revenues 9-14'!C6:D6)</f>
        <v>59466</v>
      </c>
      <c r="C13" s="585"/>
      <c r="D13" s="1753">
        <f t="shared" si="0"/>
        <v>59466</v>
      </c>
      <c r="E13" s="585">
        <v>60123</v>
      </c>
      <c r="F13" s="1753">
        <f t="shared" si="1"/>
        <v>60123</v>
      </c>
    </row>
    <row r="14" spans="1:6" ht="13.7" customHeight="1" x14ac:dyDescent="0.2">
      <c r="A14" s="715" t="s">
        <v>410</v>
      </c>
      <c r="B14" s="1750">
        <f>SUM('Revenues 9-14'!C7:D7,'Revenues 9-14'!F7:H7)</f>
        <v>47573</v>
      </c>
      <c r="C14" s="585"/>
      <c r="D14" s="1753">
        <f t="shared" si="0"/>
        <v>47573</v>
      </c>
      <c r="E14" s="585">
        <v>48099</v>
      </c>
      <c r="F14" s="1753">
        <f t="shared" si="1"/>
        <v>48099</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220243</v>
      </c>
      <c r="C16" s="585"/>
      <c r="D16" s="1753">
        <f t="shared" si="0"/>
        <v>220243</v>
      </c>
      <c r="E16" s="585">
        <v>230275</v>
      </c>
      <c r="F16" s="1753">
        <f t="shared" si="1"/>
        <v>230275</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v>-1620</v>
      </c>
      <c r="F18" s="1753">
        <f t="shared" si="1"/>
        <v>-1620</v>
      </c>
    </row>
    <row r="19" spans="1:6" ht="13.7" customHeight="1" thickBot="1" x14ac:dyDescent="0.25">
      <c r="A19" s="1754" t="s">
        <v>1161</v>
      </c>
      <c r="B19" s="1751">
        <f>SUM(B4:B18)</f>
        <v>6344947</v>
      </c>
      <c r="C19" s="1751">
        <f>SUM(C4:C18)</f>
        <v>0</v>
      </c>
      <c r="D19" s="1751">
        <f>SUM(D4:D18)</f>
        <v>6344947</v>
      </c>
      <c r="E19" s="1751">
        <f>SUM(E4:E18)</f>
        <v>6501356</v>
      </c>
      <c r="F19" s="1751">
        <f>SUM(F4:F18)</f>
        <v>6501356</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6" colorId="8" zoomScale="110" zoomScaleNormal="110" workbookViewId="0">
      <selection activeCell="J31" sqref="J3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629</v>
      </c>
      <c r="B1" s="2207"/>
      <c r="C1" s="721"/>
    </row>
    <row r="2" spans="1:7" ht="33.75" x14ac:dyDescent="0.2">
      <c r="A2" s="2214" t="s">
        <v>1802</v>
      </c>
      <c r="B2" s="2215"/>
      <c r="C2" s="1884" t="s">
        <v>1956</v>
      </c>
      <c r="D2" s="723" t="s">
        <v>1957</v>
      </c>
      <c r="E2" s="723" t="s">
        <v>1958</v>
      </c>
      <c r="F2" s="1884" t="s">
        <v>1959</v>
      </c>
    </row>
    <row r="3" spans="1:7" ht="15.75" customHeight="1" x14ac:dyDescent="0.2">
      <c r="A3" s="2216" t="s">
        <v>1114</v>
      </c>
      <c r="B3" s="2217"/>
      <c r="C3" s="2210"/>
      <c r="D3" s="2211"/>
      <c r="E3" s="2211"/>
      <c r="F3" s="2212"/>
    </row>
    <row r="4" spans="1:7" ht="12.75" customHeight="1" thickBot="1" x14ac:dyDescent="0.25">
      <c r="A4" s="2204" t="s">
        <v>630</v>
      </c>
      <c r="B4" s="2205"/>
      <c r="C4" s="581"/>
      <c r="D4" s="581"/>
      <c r="E4" s="581"/>
      <c r="F4" s="1755">
        <f>SUM(C4+D4)-E4</f>
        <v>0</v>
      </c>
    </row>
    <row r="5" spans="1:7" ht="15.75" customHeight="1" thickTop="1" x14ac:dyDescent="0.2">
      <c r="A5" s="2208" t="s">
        <v>1110</v>
      </c>
      <c r="B5" s="2203"/>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200" t="s">
        <v>631</v>
      </c>
      <c r="B15" s="2201"/>
      <c r="C15" s="1755">
        <f>SUM(C6:C14)</f>
        <v>0</v>
      </c>
      <c r="D15" s="1755">
        <f>SUM(D6:D14)</f>
        <v>0</v>
      </c>
      <c r="E15" s="1755">
        <f>SUM(E6:E14)</f>
        <v>0</v>
      </c>
      <c r="F15" s="1755">
        <f>SUM(F6:F14)</f>
        <v>0</v>
      </c>
      <c r="G15" s="552"/>
    </row>
    <row r="16" spans="1:7" s="202" customFormat="1" ht="15.75" customHeight="1" thickTop="1" x14ac:dyDescent="0.2">
      <c r="A16" s="2213" t="s">
        <v>1111</v>
      </c>
      <c r="B16" s="2203"/>
      <c r="C16" s="2197"/>
      <c r="D16" s="2198"/>
      <c r="E16" s="2198"/>
      <c r="F16" s="2199"/>
    </row>
    <row r="17" spans="1:11" ht="12.75" customHeight="1" thickBot="1" x14ac:dyDescent="0.25">
      <c r="A17" s="2195" t="s">
        <v>64</v>
      </c>
      <c r="B17" s="2196"/>
      <c r="C17" s="726"/>
      <c r="D17" s="585"/>
      <c r="E17" s="726"/>
      <c r="F17" s="1755">
        <f>SUM(C17+D17)-E17</f>
        <v>0</v>
      </c>
    </row>
    <row r="18" spans="1:11" ht="12.75" customHeight="1" thickTop="1" thickBot="1" x14ac:dyDescent="0.25">
      <c r="A18" s="2195" t="s">
        <v>6</v>
      </c>
      <c r="B18" s="2196"/>
      <c r="C18" s="726"/>
      <c r="D18" s="585"/>
      <c r="E18" s="726"/>
      <c r="F18" s="1755">
        <f>SUM(C18+D18)-E18</f>
        <v>0</v>
      </c>
    </row>
    <row r="19" spans="1:11" ht="12.75" customHeight="1" thickTop="1" thickBot="1" x14ac:dyDescent="0.25">
      <c r="A19" s="2195" t="s">
        <v>388</v>
      </c>
      <c r="B19" s="2196"/>
      <c r="C19" s="726"/>
      <c r="D19" s="585"/>
      <c r="E19" s="726"/>
      <c r="F19" s="1755">
        <f>SUM(C19+D19)-E19</f>
        <v>0</v>
      </c>
    </row>
    <row r="20" spans="1:11" ht="12.75" customHeight="1" thickTop="1" thickBot="1" x14ac:dyDescent="0.25">
      <c r="A20" s="2195" t="s">
        <v>448</v>
      </c>
      <c r="B20" s="2196"/>
      <c r="C20" s="726"/>
      <c r="D20" s="585"/>
      <c r="E20" s="726"/>
      <c r="F20" s="1755">
        <f>SUM(C20+D20)-E20</f>
        <v>0</v>
      </c>
    </row>
    <row r="21" spans="1:11" ht="14.25" thickTop="1" thickBot="1" x14ac:dyDescent="0.25">
      <c r="A21" s="2200" t="s">
        <v>632</v>
      </c>
      <c r="B21" s="2201"/>
      <c r="C21" s="1755">
        <f>SUM(C17:C20)</f>
        <v>0</v>
      </c>
      <c r="D21" s="1755">
        <f>SUM(D17:D20)</f>
        <v>0</v>
      </c>
      <c r="E21" s="1755">
        <f>SUM(E17:E20)</f>
        <v>0</v>
      </c>
      <c r="F21" s="1755">
        <f>SUM(F17:F20)</f>
        <v>0</v>
      </c>
      <c r="G21" s="552"/>
    </row>
    <row r="22" spans="1:11" ht="15.75" customHeight="1" thickTop="1" x14ac:dyDescent="0.2">
      <c r="A22" s="2202" t="s">
        <v>1112</v>
      </c>
      <c r="B22" s="2203"/>
      <c r="C22" s="2197"/>
      <c r="D22" s="2198"/>
      <c r="E22" s="2198"/>
      <c r="F22" s="2199"/>
    </row>
    <row r="23" spans="1:11" ht="13.5" thickBot="1" x14ac:dyDescent="0.25">
      <c r="A23" s="2204" t="s">
        <v>633</v>
      </c>
      <c r="B23" s="2205"/>
      <c r="C23" s="581"/>
      <c r="D23" s="581"/>
      <c r="E23" s="581"/>
      <c r="F23" s="1755">
        <f>SUM(C23+D23)-E23</f>
        <v>0</v>
      </c>
      <c r="G23" s="552"/>
    </row>
    <row r="24" spans="1:11" ht="15.75" customHeight="1" thickTop="1" x14ac:dyDescent="0.2">
      <c r="A24" s="2202" t="s">
        <v>1113</v>
      </c>
      <c r="B24" s="2203"/>
      <c r="C24" s="2197"/>
      <c r="D24" s="2198"/>
      <c r="E24" s="2198"/>
      <c r="F24" s="2199"/>
    </row>
    <row r="25" spans="1:11" ht="13.5" thickBot="1" x14ac:dyDescent="0.25">
      <c r="A25" s="2204" t="s">
        <v>634</v>
      </c>
      <c r="B25" s="2205"/>
      <c r="C25" s="581"/>
      <c r="D25" s="581"/>
      <c r="E25" s="581"/>
      <c r="F25" s="1755">
        <f>SUM(C25+D25)-E25</f>
        <v>0</v>
      </c>
      <c r="G25" s="552"/>
    </row>
    <row r="26" spans="1:11" ht="15.75" customHeight="1" thickTop="1" x14ac:dyDescent="0.2">
      <c r="A26" s="2208" t="s">
        <v>657</v>
      </c>
      <c r="B26" s="2203"/>
      <c r="C26" s="727"/>
      <c r="D26" s="727"/>
      <c r="E26" s="727"/>
      <c r="F26" s="728"/>
    </row>
    <row r="27" spans="1:11" ht="13.5" thickBot="1" x14ac:dyDescent="0.25">
      <c r="A27" s="2200" t="s">
        <v>1070</v>
      </c>
      <c r="B27" s="2201"/>
      <c r="C27" s="585"/>
      <c r="D27" s="585"/>
      <c r="E27" s="585"/>
      <c r="F27" s="1755">
        <f>SUM(C27+D27)-E27</f>
        <v>0</v>
      </c>
      <c r="G27" s="552"/>
    </row>
    <row r="28" spans="1:11" ht="7.5" customHeight="1" thickTop="1" x14ac:dyDescent="0.2">
      <c r="A28" s="593"/>
    </row>
    <row r="29" spans="1:11" ht="23.25" customHeight="1" x14ac:dyDescent="0.2">
      <c r="A29" s="2206" t="s">
        <v>582</v>
      </c>
      <c r="B29" s="2207"/>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2074</v>
      </c>
      <c r="B31" s="733">
        <v>42744</v>
      </c>
      <c r="C31" s="734">
        <v>1100000</v>
      </c>
      <c r="D31" s="735">
        <v>2</v>
      </c>
      <c r="E31" s="734">
        <v>570000</v>
      </c>
      <c r="F31" s="734"/>
      <c r="G31" s="734"/>
      <c r="H31" s="734">
        <v>570000</v>
      </c>
      <c r="I31" s="1756">
        <f>((E31+F31)-H31)+G31</f>
        <v>0</v>
      </c>
      <c r="J31" s="734">
        <v>0</v>
      </c>
      <c r="K31" s="736"/>
    </row>
    <row r="32" spans="1:11" ht="12" customHeight="1" x14ac:dyDescent="0.2">
      <c r="A32" s="732" t="s">
        <v>2075</v>
      </c>
      <c r="B32" s="733">
        <v>43083</v>
      </c>
      <c r="C32" s="734">
        <v>4230000</v>
      </c>
      <c r="D32" s="735">
        <v>3</v>
      </c>
      <c r="E32" s="734">
        <v>4230000</v>
      </c>
      <c r="F32" s="734"/>
      <c r="G32" s="734"/>
      <c r="H32" s="734">
        <v>285000</v>
      </c>
      <c r="I32" s="1756">
        <f>((E32+F32)-H32)+G32</f>
        <v>3945000</v>
      </c>
      <c r="J32" s="734">
        <f>3945000-'Assets-Liab 5-6'!E13</f>
        <v>3799893</v>
      </c>
      <c r="K32" s="736"/>
    </row>
    <row r="33" spans="1:11" ht="12" customHeight="1" x14ac:dyDescent="0.2">
      <c r="A33" s="732" t="s">
        <v>2076</v>
      </c>
      <c r="B33" s="733">
        <v>43083</v>
      </c>
      <c r="C33" s="734">
        <v>5655000</v>
      </c>
      <c r="D33" s="735">
        <v>6</v>
      </c>
      <c r="E33" s="734">
        <v>5655000</v>
      </c>
      <c r="F33" s="734"/>
      <c r="G33" s="734"/>
      <c r="H33" s="734"/>
      <c r="I33" s="1756">
        <f t="shared" ref="I33:I48" si="1">((E33+F33)-H33)+G33</f>
        <v>5655000</v>
      </c>
      <c r="J33" s="734">
        <v>5655000</v>
      </c>
      <c r="K33" s="736"/>
    </row>
    <row r="34" spans="1:11" ht="12" customHeight="1" x14ac:dyDescent="0.2">
      <c r="A34" s="732" t="s">
        <v>2077</v>
      </c>
      <c r="B34" s="733">
        <v>42184</v>
      </c>
      <c r="C34" s="734">
        <v>19194</v>
      </c>
      <c r="D34" s="735">
        <v>7</v>
      </c>
      <c r="E34" s="734">
        <v>6684</v>
      </c>
      <c r="F34" s="734"/>
      <c r="G34" s="734"/>
      <c r="H34" s="734">
        <v>6684</v>
      </c>
      <c r="I34" s="1756">
        <f t="shared" si="1"/>
        <v>0</v>
      </c>
      <c r="J34" s="734">
        <v>0</v>
      </c>
      <c r="K34" s="737"/>
    </row>
    <row r="35" spans="1:11" ht="12" customHeight="1" x14ac:dyDescent="0.2">
      <c r="A35" s="732" t="s">
        <v>2078</v>
      </c>
      <c r="B35" s="733">
        <v>43132</v>
      </c>
      <c r="C35" s="738">
        <v>58642</v>
      </c>
      <c r="D35" s="735">
        <v>7</v>
      </c>
      <c r="E35" s="738">
        <v>45869</v>
      </c>
      <c r="F35" s="738"/>
      <c r="G35" s="738"/>
      <c r="H35" s="738">
        <v>10728</v>
      </c>
      <c r="I35" s="1756">
        <f t="shared" si="1"/>
        <v>35141</v>
      </c>
      <c r="J35" s="738">
        <v>35141</v>
      </c>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11062836</v>
      </c>
      <c r="D49" s="745"/>
      <c r="E49" s="1756">
        <f t="shared" ref="E49:J49" si="2">SUM(E31:E48)</f>
        <v>10507553</v>
      </c>
      <c r="F49" s="1756">
        <f t="shared" si="2"/>
        <v>0</v>
      </c>
      <c r="G49" s="1756">
        <f t="shared" si="2"/>
        <v>0</v>
      </c>
      <c r="H49" s="1756">
        <f t="shared" si="2"/>
        <v>872412</v>
      </c>
      <c r="I49" s="1756">
        <f t="shared" si="2"/>
        <v>9635141</v>
      </c>
      <c r="J49" s="1756">
        <f t="shared" si="2"/>
        <v>9490034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9" t="s">
        <v>584</v>
      </c>
      <c r="C52" s="2190"/>
      <c r="D52" s="2190"/>
      <c r="E52" s="749" t="s">
        <v>845</v>
      </c>
      <c r="F52" s="2191" t="s">
        <v>2079</v>
      </c>
      <c r="G52" s="2192"/>
      <c r="H52" s="736"/>
      <c r="I52" s="736"/>
      <c r="J52" s="746"/>
    </row>
    <row r="53" spans="1:11" ht="11.25" customHeight="1" x14ac:dyDescent="0.2">
      <c r="A53" s="750" t="s">
        <v>913</v>
      </c>
      <c r="B53" s="751" t="s">
        <v>951</v>
      </c>
      <c r="C53" s="746"/>
      <c r="D53" s="737"/>
      <c r="E53" s="749" t="s">
        <v>497</v>
      </c>
      <c r="F53" s="2193"/>
      <c r="G53" s="2194"/>
      <c r="H53" s="736"/>
      <c r="I53" s="736"/>
      <c r="J53" s="746"/>
    </row>
    <row r="54" spans="1:11" ht="11.25" customHeight="1" x14ac:dyDescent="0.2">
      <c r="A54" s="752" t="s">
        <v>914</v>
      </c>
      <c r="B54" s="747" t="s">
        <v>952</v>
      </c>
      <c r="C54" s="746"/>
      <c r="D54" s="737"/>
      <c r="E54" s="749" t="s">
        <v>498</v>
      </c>
      <c r="F54" s="2193"/>
      <c r="G54" s="219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H31" sqref="H31:K3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8" t="s">
        <v>856</v>
      </c>
      <c r="B1" s="2219"/>
      <c r="C1" s="2219"/>
      <c r="D1" s="2219"/>
      <c r="E1" s="2219"/>
      <c r="F1" s="2219"/>
      <c r="G1" s="2220"/>
      <c r="H1" s="1530"/>
      <c r="I1" s="760"/>
      <c r="J1" s="433"/>
    </row>
    <row r="2" spans="1:11" ht="26.25" x14ac:dyDescent="0.2">
      <c r="A2" s="2237" t="s">
        <v>1677</v>
      </c>
      <c r="B2" s="2238"/>
      <c r="C2" s="2238"/>
      <c r="D2" s="2238"/>
      <c r="E2" s="2239"/>
      <c r="F2" s="761" t="s">
        <v>904</v>
      </c>
      <c r="G2" s="762" t="s">
        <v>1674</v>
      </c>
      <c r="H2" s="762" t="s">
        <v>410</v>
      </c>
      <c r="I2" s="762" t="s">
        <v>1158</v>
      </c>
      <c r="J2" s="762" t="s">
        <v>1812</v>
      </c>
      <c r="K2" s="762" t="s">
        <v>138</v>
      </c>
    </row>
    <row r="3" spans="1:11" x14ac:dyDescent="0.2">
      <c r="A3" s="2240" t="s">
        <v>1964</v>
      </c>
      <c r="B3" s="2241"/>
      <c r="C3" s="2241"/>
      <c r="D3" s="2241"/>
      <c r="E3" s="2242"/>
      <c r="F3" s="763"/>
      <c r="G3" s="764"/>
      <c r="H3" s="764"/>
      <c r="I3" s="764"/>
      <c r="J3" s="765"/>
      <c r="K3" s="765"/>
    </row>
    <row r="4" spans="1:11" x14ac:dyDescent="0.2">
      <c r="A4" s="2243" t="s">
        <v>369</v>
      </c>
      <c r="B4" s="2244"/>
      <c r="C4" s="2244"/>
      <c r="D4" s="2244"/>
      <c r="E4" s="2190"/>
      <c r="F4" s="766"/>
      <c r="G4" s="767"/>
      <c r="H4" s="768"/>
      <c r="I4" s="767"/>
      <c r="J4" s="769"/>
      <c r="K4" s="769"/>
    </row>
    <row r="5" spans="1:11" x14ac:dyDescent="0.2">
      <c r="A5" s="2221" t="s">
        <v>1069</v>
      </c>
      <c r="B5" s="2222"/>
      <c r="C5" s="2222"/>
      <c r="D5" s="2222"/>
      <c r="E5" s="2223"/>
      <c r="F5" s="770" t="s">
        <v>848</v>
      </c>
      <c r="G5" s="771"/>
      <c r="H5" s="764">
        <v>47573</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15277</v>
      </c>
    </row>
    <row r="8" spans="1:11" x14ac:dyDescent="0.2">
      <c r="A8" s="778" t="s">
        <v>345</v>
      </c>
      <c r="B8" s="779"/>
      <c r="C8" s="779"/>
      <c r="D8" s="779"/>
      <c r="E8" s="780"/>
      <c r="F8" s="770" t="s">
        <v>851</v>
      </c>
      <c r="G8" s="782"/>
      <c r="H8" s="782"/>
      <c r="I8" s="782"/>
      <c r="J8" s="765">
        <v>5435</v>
      </c>
      <c r="K8" s="769"/>
    </row>
    <row r="9" spans="1:11" x14ac:dyDescent="0.2">
      <c r="A9" s="778" t="s">
        <v>138</v>
      </c>
      <c r="B9" s="779"/>
      <c r="C9" s="779"/>
      <c r="D9" s="779"/>
      <c r="E9" s="780"/>
      <c r="F9" s="777" t="s">
        <v>853</v>
      </c>
      <c r="G9" s="782"/>
      <c r="H9" s="771"/>
      <c r="I9" s="771"/>
      <c r="J9" s="781"/>
      <c r="K9" s="765">
        <v>13203</v>
      </c>
    </row>
    <row r="10" spans="1:11" x14ac:dyDescent="0.2">
      <c r="A10" s="2221" t="s">
        <v>1813</v>
      </c>
      <c r="B10" s="2222"/>
      <c r="C10" s="2222"/>
      <c r="D10" s="2222"/>
      <c r="E10" s="2224"/>
      <c r="F10" s="783" t="s">
        <v>862</v>
      </c>
      <c r="G10" s="782"/>
      <c r="H10" s="784"/>
      <c r="I10" s="764"/>
      <c r="J10" s="765"/>
      <c r="K10" s="765"/>
    </row>
    <row r="11" spans="1:11" x14ac:dyDescent="0.2">
      <c r="A11" s="2221" t="s">
        <v>160</v>
      </c>
      <c r="B11" s="2222"/>
      <c r="C11" s="2222"/>
      <c r="D11" s="2222"/>
      <c r="E11" s="2223"/>
      <c r="F11" s="770" t="s">
        <v>852</v>
      </c>
      <c r="G11" s="771"/>
      <c r="H11" s="764"/>
      <c r="I11" s="764"/>
      <c r="J11" s="765"/>
      <c r="K11" s="773"/>
    </row>
    <row r="12" spans="1:11" ht="13.5" thickBot="1" x14ac:dyDescent="0.25">
      <c r="A12" s="2248" t="s">
        <v>905</v>
      </c>
      <c r="B12" s="2249"/>
      <c r="C12" s="2249"/>
      <c r="D12" s="2249"/>
      <c r="E12" s="2250"/>
      <c r="F12" s="1757"/>
      <c r="G12" s="1758">
        <f>SUM(G5:G11)</f>
        <v>0</v>
      </c>
      <c r="H12" s="1758">
        <f>SUM(H5:H11)</f>
        <v>47573</v>
      </c>
      <c r="I12" s="1758">
        <f>SUM(I5:I11)</f>
        <v>0</v>
      </c>
      <c r="J12" s="1758">
        <f>SUM(J5:J11)</f>
        <v>5435</v>
      </c>
      <c r="K12" s="1758">
        <f>SUM(K5:K11)</f>
        <v>28480</v>
      </c>
    </row>
    <row r="13" spans="1:11" ht="13.5" thickTop="1" x14ac:dyDescent="0.2">
      <c r="A13" s="2245" t="s">
        <v>370</v>
      </c>
      <c r="B13" s="2246"/>
      <c r="C13" s="2246"/>
      <c r="D13" s="2246"/>
      <c r="E13" s="2247"/>
      <c r="F13" s="785"/>
      <c r="G13" s="786"/>
      <c r="H13" s="787"/>
      <c r="I13" s="788"/>
      <c r="J13" s="788"/>
      <c r="K13" s="788"/>
    </row>
    <row r="14" spans="1:11" x14ac:dyDescent="0.2">
      <c r="A14" s="2228" t="s">
        <v>456</v>
      </c>
      <c r="B14" s="2228"/>
      <c r="C14" s="2228"/>
      <c r="D14" s="2228"/>
      <c r="E14" s="2229"/>
      <c r="F14" s="789" t="s">
        <v>854</v>
      </c>
      <c r="G14" s="782"/>
      <c r="H14" s="764">
        <v>47573</v>
      </c>
      <c r="I14" s="771"/>
      <c r="J14" s="773"/>
      <c r="K14" s="765">
        <v>28480</v>
      </c>
    </row>
    <row r="15" spans="1:11" x14ac:dyDescent="0.2">
      <c r="A15" s="2222" t="s">
        <v>4</v>
      </c>
      <c r="B15" s="2222"/>
      <c r="C15" s="2222"/>
      <c r="D15" s="2222"/>
      <c r="E15" s="2223"/>
      <c r="F15" s="789" t="s">
        <v>855</v>
      </c>
      <c r="G15" s="771"/>
      <c r="H15" s="764"/>
      <c r="I15" s="764"/>
      <c r="J15" s="765"/>
      <c r="K15" s="765"/>
    </row>
    <row r="16" spans="1:11" x14ac:dyDescent="0.2">
      <c r="A16" s="2222" t="s">
        <v>298</v>
      </c>
      <c r="B16" s="2222"/>
      <c r="C16" s="2222"/>
      <c r="D16" s="2222"/>
      <c r="E16" s="2223"/>
      <c r="F16" s="789" t="s">
        <v>923</v>
      </c>
      <c r="G16" s="772"/>
      <c r="H16" s="767"/>
      <c r="I16" s="767"/>
      <c r="J16" s="769"/>
      <c r="K16" s="769"/>
    </row>
    <row r="17" spans="1:11" x14ac:dyDescent="0.2">
      <c r="A17" s="2253" t="s">
        <v>935</v>
      </c>
      <c r="B17" s="2253"/>
      <c r="C17" s="2253"/>
      <c r="D17" s="2253"/>
      <c r="E17" s="2254"/>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30" t="s">
        <v>1809</v>
      </c>
      <c r="B19" s="2230"/>
      <c r="C19" s="2230"/>
      <c r="D19" s="2230"/>
      <c r="E19" s="2231"/>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51" t="s">
        <v>638</v>
      </c>
      <c r="B21" s="2251"/>
      <c r="C21" s="2251"/>
      <c r="D21" s="2251"/>
      <c r="E21" s="2251"/>
      <c r="F21" s="1759"/>
      <c r="G21" s="792"/>
      <c r="H21" s="796"/>
      <c r="I21" s="796"/>
      <c r="J21" s="1760">
        <f>SUM(J18:J20)</f>
        <v>0</v>
      </c>
      <c r="K21" s="793"/>
    </row>
    <row r="22" spans="1:11" ht="13.5" thickTop="1" x14ac:dyDescent="0.2">
      <c r="A22" s="2222" t="s">
        <v>1815</v>
      </c>
      <c r="B22" s="2222"/>
      <c r="C22" s="2222"/>
      <c r="D22" s="2222"/>
      <c r="E22" s="2223"/>
      <c r="F22" s="789" t="s">
        <v>862</v>
      </c>
      <c r="G22" s="782"/>
      <c r="H22" s="764"/>
      <c r="I22" s="764"/>
      <c r="J22" s="797"/>
      <c r="K22" s="765"/>
    </row>
    <row r="23" spans="1:11" ht="13.5" thickBot="1" x14ac:dyDescent="0.25">
      <c r="A23" s="2252" t="s">
        <v>906</v>
      </c>
      <c r="B23" s="2251"/>
      <c r="C23" s="2251"/>
      <c r="D23" s="2251"/>
      <c r="E23" s="2251"/>
      <c r="F23" s="1761"/>
      <c r="G23" s="1758">
        <f>SUM(G14:G16,G21,G22)</f>
        <v>0</v>
      </c>
      <c r="H23" s="1758">
        <f>SUM(H14:H16,H21,H22)</f>
        <v>47573</v>
      </c>
      <c r="I23" s="1758">
        <f>SUM(I14:I16,I21,I22)</f>
        <v>0</v>
      </c>
      <c r="J23" s="1758">
        <f>SUM(J14:J16,J21,J22)</f>
        <v>0</v>
      </c>
      <c r="K23" s="1758">
        <f>SUM(K14:K16,K21,K22)</f>
        <v>28480</v>
      </c>
    </row>
    <row r="24" spans="1:11" ht="14.25" thickTop="1" thickBot="1" x14ac:dyDescent="0.25">
      <c r="A24" s="2252" t="s">
        <v>1965</v>
      </c>
      <c r="B24" s="2251"/>
      <c r="C24" s="2251"/>
      <c r="D24" s="2251"/>
      <c r="E24" s="2251"/>
      <c r="F24" s="1762"/>
      <c r="G24" s="1763">
        <f>SUM(G3,G12)-G23</f>
        <v>0</v>
      </c>
      <c r="H24" s="1763">
        <f>SUM(H3,H12)-H23</f>
        <v>0</v>
      </c>
      <c r="I24" s="1763">
        <f>SUM(I3,I12)-I23</f>
        <v>0</v>
      </c>
      <c r="J24" s="1763">
        <f>SUM(J3,J12)-J23</f>
        <v>5435</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5435</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5"/>
      <c r="I31" s="2226"/>
      <c r="J31" s="2226"/>
      <c r="K31" s="2226"/>
    </row>
    <row r="32" spans="1:11" x14ac:dyDescent="0.2">
      <c r="A32" s="809"/>
      <c r="B32" s="237"/>
      <c r="C32" s="237"/>
      <c r="D32" s="237"/>
      <c r="E32" s="805"/>
      <c r="F32" s="811" t="s">
        <v>540</v>
      </c>
      <c r="G32" s="764"/>
      <c r="H32" s="2227"/>
      <c r="I32" s="2226"/>
      <c r="J32" s="2226"/>
      <c r="K32" s="2226"/>
    </row>
    <row r="33" spans="1:11" ht="1.5" customHeight="1" x14ac:dyDescent="0.2">
      <c r="A33" s="812" t="s">
        <v>1169</v>
      </c>
      <c r="B33" s="364"/>
      <c r="C33" s="364"/>
      <c r="D33" s="364"/>
      <c r="E33" s="364"/>
      <c r="F33" s="364"/>
      <c r="G33" s="813"/>
      <c r="H33" s="2227"/>
      <c r="I33" s="2226"/>
      <c r="J33" s="2226"/>
      <c r="K33" s="2226"/>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2" t="s">
        <v>541</v>
      </c>
      <c r="B41" s="2235"/>
      <c r="C41" s="2235"/>
      <c r="D41" s="2235"/>
      <c r="E41" s="2235"/>
      <c r="F41" s="2236"/>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J31" sqref="J3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1909</v>
      </c>
      <c r="B1" s="2258"/>
      <c r="C1" s="2259"/>
      <c r="D1" s="826"/>
      <c r="E1" s="827"/>
      <c r="F1" s="827"/>
      <c r="G1" s="828"/>
      <c r="H1" s="829"/>
      <c r="I1" s="830"/>
      <c r="J1" s="2255"/>
      <c r="K1" s="2256"/>
      <c r="L1" s="2256"/>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298234</v>
      </c>
      <c r="D5" s="841"/>
      <c r="E5" s="841"/>
      <c r="F5" s="1760">
        <f>(C5+D5)-E5</f>
        <v>298234</v>
      </c>
      <c r="G5" s="837"/>
      <c r="H5" s="842"/>
      <c r="I5" s="842"/>
      <c r="J5" s="842"/>
      <c r="K5" s="793"/>
      <c r="L5" s="1769">
        <f>F5-K5</f>
        <v>298234</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20817031</v>
      </c>
      <c r="D8" s="844">
        <v>1590131</v>
      </c>
      <c r="E8" s="844"/>
      <c r="F8" s="1760">
        <f>(C8+D8)-E8</f>
        <v>22407162</v>
      </c>
      <c r="G8" s="843">
        <v>50</v>
      </c>
      <c r="H8" s="765">
        <v>7020418</v>
      </c>
      <c r="I8" s="765">
        <v>396740</v>
      </c>
      <c r="J8" s="765"/>
      <c r="K8" s="1769">
        <f>(H8+I8)-J8</f>
        <v>7417158</v>
      </c>
      <c r="L8" s="1769">
        <f>F8-K8</f>
        <v>14990004</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657767</v>
      </c>
      <c r="D10" s="846">
        <v>3280756</v>
      </c>
      <c r="E10" s="846">
        <v>41516</v>
      </c>
      <c r="F10" s="1764">
        <f>(C10+D10)-E10</f>
        <v>3897007</v>
      </c>
      <c r="G10" s="843">
        <v>20</v>
      </c>
      <c r="H10" s="847">
        <v>408915</v>
      </c>
      <c r="I10" s="847">
        <v>101952</v>
      </c>
      <c r="J10" s="847">
        <v>41516</v>
      </c>
      <c r="K10" s="1769">
        <f>(H10+I10)-J10</f>
        <v>469351</v>
      </c>
      <c r="L10" s="1769">
        <f>F10-K10</f>
        <v>3427656</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1420887</v>
      </c>
      <c r="D12" s="844">
        <v>271944</v>
      </c>
      <c r="E12" s="844">
        <v>253381</v>
      </c>
      <c r="F12" s="1760">
        <f>(C12+D12)-E12</f>
        <v>1439450</v>
      </c>
      <c r="G12" s="843">
        <v>10</v>
      </c>
      <c r="H12" s="765">
        <v>907464</v>
      </c>
      <c r="I12" s="765">
        <v>142469</v>
      </c>
      <c r="J12" s="765">
        <v>253381</v>
      </c>
      <c r="K12" s="1769">
        <f>(H12+I12)-J12</f>
        <v>796552</v>
      </c>
      <c r="L12" s="1769">
        <f>F12-K12</f>
        <v>642898</v>
      </c>
    </row>
    <row r="13" spans="1:14" ht="14.25" thickTop="1" thickBot="1" x14ac:dyDescent="0.25">
      <c r="A13" s="848" t="s">
        <v>1122</v>
      </c>
      <c r="B13" s="840">
        <v>252</v>
      </c>
      <c r="C13" s="844">
        <v>935514</v>
      </c>
      <c r="D13" s="844">
        <v>38084</v>
      </c>
      <c r="E13" s="844">
        <v>49850</v>
      </c>
      <c r="F13" s="1760">
        <f>(C13+D13)-E13</f>
        <v>923748</v>
      </c>
      <c r="G13" s="843">
        <v>5</v>
      </c>
      <c r="H13" s="765">
        <v>847411</v>
      </c>
      <c r="I13" s="765">
        <v>45312</v>
      </c>
      <c r="J13" s="765">
        <v>49850</v>
      </c>
      <c r="K13" s="1769">
        <f>(H13+I13)-J13</f>
        <v>842873</v>
      </c>
      <c r="L13" s="1769">
        <f>F13-K13</f>
        <v>80875</v>
      </c>
    </row>
    <row r="14" spans="1:14" ht="14.25" thickTop="1" thickBot="1" x14ac:dyDescent="0.25">
      <c r="A14" s="848" t="s">
        <v>1123</v>
      </c>
      <c r="B14" s="840">
        <v>253</v>
      </c>
      <c r="C14" s="765">
        <v>33428</v>
      </c>
      <c r="D14" s="765">
        <v>14214</v>
      </c>
      <c r="E14" s="765"/>
      <c r="F14" s="1760">
        <f>(C14+D14)-E14</f>
        <v>47642</v>
      </c>
      <c r="G14" s="843">
        <v>3</v>
      </c>
      <c r="H14" s="765">
        <v>26372</v>
      </c>
      <c r="I14" s="765">
        <v>5336</v>
      </c>
      <c r="J14" s="765"/>
      <c r="K14" s="1769">
        <f>(H14+I14)-J14</f>
        <v>31708</v>
      </c>
      <c r="L14" s="1769">
        <f>F14-K14</f>
        <v>15934</v>
      </c>
    </row>
    <row r="15" spans="1:14" ht="15" customHeight="1" thickTop="1" thickBot="1" x14ac:dyDescent="0.25">
      <c r="A15" s="1631" t="s">
        <v>528</v>
      </c>
      <c r="B15" s="1630">
        <v>260</v>
      </c>
      <c r="C15" s="844">
        <v>1542537</v>
      </c>
      <c r="D15" s="844"/>
      <c r="E15" s="844">
        <v>1542537</v>
      </c>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25705398</v>
      </c>
      <c r="D16" s="1760">
        <f>SUM(D3,D5:D6,D8:D10,D12:D15)</f>
        <v>5195129</v>
      </c>
      <c r="E16" s="1760">
        <f>SUM(E3,E5:E6,E8:E10,E12:E15)</f>
        <v>1887284</v>
      </c>
      <c r="F16" s="1760">
        <f>SUM(F3,F5:F6,F8:F10,F12:F15)</f>
        <v>29013243</v>
      </c>
      <c r="G16" s="843"/>
      <c r="H16" s="1760">
        <f>SUM(H3,H6,H8:H10,H12:H14,)</f>
        <v>9210580</v>
      </c>
      <c r="I16" s="1760">
        <f>SUM(I3,I6,I8:I10,I12:I14,)</f>
        <v>691809</v>
      </c>
      <c r="J16" s="1760">
        <f>SUM(J3,J6,J8:J10,J12:J14,)</f>
        <v>344747</v>
      </c>
      <c r="K16" s="1760">
        <f>(H16+I16)-J16</f>
        <v>9557642</v>
      </c>
      <c r="L16" s="1760">
        <f>F16-K16</f>
        <v>19455601</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691809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6" activePane="bottomLeft" state="frozen"/>
      <selection activeCell="J31" sqref="J31"/>
      <selection pane="bottomLeft" activeCell="J31" sqref="J3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1975</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8186184</v>
      </c>
      <c r="G8" s="865"/>
    </row>
    <row r="9" spans="1:7" x14ac:dyDescent="0.2">
      <c r="A9" s="869" t="s">
        <v>460</v>
      </c>
      <c r="B9" s="870" t="s">
        <v>1877</v>
      </c>
      <c r="C9" s="871"/>
      <c r="D9" s="869" t="s">
        <v>501</v>
      </c>
      <c r="E9" s="868"/>
      <c r="F9" s="1909">
        <f>'Expenditures 15-22'!K151</f>
        <v>837288</v>
      </c>
      <c r="G9" s="872"/>
    </row>
    <row r="10" spans="1:7" x14ac:dyDescent="0.2">
      <c r="A10" s="869" t="s">
        <v>499</v>
      </c>
      <c r="B10" s="870" t="s">
        <v>1878</v>
      </c>
      <c r="C10" s="871"/>
      <c r="D10" s="869" t="s">
        <v>501</v>
      </c>
      <c r="E10" s="868"/>
      <c r="F10" s="1909">
        <f>'Expenditures 15-22'!K174</f>
        <v>1434728</v>
      </c>
      <c r="G10" s="872"/>
    </row>
    <row r="11" spans="1:7" x14ac:dyDescent="0.2">
      <c r="A11" s="869" t="s">
        <v>461</v>
      </c>
      <c r="B11" s="870" t="s">
        <v>1879</v>
      </c>
      <c r="C11" s="871"/>
      <c r="D11" s="869" t="s">
        <v>501</v>
      </c>
      <c r="E11" s="868"/>
      <c r="F11" s="1909">
        <f>'Expenditures 15-22'!K210</f>
        <v>582229</v>
      </c>
      <c r="G11" s="872"/>
    </row>
    <row r="12" spans="1:7" x14ac:dyDescent="0.2">
      <c r="A12" s="869" t="s">
        <v>462</v>
      </c>
      <c r="B12" s="870" t="s">
        <v>1880</v>
      </c>
      <c r="C12" s="871"/>
      <c r="D12" s="869" t="s">
        <v>501</v>
      </c>
      <c r="E12" s="868"/>
      <c r="F12" s="1909">
        <f>'Expenditures 15-22'!K295</f>
        <v>356284</v>
      </c>
      <c r="G12" s="872"/>
    </row>
    <row r="13" spans="1:7" x14ac:dyDescent="0.2">
      <c r="A13" s="869" t="s">
        <v>106</v>
      </c>
      <c r="B13" s="870" t="s">
        <v>1881</v>
      </c>
      <c r="C13" s="871"/>
      <c r="D13" s="869" t="s">
        <v>501</v>
      </c>
      <c r="E13" s="868"/>
      <c r="F13" s="1909">
        <f>'Expenditures 15-22'!K342</f>
        <v>330991</v>
      </c>
      <c r="G13" s="873"/>
    </row>
    <row r="14" spans="1:7" ht="12" customHeight="1" thickBot="1" x14ac:dyDescent="0.25">
      <c r="A14" s="1770"/>
      <c r="B14" s="1771"/>
      <c r="C14" s="1772"/>
      <c r="D14" s="1773" t="s">
        <v>501</v>
      </c>
      <c r="E14" s="1774" t="s">
        <v>958</v>
      </c>
      <c r="F14" s="1775">
        <f>SUM(F8:F13)</f>
        <v>11727704</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96400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7391</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210460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46200</v>
      </c>
      <c r="G52" s="865"/>
    </row>
    <row r="53" spans="1:7" x14ac:dyDescent="0.2">
      <c r="A53" s="869" t="s">
        <v>459</v>
      </c>
      <c r="B53" s="869" t="s">
        <v>1475</v>
      </c>
      <c r="C53" s="889">
        <f>'Expenditures 15-22'!B102</f>
        <v>4000</v>
      </c>
      <c r="D53" s="888" t="str">
        <f>'Expenditures 15-22'!A102</f>
        <v>Total Payments to Other Govt Units</v>
      </c>
      <c r="E53" s="868"/>
      <c r="F53" s="1913">
        <f>'Expenditures 15-22'!K102</f>
        <v>148269</v>
      </c>
      <c r="G53" s="865"/>
    </row>
    <row r="54" spans="1:7" x14ac:dyDescent="0.2">
      <c r="A54" s="869" t="s">
        <v>459</v>
      </c>
      <c r="B54" s="869" t="s">
        <v>1476</v>
      </c>
      <c r="C54" s="889" t="s">
        <v>982</v>
      </c>
      <c r="D54" s="885" t="s">
        <v>1095</v>
      </c>
      <c r="E54" s="868"/>
      <c r="F54" s="1913">
        <f>'Expenditures 15-22'!G114</f>
        <v>64216</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11279</v>
      </c>
      <c r="G58" s="865"/>
    </row>
    <row r="59" spans="1:7" x14ac:dyDescent="0.2">
      <c r="A59" s="893" t="s">
        <v>460</v>
      </c>
      <c r="B59" s="856" t="s">
        <v>1884</v>
      </c>
      <c r="C59" s="894" t="s">
        <v>982</v>
      </c>
      <c r="D59" s="856" t="s">
        <v>291</v>
      </c>
      <c r="F59" s="1916">
        <f>'Expenditures 15-22'!I151</f>
        <v>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855000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52298</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3831</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312</v>
      </c>
      <c r="G71" s="865"/>
    </row>
    <row r="72" spans="1:8" x14ac:dyDescent="0.2">
      <c r="A72" s="869" t="s">
        <v>462</v>
      </c>
      <c r="B72" s="869" t="s">
        <v>1896</v>
      </c>
      <c r="C72" s="886">
        <f>'Expenditures 15-22'!B280</f>
        <v>3000</v>
      </c>
      <c r="D72" s="876" t="s">
        <v>449</v>
      </c>
      <c r="E72" s="868"/>
      <c r="F72" s="1913">
        <f>'Expenditures 15-22'!K280</f>
        <v>5999</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1501655</v>
      </c>
      <c r="G76" s="865"/>
    </row>
    <row r="77" spans="1:8" s="893" customFormat="1" ht="12" customHeight="1" thickTop="1" thickBot="1" x14ac:dyDescent="0.25">
      <c r="A77" s="1779"/>
      <c r="B77" s="1776"/>
      <c r="C77" s="1772"/>
      <c r="D77" s="1777" t="s">
        <v>1900</v>
      </c>
      <c r="E77" s="1774"/>
      <c r="F77" s="1780">
        <f>(F14-F76)</f>
        <v>10226049</v>
      </c>
      <c r="G77" s="869"/>
    </row>
    <row r="78" spans="1:8" s="893" customFormat="1" ht="12" customHeight="1" thickTop="1" x14ac:dyDescent="0.2">
      <c r="A78" s="1781"/>
      <c r="B78" s="1776"/>
      <c r="C78" s="1772"/>
      <c r="D78" s="1777" t="s">
        <v>2062</v>
      </c>
      <c r="E78" s="1774"/>
      <c r="F78" s="898">
        <v>951.8</v>
      </c>
      <c r="G78" s="899"/>
      <c r="H78" s="869"/>
    </row>
    <row r="79" spans="1:8" s="893" customFormat="1" ht="12" customHeight="1" thickBot="1" x14ac:dyDescent="0.25">
      <c r="A79" s="1782"/>
      <c r="B79" s="1776"/>
      <c r="C79" s="1772"/>
      <c r="D79" s="1777" t="s">
        <v>1901</v>
      </c>
      <c r="E79" s="1774" t="s">
        <v>958</v>
      </c>
      <c r="F79" s="1783">
        <f>IF(F78&gt;0,F77/F78," Complete Line 78")</f>
        <v>10743.905232191637</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6402</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233252</v>
      </c>
      <c r="G94" s="912"/>
    </row>
    <row r="95" spans="1:7" x14ac:dyDescent="0.2">
      <c r="A95" s="908" t="s">
        <v>140</v>
      </c>
      <c r="B95" s="908" t="s">
        <v>175</v>
      </c>
      <c r="C95" s="910">
        <v>1700</v>
      </c>
      <c r="D95" s="918" t="str">
        <f>'Revenues 9-14'!A82</f>
        <v>Total District/School Activity Income</v>
      </c>
      <c r="E95" s="906"/>
      <c r="F95" s="1789">
        <f>SUM('Revenues 9-14'!C82,'Revenues 9-14'!D82)</f>
        <v>95391</v>
      </c>
      <c r="G95" s="912"/>
    </row>
    <row r="96" spans="1:7" x14ac:dyDescent="0.2">
      <c r="A96" s="908" t="s">
        <v>459</v>
      </c>
      <c r="B96" s="908" t="s">
        <v>176</v>
      </c>
      <c r="C96" s="910">
        <f>'Revenues 9-14'!B84</f>
        <v>1811</v>
      </c>
      <c r="D96" s="911" t="str">
        <f>'Revenues 9-14'!A84</f>
        <v>Rentals - Regular Textbooks</v>
      </c>
      <c r="E96" s="906"/>
      <c r="F96" s="1789">
        <f>'Revenues 9-14'!C84</f>
        <v>79553</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425</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32184</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2003</v>
      </c>
      <c r="C105" s="913">
        <v>3100</v>
      </c>
      <c r="D105" s="919" t="str">
        <f>'Revenues 9-14'!A132</f>
        <v>Total Special Education</v>
      </c>
      <c r="E105" s="906"/>
      <c r="F105" s="1789">
        <f>SUM('Revenues 9-14'!C132:D132,'Revenues 9-14'!F132)</f>
        <v>129385</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27348</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1446</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13203</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229891</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2560</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117533</v>
      </c>
      <c r="G125" s="930"/>
    </row>
    <row r="126" spans="1:7" x14ac:dyDescent="0.2">
      <c r="A126" s="927" t="s">
        <v>668</v>
      </c>
      <c r="B126" s="927" t="s">
        <v>2024</v>
      </c>
      <c r="C126" s="932">
        <v>4300</v>
      </c>
      <c r="D126" s="933" t="str">
        <f>'Revenues 9-14'!A204</f>
        <v>Total Title I</v>
      </c>
      <c r="E126" s="906"/>
      <c r="F126" s="1789">
        <f>SUM('Revenues 9-14'!C204,'Revenues 9-14'!D204,'Revenues 9-14'!F204,'Revenues 9-14'!G204)</f>
        <v>48147</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111456</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14346</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16917</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63110</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3330</v>
      </c>
      <c r="G170" s="927"/>
    </row>
    <row r="171" spans="1:7" x14ac:dyDescent="0.2">
      <c r="A171" s="1918" t="s">
        <v>5</v>
      </c>
      <c r="B171" s="1919" t="s">
        <v>1920</v>
      </c>
      <c r="C171" s="1920">
        <v>3100</v>
      </c>
      <c r="D171" s="1921" t="s">
        <v>1922</v>
      </c>
      <c r="E171" s="906"/>
      <c r="F171" s="1906">
        <v>383625.67</v>
      </c>
      <c r="G171" s="927"/>
    </row>
    <row r="172" spans="1:7" x14ac:dyDescent="0.2">
      <c r="A172" s="1918" t="s">
        <v>664</v>
      </c>
      <c r="B172" s="1919" t="s">
        <v>1920</v>
      </c>
      <c r="C172" s="1920">
        <v>3300</v>
      </c>
      <c r="D172" s="1921" t="s">
        <v>1923</v>
      </c>
      <c r="E172" s="906"/>
      <c r="F172" s="1906">
        <v>0</v>
      </c>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1609504.67</v>
      </c>
    </row>
    <row r="175" spans="1:7" ht="12" customHeight="1" x14ac:dyDescent="0.2">
      <c r="A175" s="1770"/>
      <c r="B175" s="1784"/>
      <c r="C175" s="1785"/>
      <c r="D175" s="1786" t="s">
        <v>2057</v>
      </c>
      <c r="E175" s="1787"/>
      <c r="F175" s="1789">
        <f>'PCTC-OEPP 27-28'!F77-F174</f>
        <v>8616544.3300000001</v>
      </c>
    </row>
    <row r="176" spans="1:7" ht="12" customHeight="1" x14ac:dyDescent="0.2">
      <c r="A176" s="1770"/>
      <c r="B176" s="1784"/>
      <c r="C176" s="1785"/>
      <c r="D176" s="1786" t="s">
        <v>1817</v>
      </c>
      <c r="E176" s="1787"/>
      <c r="F176" s="1789">
        <f>'Cap Outlay Deprec 26'!I18</f>
        <v>691809</v>
      </c>
    </row>
    <row r="177" spans="1:7" ht="12" customHeight="1" x14ac:dyDescent="0.2">
      <c r="A177" s="1770"/>
      <c r="B177" s="1784"/>
      <c r="C177" s="1785"/>
      <c r="D177" s="1786" t="s">
        <v>2058</v>
      </c>
      <c r="E177" s="1787"/>
      <c r="F177" s="1789">
        <f>F175+F176</f>
        <v>9308353.3300000001</v>
      </c>
    </row>
    <row r="178" spans="1:7" ht="12" customHeight="1" x14ac:dyDescent="0.2">
      <c r="A178" s="1770"/>
      <c r="B178" s="1790"/>
      <c r="C178" s="1785"/>
      <c r="D178" s="1786" t="str">
        <f>D78</f>
        <v>9 Month ADA from District Average Daily Attendance/Prior General State Aid Inquiry 2018-2019</v>
      </c>
      <c r="E178" s="1787"/>
      <c r="F178" s="1791">
        <f>'PCTC-OEPP 27-28'!F78</f>
        <v>951.8</v>
      </c>
      <c r="G178" s="930"/>
    </row>
    <row r="179" spans="1:7" ht="12" customHeight="1" thickBot="1" x14ac:dyDescent="0.25">
      <c r="A179" s="1770"/>
      <c r="B179" s="1790"/>
      <c r="C179" s="1785"/>
      <c r="D179" s="1786" t="s">
        <v>2059</v>
      </c>
      <c r="E179" s="1787" t="s">
        <v>1545</v>
      </c>
      <c r="F179" s="1792">
        <f>F177/F178</f>
        <v>9779.7366358478685</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19" zoomScaleNormal="100" workbookViewId="0">
      <selection activeCell="C34" sqref="C34"/>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534" t="s">
        <v>1819</v>
      </c>
      <c r="B6" s="1535"/>
      <c r="C6" s="1535"/>
      <c r="D6" s="1535"/>
      <c r="E6" s="1535"/>
      <c r="F6" s="1535"/>
      <c r="G6" s="1536"/>
    </row>
    <row r="7" spans="1:7" ht="30.75" customHeight="1" x14ac:dyDescent="0.25">
      <c r="A7" s="2280" t="s">
        <v>1932</v>
      </c>
      <c r="B7" s="2281"/>
      <c r="C7" s="2281"/>
      <c r="D7" s="2281"/>
      <c r="E7" s="2281"/>
      <c r="F7" s="2281"/>
      <c r="G7" s="2282"/>
    </row>
    <row r="8" spans="1:7" ht="15.75" customHeight="1" x14ac:dyDescent="0.25">
      <c r="A8" s="2283" t="s">
        <v>1907</v>
      </c>
      <c r="B8" s="2284"/>
      <c r="C8" s="2284"/>
      <c r="D8" s="2284"/>
      <c r="E8" s="2284"/>
      <c r="F8" s="2284"/>
      <c r="G8" s="2285"/>
    </row>
    <row r="9" spans="1:7" ht="35.25" customHeight="1" x14ac:dyDescent="0.25">
      <c r="A9" s="2280" t="s">
        <v>1935</v>
      </c>
      <c r="B9" s="2281"/>
      <c r="C9" s="2281"/>
      <c r="D9" s="2281"/>
      <c r="E9" s="2281"/>
      <c r="F9" s="2281"/>
      <c r="G9" s="2282"/>
    </row>
    <row r="10" spans="1:7" ht="15" customHeight="1" x14ac:dyDescent="0.25">
      <c r="A10" s="1537" t="s">
        <v>1820</v>
      </c>
      <c r="B10" s="1538"/>
      <c r="C10" s="1538"/>
      <c r="D10" s="1538"/>
      <c r="E10" s="1538"/>
      <c r="F10" s="1538"/>
      <c r="G10" s="1539"/>
    </row>
    <row r="11" spans="1:7" ht="17.25" customHeight="1" x14ac:dyDescent="0.25">
      <c r="A11" s="2280" t="s">
        <v>1934</v>
      </c>
      <c r="B11" s="2281"/>
      <c r="C11" s="2281"/>
      <c r="D11" s="2281"/>
      <c r="E11" s="2281"/>
      <c r="F11" s="2281"/>
      <c r="G11" s="2282"/>
    </row>
    <row r="12" spans="1:7" ht="15" customHeight="1" x14ac:dyDescent="0.25">
      <c r="A12" s="1537" t="s">
        <v>1825</v>
      </c>
      <c r="B12" s="1538"/>
      <c r="C12" s="1538"/>
      <c r="D12" s="1538"/>
      <c r="E12" s="1538"/>
      <c r="F12" s="1538"/>
      <c r="G12" s="1539"/>
    </row>
    <row r="13" spans="1:7" ht="32.25" customHeight="1" x14ac:dyDescent="0.25">
      <c r="A13" s="2271" t="s">
        <v>1976</v>
      </c>
      <c r="B13" s="2272"/>
      <c r="C13" s="2272"/>
      <c r="D13" s="2272"/>
      <c r="E13" s="2272"/>
      <c r="F13" s="2272"/>
      <c r="G13" s="2273"/>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197</v>
      </c>
      <c r="B17" s="1938" t="s">
        <v>2087</v>
      </c>
      <c r="C17" s="1939" t="s">
        <v>2088</v>
      </c>
      <c r="D17" s="1844">
        <v>13118</v>
      </c>
      <c r="E17" s="1540">
        <f t="shared" ref="E17:E141" si="0">IF(D17&lt;=25000,D17,IF(D17&gt;25000,25000,0))</f>
        <v>13118</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13118</v>
      </c>
      <c r="G17" s="1793">
        <f>IF(F17=0,0,D17-F17)</f>
        <v>0</v>
      </c>
      <c r="H17" s="1647"/>
    </row>
    <row r="18" spans="1:8" x14ac:dyDescent="0.25">
      <c r="A18" s="1937" t="s">
        <v>2089</v>
      </c>
      <c r="B18" s="1938" t="s">
        <v>2087</v>
      </c>
      <c r="C18" s="1939" t="s">
        <v>2090</v>
      </c>
      <c r="D18" s="1844">
        <v>82356</v>
      </c>
      <c r="E18" s="1540">
        <f t="shared" ref="E18:E140" si="2">IF(D18&lt;=25000,D18,IF(D18&gt;25000,25000,0))</f>
        <v>25000</v>
      </c>
      <c r="F18" s="1932">
        <f t="shared" si="1"/>
        <v>25000</v>
      </c>
      <c r="G18" s="1793">
        <f t="shared" ref="G18:G140" si="3">IF(F18=0,0,D18-F18)</f>
        <v>57356</v>
      </c>
    </row>
    <row r="19" spans="1:8" x14ac:dyDescent="0.25">
      <c r="A19" s="1937" t="s">
        <v>197</v>
      </c>
      <c r="B19" s="1938" t="s">
        <v>2087</v>
      </c>
      <c r="C19" s="1939" t="s">
        <v>2091</v>
      </c>
      <c r="D19" s="1844">
        <v>1111</v>
      </c>
      <c r="E19" s="1540">
        <f t="shared" si="2"/>
        <v>1111</v>
      </c>
      <c r="F19" s="1932">
        <f t="shared" si="1"/>
        <v>1111</v>
      </c>
      <c r="G19" s="1793">
        <f t="shared" si="3"/>
        <v>0</v>
      </c>
    </row>
    <row r="20" spans="1:8" x14ac:dyDescent="0.25">
      <c r="A20" s="1937" t="s">
        <v>953</v>
      </c>
      <c r="B20" s="1938" t="s">
        <v>2092</v>
      </c>
      <c r="C20" s="1939" t="s">
        <v>2091</v>
      </c>
      <c r="D20" s="1844">
        <v>1380</v>
      </c>
      <c r="E20" s="1540">
        <f t="shared" si="2"/>
        <v>1380</v>
      </c>
      <c r="F20" s="1932">
        <f t="shared" si="1"/>
        <v>1380</v>
      </c>
      <c r="G20" s="1793">
        <f t="shared" si="3"/>
        <v>0</v>
      </c>
    </row>
    <row r="21" spans="1:8" x14ac:dyDescent="0.25">
      <c r="A21" s="1937" t="s">
        <v>197</v>
      </c>
      <c r="B21" s="1938" t="s">
        <v>2087</v>
      </c>
      <c r="C21" s="1939" t="s">
        <v>2093</v>
      </c>
      <c r="D21" s="1844">
        <v>37017</v>
      </c>
      <c r="E21" s="1540">
        <f t="shared" si="2"/>
        <v>25000</v>
      </c>
      <c r="F21" s="1932">
        <f t="shared" si="1"/>
        <v>25000</v>
      </c>
      <c r="G21" s="1793">
        <f t="shared" si="3"/>
        <v>12017</v>
      </c>
    </row>
    <row r="22" spans="1:8" x14ac:dyDescent="0.25">
      <c r="A22" s="1937" t="s">
        <v>197</v>
      </c>
      <c r="B22" s="1938" t="s">
        <v>2094</v>
      </c>
      <c r="C22" s="1939" t="s">
        <v>2095</v>
      </c>
      <c r="D22" s="1844">
        <v>20730</v>
      </c>
      <c r="E22" s="1540">
        <f t="shared" si="2"/>
        <v>20730</v>
      </c>
      <c r="F22" s="1932">
        <f t="shared" si="1"/>
        <v>20730</v>
      </c>
      <c r="G22" s="1793">
        <f t="shared" si="3"/>
        <v>0</v>
      </c>
    </row>
    <row r="23" spans="1:8" x14ac:dyDescent="0.25">
      <c r="A23" s="1937" t="s">
        <v>963</v>
      </c>
      <c r="B23" s="2491" t="s">
        <v>2144</v>
      </c>
      <c r="C23" s="1939" t="s">
        <v>2096</v>
      </c>
      <c r="D23" s="1844">
        <v>14500</v>
      </c>
      <c r="E23" s="1540">
        <f t="shared" si="2"/>
        <v>14500</v>
      </c>
      <c r="F23" s="1932">
        <f t="shared" si="1"/>
        <v>14500</v>
      </c>
      <c r="G23" s="1793">
        <f t="shared" si="3"/>
        <v>0</v>
      </c>
    </row>
    <row r="24" spans="1:8" x14ac:dyDescent="0.25">
      <c r="A24" s="1937" t="s">
        <v>197</v>
      </c>
      <c r="B24" s="1938" t="s">
        <v>2094</v>
      </c>
      <c r="C24" s="1939" t="s">
        <v>2097</v>
      </c>
      <c r="D24" s="1844">
        <v>2576</v>
      </c>
      <c r="E24" s="1540">
        <f t="shared" si="2"/>
        <v>2576</v>
      </c>
      <c r="F24" s="1932">
        <f t="shared" si="1"/>
        <v>2576</v>
      </c>
      <c r="G24" s="1793">
        <f t="shared" si="3"/>
        <v>0</v>
      </c>
    </row>
    <row r="25" spans="1:8" x14ac:dyDescent="0.25">
      <c r="A25" s="1937" t="s">
        <v>197</v>
      </c>
      <c r="B25" s="1938" t="s">
        <v>2087</v>
      </c>
      <c r="C25" s="1939" t="s">
        <v>2098</v>
      </c>
      <c r="D25" s="1844">
        <v>119414</v>
      </c>
      <c r="E25" s="1540">
        <f t="shared" si="2"/>
        <v>25000</v>
      </c>
      <c r="F25" s="1932">
        <f t="shared" si="1"/>
        <v>25000</v>
      </c>
      <c r="G25" s="1793">
        <f t="shared" si="3"/>
        <v>94414</v>
      </c>
    </row>
    <row r="26" spans="1:8" x14ac:dyDescent="0.25">
      <c r="A26" s="1937" t="s">
        <v>404</v>
      </c>
      <c r="B26" s="1938" t="s">
        <v>2099</v>
      </c>
      <c r="C26" s="1939" t="s">
        <v>2100</v>
      </c>
      <c r="D26" s="1844">
        <v>49577</v>
      </c>
      <c r="E26" s="1540">
        <f t="shared" si="2"/>
        <v>25000</v>
      </c>
      <c r="F26" s="1932">
        <f t="shared" si="1"/>
        <v>25000</v>
      </c>
      <c r="G26" s="1793">
        <f t="shared" si="3"/>
        <v>24577</v>
      </c>
    </row>
    <row r="27" spans="1:8" x14ac:dyDescent="0.25">
      <c r="A27" s="1937" t="s">
        <v>197</v>
      </c>
      <c r="B27" s="1938" t="s">
        <v>2094</v>
      </c>
      <c r="C27" s="1939" t="s">
        <v>2101</v>
      </c>
      <c r="D27" s="1844">
        <v>5481</v>
      </c>
      <c r="E27" s="1540">
        <f t="shared" si="2"/>
        <v>5481</v>
      </c>
      <c r="F27" s="1932">
        <f t="shared" si="1"/>
        <v>5481</v>
      </c>
      <c r="G27" s="1793">
        <f t="shared" si="3"/>
        <v>0</v>
      </c>
    </row>
    <row r="28" spans="1:8" x14ac:dyDescent="0.25">
      <c r="A28" s="1937" t="s">
        <v>197</v>
      </c>
      <c r="B28" s="1938" t="s">
        <v>2102</v>
      </c>
      <c r="C28" s="1939" t="s">
        <v>2103</v>
      </c>
      <c r="D28" s="1844">
        <v>648</v>
      </c>
      <c r="E28" s="1540">
        <f t="shared" si="2"/>
        <v>648</v>
      </c>
      <c r="F28" s="1932">
        <f t="shared" si="1"/>
        <v>648</v>
      </c>
      <c r="G28" s="1793">
        <f t="shared" si="3"/>
        <v>0</v>
      </c>
    </row>
    <row r="29" spans="1:8" x14ac:dyDescent="0.25">
      <c r="A29" s="1937" t="s">
        <v>197</v>
      </c>
      <c r="B29" s="1938" t="s">
        <v>2102</v>
      </c>
      <c r="C29" s="1939" t="s">
        <v>2104</v>
      </c>
      <c r="D29" s="1844">
        <v>85431</v>
      </c>
      <c r="E29" s="1540">
        <f t="shared" si="2"/>
        <v>25000</v>
      </c>
      <c r="F29" s="1932">
        <f t="shared" si="1"/>
        <v>25000</v>
      </c>
      <c r="G29" s="1793">
        <f t="shared" si="3"/>
        <v>60431</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433339</v>
      </c>
      <c r="E141" s="1541">
        <f t="shared" si="0"/>
        <v>25000</v>
      </c>
      <c r="F141" s="1933">
        <f>SUM(F17:F140)</f>
        <v>184544</v>
      </c>
      <c r="G141" s="1795">
        <f>SUM(G17:G140)</f>
        <v>248795</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I46"/>
  <sheetViews>
    <sheetView showGridLines="0" defaultGridColor="0" colorId="8" zoomScale="110" zoomScaleNormal="110" workbookViewId="0">
      <selection activeCell="E10" sqref="E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195145</v>
      </c>
      <c r="F10" s="974"/>
      <c r="G10" s="975"/>
      <c r="H10" s="162"/>
      <c r="I10" s="162"/>
    </row>
    <row r="11" spans="1:9" s="668" customFormat="1" ht="22.5" customHeight="1" x14ac:dyDescent="0.2">
      <c r="A11" s="2291" t="s">
        <v>1977</v>
      </c>
      <c r="B11" s="2292"/>
      <c r="C11" s="2292"/>
      <c r="D11" s="2293"/>
      <c r="E11" s="977">
        <v>32903</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5948657</v>
      </c>
      <c r="F19" s="1799"/>
      <c r="G19" s="1801">
        <f>'Expenditures 15-22'!K33-SUM('Expenditures 15-22'!G33,'Expenditures 15-22'!I33)+'Expenditures 15-22'!D229</f>
        <v>5948657</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464833</v>
      </c>
      <c r="F21" s="1802"/>
      <c r="G21" s="1805">
        <f>'Expenditures 15-22'!K42-SUM('Expenditures 15-22'!G42,'Expenditures 15-22'!I42)+'Expenditures 15-22'!K120-SUM('Expenditures 15-22'!G120,'Expenditures 15-22'!I120)+'Expenditures 15-22'!K180-SUM('Expenditures 15-22'!G180,'Expenditures 15-22'!I180)+'Expenditures 15-22'!D238</f>
        <v>464833</v>
      </c>
      <c r="H21" s="987"/>
      <c r="I21" s="162"/>
    </row>
    <row r="22" spans="1:9" s="668" customFormat="1" ht="12" customHeight="1" x14ac:dyDescent="0.2">
      <c r="A22" s="994" t="s">
        <v>564</v>
      </c>
      <c r="B22" s="995"/>
      <c r="C22" s="993">
        <v>2200</v>
      </c>
      <c r="D22" s="1802"/>
      <c r="E22" s="1804">
        <f>'Expenditures 15-22'!K47-SUM('Expenditures 15-22'!G47,'Expenditures 15-22'!I47)+'Expenditures 15-22'!D243</f>
        <v>219813</v>
      </c>
      <c r="F22" s="1802"/>
      <c r="G22" s="1805">
        <f>'Expenditures 15-22'!K47-SUM('Expenditures 15-22'!G47,'Expenditures 15-22'!I47)+'Expenditures 15-22'!D243</f>
        <v>219813</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514404</v>
      </c>
      <c r="F23" s="1802"/>
      <c r="G23" s="1804">
        <f>'Expenditures 15-22'!K53-SUM('Expenditures 15-22'!G53,'Expenditures 15-22'!I53)+'Expenditures 15-22'!D257+'Expenditures 15-22'!K330-SUM('Expenditures 15-22'!G330,'Expenditures 15-22'!I330)</f>
        <v>514404</v>
      </c>
      <c r="H23" s="987"/>
      <c r="I23" s="162"/>
    </row>
    <row r="24" spans="1:9" s="668" customFormat="1" ht="12" customHeight="1" x14ac:dyDescent="0.2">
      <c r="A24" s="994" t="s">
        <v>566</v>
      </c>
      <c r="B24" s="995"/>
      <c r="C24" s="993">
        <v>2400</v>
      </c>
      <c r="D24" s="1802"/>
      <c r="E24" s="1804">
        <f>'Expenditures 15-22'!K57-SUM('Expenditures 15-22'!G57,'Expenditures 15-22'!I57)+'Expenditures 15-22'!D261</f>
        <v>556713</v>
      </c>
      <c r="F24" s="1802"/>
      <c r="G24" s="1805">
        <f>'Expenditures 15-22'!K57-SUM('Expenditures 15-22'!G57,'Expenditures 15-22'!I57)+'Expenditures 15-22'!D261</f>
        <v>556713</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76287</v>
      </c>
      <c r="E27" s="1804">
        <f>E8</f>
        <v>0</v>
      </c>
      <c r="F27" s="1804">
        <f>'Expenditures 15-22'!K60-SUM('Expenditures 15-22'!G60,'Expenditures 15-22'!I60)+'Expenditures 15-22'!D264-E8</f>
        <v>76287</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968462</v>
      </c>
      <c r="F28" s="1806">
        <f>'Expenditures 15-22'!K61-SUM('Expenditures 15-22'!G61,'Expenditures 15-22'!I61)+'Expenditures 15-22'!K124-SUM('Expenditures 15-22'!G124,'Expenditures 15-22'!I124)+'Expenditures 15-22'!D266-E9</f>
        <v>968462</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577843</v>
      </c>
      <c r="F29" s="1802"/>
      <c r="G29" s="1805">
        <f>'Expenditures 15-22'!K62-SUM('Expenditures 15-22'!G62,'Expenditures 15-22'!I62)+'Expenditures 15-22'!K125-SUM('Expenditures 15-22'!G125,'Expenditures 15-22'!I125)+'Expenditures 15-22'!K182-SUM('Expenditures 15-22'!G182,'Expenditures 15-22'!I182)+'Expenditures 15-22'!D267</f>
        <v>577843</v>
      </c>
      <c r="H29" s="985"/>
    </row>
    <row r="30" spans="1:9" ht="12" customHeight="1" x14ac:dyDescent="0.2">
      <c r="A30" s="994" t="s">
        <v>100</v>
      </c>
      <c r="B30" s="997"/>
      <c r="C30" s="993">
        <v>2560</v>
      </c>
      <c r="D30" s="1802"/>
      <c r="E30" s="1804">
        <f>'Expenditures 15-22'!K63-SUM('Expenditures 15-22'!G63,'Expenditures 15-22'!I63)+'Expenditures 15-22'!D268-E10</f>
        <v>191289</v>
      </c>
      <c r="F30" s="1802"/>
      <c r="G30" s="1804">
        <f>'Expenditures 15-22'!K63-SUM('Expenditures 15-22'!G63,'Expenditures 15-22'!I63)+'Expenditures 15-22'!D268-E10</f>
        <v>191289</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223752</v>
      </c>
      <c r="E37" s="1804">
        <f>E14</f>
        <v>0</v>
      </c>
      <c r="F37" s="1804">
        <f>'Expenditures 15-22'!K71-SUM('Expenditures 15-22'!G71,'Expenditures 15-22'!I71)+'Expenditures 15-22'!D276-E14</f>
        <v>223752</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100</v>
      </c>
      <c r="F38" s="1802"/>
      <c r="G38" s="1804">
        <f>'Expenditures 15-22'!K73-SUM('Expenditures 15-22'!G73,'Expenditures 15-22'!I73)+'Expenditures 15-22'!K128-SUM('Expenditures 15-22'!G128,'Expenditures 15-22'!I128)+'Expenditures 15-22'!K183-SUM('Expenditures 15-22'!G183,'Expenditures 15-22'!I183)+'Expenditures 15-22'!D278</f>
        <v>100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52199</v>
      </c>
      <c r="F39" s="1802"/>
      <c r="G39" s="1804">
        <f>'Expenditures 15-22'!K75-SUM('Expenditures 15-22'!G75,'Expenditures 15-22'!I75)+'Expenditures 15-22'!K130-SUM('Expenditures 15-22'!G130,'Expenditures 15-22'!I130)+'Expenditures 15-22'!K185-SUM('Expenditures 15-22'!G185,'Expenditures 15-22'!I185)+'Expenditures 15-22'!D280</f>
        <v>52199</v>
      </c>
    </row>
    <row r="40" spans="1:7" ht="12" customHeight="1" x14ac:dyDescent="0.2">
      <c r="A40" s="990" t="s">
        <v>1823</v>
      </c>
      <c r="B40" s="991"/>
      <c r="C40" s="993"/>
      <c r="D40" s="1802"/>
      <c r="E40" s="1806">
        <f>-'Contracts Paid in CY 29'!G141</f>
        <v>-248795</v>
      </c>
      <c r="F40" s="1802"/>
      <c r="G40" s="1806">
        <f>-'Contracts Paid in CY 29'!G141</f>
        <v>-248795</v>
      </c>
    </row>
    <row r="41" spans="1:7" ht="12" customHeight="1" x14ac:dyDescent="0.2">
      <c r="A41" s="998" t="s">
        <v>156</v>
      </c>
      <c r="B41" s="999"/>
      <c r="C41" s="1000"/>
      <c r="D41" s="1806">
        <f>SUM(D19:D39)</f>
        <v>300039</v>
      </c>
      <c r="E41" s="1806">
        <f>SUM(E19:E40)</f>
        <v>9245518</v>
      </c>
      <c r="F41" s="1806">
        <f>SUM(F19:F39)</f>
        <v>1268501</v>
      </c>
      <c r="G41" s="1806">
        <f>SUM(G19:G40)</f>
        <v>8277056</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300039</v>
      </c>
      <c r="F43" s="1807" t="s">
        <v>473</v>
      </c>
      <c r="G43" s="1808">
        <f>F41</f>
        <v>1268501</v>
      </c>
    </row>
    <row r="44" spans="1:7" ht="12" customHeight="1" x14ac:dyDescent="0.2">
      <c r="A44" s="987"/>
      <c r="B44" s="162"/>
      <c r="C44" s="1001"/>
      <c r="D44" s="1807" t="s">
        <v>474</v>
      </c>
      <c r="E44" s="1808">
        <f>E41</f>
        <v>9245518</v>
      </c>
      <c r="F44" s="1807" t="s">
        <v>474</v>
      </c>
      <c r="G44" s="1808">
        <f>G41</f>
        <v>8277056</v>
      </c>
    </row>
    <row r="45" spans="1:7" ht="12" customHeight="1" x14ac:dyDescent="0.2">
      <c r="A45" s="987"/>
      <c r="B45" s="162"/>
      <c r="C45" s="162"/>
      <c r="D45" s="1809" t="s">
        <v>1006</v>
      </c>
      <c r="E45" s="1810">
        <f>(E43/E44)</f>
        <v>3.2452373139071275E-2</v>
      </c>
      <c r="F45" s="1809" t="s">
        <v>1006</v>
      </c>
      <c r="G45" s="1810">
        <f>(G43/G44)</f>
        <v>0.15325509456502409</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10" activePane="bottomLeft" state="frozen"/>
      <selection activeCell="J31" sqref="J31"/>
      <selection pane="bottomLeft" activeCell="J31" sqref="J3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8" t="s">
        <v>1379</v>
      </c>
      <c r="B1" s="2308"/>
      <c r="C1" s="2308"/>
      <c r="D1" s="2308"/>
      <c r="E1" s="2308"/>
      <c r="F1" s="2308"/>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9" t="s">
        <v>1546</v>
      </c>
      <c r="B5" s="2310"/>
      <c r="C5" s="2311"/>
      <c r="D5" s="2311"/>
      <c r="E5" s="2311"/>
      <c r="F5" s="2311"/>
    </row>
    <row r="6" spans="1:10" ht="12" customHeight="1" x14ac:dyDescent="0.25">
      <c r="A6" s="1850"/>
      <c r="B6" s="1851"/>
      <c r="C6" s="2312" t="str">
        <f>COVER!A17</f>
        <v>Deer Creek-Mackinaw CUSD 701</v>
      </c>
      <c r="D6" s="2312"/>
      <c r="E6" s="2312"/>
      <c r="F6" s="1852"/>
    </row>
    <row r="7" spans="1:10" ht="11.25" customHeight="1" thickBot="1" x14ac:dyDescent="0.3">
      <c r="A7" s="1850"/>
      <c r="B7" s="1851"/>
      <c r="C7" s="2313">
        <f>COVER!A13</f>
        <v>53090701026</v>
      </c>
      <c r="D7" s="2313"/>
      <c r="E7" s="2313"/>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t="s">
        <v>2073</v>
      </c>
      <c r="D24" s="1865" t="s">
        <v>2073</v>
      </c>
      <c r="E24" s="1868"/>
      <c r="F24" s="1867" t="s">
        <v>2105</v>
      </c>
      <c r="H24" s="1878">
        <f t="shared" si="0"/>
        <v>5</v>
      </c>
      <c r="I24" s="1878">
        <f t="shared" si="1"/>
        <v>5</v>
      </c>
      <c r="J24" s="1878">
        <f t="shared" si="2"/>
        <v>0</v>
      </c>
    </row>
    <row r="25" spans="1:12" ht="12" customHeight="1" x14ac:dyDescent="0.2">
      <c r="A25" s="1863" t="s">
        <v>1533</v>
      </c>
      <c r="B25" s="1864"/>
      <c r="C25" s="1865" t="s">
        <v>2073</v>
      </c>
      <c r="D25" s="1865" t="s">
        <v>2073</v>
      </c>
      <c r="E25" s="1868"/>
      <c r="F25" s="1867" t="s">
        <v>2106</v>
      </c>
      <c r="H25" s="1878">
        <f t="shared" si="0"/>
        <v>5</v>
      </c>
      <c r="I25" s="1878">
        <f t="shared" si="1"/>
        <v>5</v>
      </c>
      <c r="J25" s="1878">
        <f t="shared" si="2"/>
        <v>0</v>
      </c>
    </row>
    <row r="26" spans="1:12" ht="12" customHeight="1" x14ac:dyDescent="0.2">
      <c r="A26" s="1863" t="s">
        <v>1534</v>
      </c>
      <c r="B26" s="1864"/>
      <c r="C26" s="1865" t="s">
        <v>2073</v>
      </c>
      <c r="D26" s="1865" t="s">
        <v>2073</v>
      </c>
      <c r="E26" s="1868"/>
      <c r="F26" s="1867" t="s">
        <v>2105</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t="s">
        <v>2073</v>
      </c>
      <c r="D30" s="1865" t="s">
        <v>2073</v>
      </c>
      <c r="E30" s="1868"/>
      <c r="F30" s="1867" t="s">
        <v>2107</v>
      </c>
      <c r="H30" s="1878">
        <f t="shared" si="0"/>
        <v>5</v>
      </c>
      <c r="I30" s="1878">
        <f t="shared" si="1"/>
        <v>5</v>
      </c>
      <c r="J30" s="1878">
        <f t="shared" si="2"/>
        <v>0</v>
      </c>
    </row>
    <row r="31" spans="1:12" ht="12" customHeight="1" x14ac:dyDescent="0.2">
      <c r="A31" s="1863" t="s">
        <v>1539</v>
      </c>
      <c r="B31" s="1864"/>
      <c r="C31" s="1865" t="s">
        <v>2073</v>
      </c>
      <c r="D31" s="1865" t="s">
        <v>2073</v>
      </c>
      <c r="E31" s="1868"/>
      <c r="F31" s="1867" t="s">
        <v>2108</v>
      </c>
      <c r="H31" s="1878">
        <f t="shared" si="0"/>
        <v>5</v>
      </c>
      <c r="I31" s="1878">
        <f t="shared" si="1"/>
        <v>5</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25</v>
      </c>
      <c r="I34" s="1878">
        <f>SUM(I11:I32)</f>
        <v>25</v>
      </c>
      <c r="J34" s="1878">
        <f>SUM(J11:J32)</f>
        <v>0</v>
      </c>
      <c r="K34" s="1878">
        <f>SUM(H34:J34)</f>
        <v>50</v>
      </c>
    </row>
    <row r="35" spans="1:11" ht="12" customHeight="1" x14ac:dyDescent="0.2">
      <c r="A35" s="1871" t="s">
        <v>1392</v>
      </c>
      <c r="B35" s="1872"/>
      <c r="C35" s="2314"/>
      <c r="D35" s="2314"/>
      <c r="E35" s="2314"/>
      <c r="F35" s="2315"/>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00"/>
      <c r="B38" s="2301"/>
      <c r="C38" s="2301"/>
      <c r="D38" s="2301"/>
      <c r="E38" s="2301"/>
      <c r="F38" s="2302"/>
    </row>
    <row r="39" spans="1:11" ht="4.5" hidden="1" customHeight="1" x14ac:dyDescent="0.2">
      <c r="A39" s="1873"/>
      <c r="B39" s="1873"/>
      <c r="C39" s="1873"/>
      <c r="D39" s="1873"/>
      <c r="E39" s="1873"/>
      <c r="F39" s="1873"/>
    </row>
    <row r="40" spans="1:11" s="1870" customFormat="1" ht="12" customHeight="1" x14ac:dyDescent="0.25">
      <c r="A40" s="1874" t="s">
        <v>1391</v>
      </c>
      <c r="B40" s="1875"/>
      <c r="C40" s="2303"/>
      <c r="D40" s="2303"/>
      <c r="E40" s="2303"/>
      <c r="F40" s="2304"/>
      <c r="H40" s="1879"/>
      <c r="I40" s="1879"/>
      <c r="J40" s="1879"/>
      <c r="K40" s="1879"/>
    </row>
    <row r="41" spans="1:11" s="1870" customFormat="1" ht="12" customHeight="1" x14ac:dyDescent="0.25">
      <c r="A41" s="2305"/>
      <c r="B41" s="2306"/>
      <c r="C41" s="2306"/>
      <c r="D41" s="2306"/>
      <c r="E41" s="2306"/>
      <c r="F41" s="2307"/>
      <c r="H41" s="1879"/>
      <c r="I41" s="1879"/>
      <c r="J41" s="1879"/>
      <c r="K41" s="1879"/>
    </row>
    <row r="42" spans="1:11" s="1870" customFormat="1" ht="12" customHeight="1" x14ac:dyDescent="0.25">
      <c r="A42" s="2305"/>
      <c r="B42" s="2306"/>
      <c r="C42" s="2306"/>
      <c r="D42" s="2306"/>
      <c r="E42" s="2306"/>
      <c r="F42" s="2307"/>
      <c r="H42" s="1879"/>
      <c r="I42" s="1879"/>
      <c r="J42" s="1879"/>
      <c r="K42" s="1879"/>
    </row>
    <row r="43" spans="1:11" s="1870" customFormat="1" ht="15" x14ac:dyDescent="0.25">
      <c r="A43" s="2294"/>
      <c r="B43" s="2295"/>
      <c r="C43" s="2295"/>
      <c r="D43" s="2295"/>
      <c r="E43" s="2295"/>
      <c r="F43" s="2296"/>
      <c r="H43" s="1879"/>
      <c r="I43" s="1879"/>
      <c r="J43" s="1879"/>
      <c r="K43" s="1879"/>
    </row>
    <row r="44" spans="1:11" s="1870" customFormat="1" ht="12" hidden="1" customHeight="1" x14ac:dyDescent="0.25">
      <c r="A44" s="2294"/>
      <c r="B44" s="2295"/>
      <c r="C44" s="2295"/>
      <c r="D44" s="2295"/>
      <c r="E44" s="2295"/>
      <c r="F44" s="229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topLeftCell="A13" colorId="8" zoomScale="110" zoomScaleNormal="110" workbookViewId="0">
      <selection activeCell="J20" sqref="J2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Deer Creek-Mackinaw CUSD 701</v>
      </c>
      <c r="J6" s="2322"/>
      <c r="Q6" s="1664"/>
    </row>
    <row r="7" spans="1:17" x14ac:dyDescent="0.2">
      <c r="A7" s="2323" t="s">
        <v>869</v>
      </c>
      <c r="B7" s="2324"/>
      <c r="C7" s="2324"/>
      <c r="D7" s="2324"/>
      <c r="E7" s="2325"/>
      <c r="F7" s="1017"/>
      <c r="G7" s="1009"/>
      <c r="H7" s="1016" t="s">
        <v>372</v>
      </c>
      <c r="I7" s="2326">
        <f>COVER!A13</f>
        <v>53090701026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154433</v>
      </c>
      <c r="F12" s="1039"/>
      <c r="G12" s="1811">
        <f t="shared" ref="G12:G18" si="0">SUM(E12:F12)</f>
        <v>154433</v>
      </c>
      <c r="H12" s="1040">
        <v>161421</v>
      </c>
      <c r="I12" s="1039"/>
      <c r="J12" s="1811">
        <f t="shared" ref="J12:J18" si="1">SUM(H12:I12)</f>
        <v>161421</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154433</v>
      </c>
      <c r="F19" s="1813">
        <f t="shared" si="2"/>
        <v>0</v>
      </c>
      <c r="G19" s="1813">
        <f t="shared" si="2"/>
        <v>154433</v>
      </c>
      <c r="H19" s="1813">
        <f t="shared" si="2"/>
        <v>161421</v>
      </c>
      <c r="I19" s="1813">
        <f t="shared" si="2"/>
        <v>0</v>
      </c>
      <c r="J19" s="1813">
        <f t="shared" si="2"/>
        <v>161421</v>
      </c>
    </row>
    <row r="20" spans="1:10" ht="13.5" thickTop="1" x14ac:dyDescent="0.2">
      <c r="A20" s="1035">
        <v>9</v>
      </c>
      <c r="B20" s="2333" t="s">
        <v>1981</v>
      </c>
      <c r="C20" s="2333"/>
      <c r="D20" s="2334"/>
      <c r="E20" s="1046"/>
      <c r="F20" s="1046"/>
      <c r="G20" s="1046"/>
      <c r="H20" s="1046"/>
      <c r="I20" s="1046"/>
      <c r="J20" s="1814">
        <f>IF(AND(G19&gt;0,J19&gt;0),(((J19-G19)/G19)),"Enter Budget Data")</f>
        <v>4.5249396178277959E-2</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1983</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D64"/>
  <sheetViews>
    <sheetView showGridLines="0" topLeftCell="A22" zoomScale="110" zoomScaleNormal="110" workbookViewId="0">
      <selection activeCell="A44" sqref="A1:XFD1048576"/>
    </sheetView>
  </sheetViews>
  <sheetFormatPr defaultColWidth="9.140625" defaultRowHeight="12.75" x14ac:dyDescent="0.2"/>
  <cols>
    <col min="1" max="1" width="8.7109375" style="329" customWidth="1"/>
    <col min="2" max="2" width="51.28515625" style="329" customWidth="1"/>
    <col min="3" max="3" width="3.140625" style="329" customWidth="1"/>
    <col min="4" max="4" width="12.7109375" style="329" customWidth="1"/>
    <col min="5" max="16384" width="9.140625" style="329"/>
  </cols>
  <sheetData>
    <row r="2" spans="1:4" x14ac:dyDescent="0.2">
      <c r="A2" s="389" t="s">
        <v>258</v>
      </c>
    </row>
    <row r="3" spans="1:4" x14ac:dyDescent="0.2">
      <c r="A3" s="329" t="s">
        <v>259</v>
      </c>
    </row>
    <row r="5" spans="1:4" x14ac:dyDescent="0.2">
      <c r="A5" s="1068" t="s">
        <v>2109</v>
      </c>
      <c r="B5" s="329" t="s">
        <v>2110</v>
      </c>
    </row>
    <row r="6" spans="1:4" x14ac:dyDescent="0.2">
      <c r="A6" s="1068"/>
      <c r="B6" s="1941" t="s">
        <v>2139</v>
      </c>
      <c r="D6" s="1940">
        <v>29500</v>
      </c>
    </row>
    <row r="7" spans="1:4" x14ac:dyDescent="0.2">
      <c r="A7" s="1068"/>
      <c r="B7" s="1941" t="s">
        <v>2111</v>
      </c>
      <c r="D7" s="1944">
        <v>5158</v>
      </c>
    </row>
    <row r="8" spans="1:4" ht="13.5" thickBot="1" x14ac:dyDescent="0.25">
      <c r="A8" s="1068"/>
      <c r="D8" s="1942">
        <f>SUM(D6:D7)</f>
        <v>34658</v>
      </c>
    </row>
    <row r="9" spans="1:4" ht="13.5" thickTop="1" x14ac:dyDescent="0.2">
      <c r="A9" s="1069"/>
    </row>
    <row r="10" spans="1:4" x14ac:dyDescent="0.2">
      <c r="A10" s="1069" t="s">
        <v>2112</v>
      </c>
      <c r="B10" s="329" t="s">
        <v>2113</v>
      </c>
    </row>
    <row r="11" spans="1:4" x14ac:dyDescent="0.2">
      <c r="A11" s="1069"/>
      <c r="B11" s="1941" t="s">
        <v>2114</v>
      </c>
      <c r="D11" s="1940">
        <v>770</v>
      </c>
    </row>
    <row r="12" spans="1:4" x14ac:dyDescent="0.2">
      <c r="A12" s="1069"/>
      <c r="B12" s="1941" t="s">
        <v>2136</v>
      </c>
      <c r="D12" s="1944">
        <v>1790</v>
      </c>
    </row>
    <row r="13" spans="1:4" ht="13.5" thickBot="1" x14ac:dyDescent="0.25">
      <c r="A13" s="1069"/>
      <c r="B13" s="1941"/>
      <c r="D13" s="1942">
        <f>SUM(D11:D12)</f>
        <v>2560</v>
      </c>
    </row>
    <row r="14" spans="1:4" ht="13.5" thickTop="1" x14ac:dyDescent="0.2">
      <c r="A14" s="1069"/>
    </row>
    <row r="15" spans="1:4" x14ac:dyDescent="0.2">
      <c r="A15" s="1069" t="s">
        <v>2115</v>
      </c>
      <c r="B15" s="329" t="s">
        <v>2116</v>
      </c>
    </row>
    <row r="16" spans="1:4" x14ac:dyDescent="0.2">
      <c r="A16" s="1069"/>
      <c r="B16" s="1941" t="s">
        <v>2117</v>
      </c>
      <c r="D16" s="1940">
        <v>3330</v>
      </c>
    </row>
    <row r="17" spans="1:4" x14ac:dyDescent="0.2">
      <c r="A17" s="1069"/>
    </row>
    <row r="18" spans="1:4" x14ac:dyDescent="0.2">
      <c r="A18" s="1069" t="s">
        <v>2118</v>
      </c>
      <c r="B18" s="329" t="s">
        <v>2119</v>
      </c>
    </row>
    <row r="19" spans="1:4" x14ac:dyDescent="0.2">
      <c r="A19" s="1069"/>
      <c r="B19" s="1941" t="s">
        <v>2120</v>
      </c>
      <c r="D19" s="1940">
        <v>61953</v>
      </c>
    </row>
    <row r="20" spans="1:4" x14ac:dyDescent="0.2">
      <c r="A20" s="1069"/>
      <c r="B20" s="1941" t="s">
        <v>2121</v>
      </c>
      <c r="D20" s="1944">
        <v>3198</v>
      </c>
    </row>
    <row r="21" spans="1:4" ht="13.5" thickBot="1" x14ac:dyDescent="0.25">
      <c r="A21" s="1069"/>
      <c r="D21" s="1943">
        <f>SUM(D19:D20)</f>
        <v>65151</v>
      </c>
    </row>
    <row r="22" spans="1:4" ht="13.5" thickTop="1" x14ac:dyDescent="0.2">
      <c r="A22" s="1069"/>
    </row>
    <row r="23" spans="1:4" x14ac:dyDescent="0.2">
      <c r="A23" s="1069"/>
      <c r="B23" s="329" t="s">
        <v>2122</v>
      </c>
    </row>
    <row r="24" spans="1:4" x14ac:dyDescent="0.2">
      <c r="A24" s="1069"/>
      <c r="B24" s="1941" t="s">
        <v>2123</v>
      </c>
      <c r="D24" s="1940">
        <v>8437</v>
      </c>
    </row>
    <row r="25" spans="1:4" x14ac:dyDescent="0.2">
      <c r="A25" s="1069"/>
      <c r="B25" s="1941" t="s">
        <v>2124</v>
      </c>
      <c r="D25" s="1944">
        <v>22</v>
      </c>
    </row>
    <row r="26" spans="1:4" ht="13.5" thickBot="1" x14ac:dyDescent="0.25">
      <c r="A26" s="1069"/>
      <c r="D26" s="1943">
        <f>SUM(D24:D25)</f>
        <v>8459</v>
      </c>
    </row>
    <row r="27" spans="1:4" ht="13.5" thickTop="1" x14ac:dyDescent="0.2">
      <c r="A27" s="1069"/>
    </row>
    <row r="28" spans="1:4" x14ac:dyDescent="0.2">
      <c r="A28" s="1069" t="s">
        <v>2125</v>
      </c>
      <c r="B28" s="329" t="s">
        <v>2140</v>
      </c>
    </row>
    <row r="29" spans="1:4" x14ac:dyDescent="0.2">
      <c r="A29" s="1069"/>
      <c r="B29" s="1941" t="s">
        <v>2126</v>
      </c>
      <c r="D29" s="1940">
        <v>100</v>
      </c>
    </row>
    <row r="30" spans="1:4" x14ac:dyDescent="0.2">
      <c r="A30" s="1069"/>
    </row>
    <row r="31" spans="1:4" x14ac:dyDescent="0.2">
      <c r="A31" s="1069" t="s">
        <v>2129</v>
      </c>
      <c r="B31" s="329" t="s">
        <v>2135</v>
      </c>
    </row>
    <row r="32" spans="1:4" x14ac:dyDescent="0.2">
      <c r="A32" s="1069"/>
      <c r="B32" s="1941" t="s">
        <v>2134</v>
      </c>
      <c r="D32" s="1940">
        <v>1036</v>
      </c>
    </row>
    <row r="33" spans="1:4" x14ac:dyDescent="0.2">
      <c r="A33" s="1069"/>
    </row>
    <row r="34" spans="1:4" x14ac:dyDescent="0.2">
      <c r="A34" s="1069" t="s">
        <v>2127</v>
      </c>
      <c r="B34" s="329" t="s">
        <v>2128</v>
      </c>
    </row>
    <row r="35" spans="1:4" x14ac:dyDescent="0.2">
      <c r="A35" s="1069"/>
      <c r="B35" s="1941" t="s">
        <v>2120</v>
      </c>
      <c r="D35" s="1940">
        <v>9875</v>
      </c>
    </row>
    <row r="36" spans="1:4" x14ac:dyDescent="0.2">
      <c r="A36" s="1069"/>
      <c r="B36" s="1941" t="s">
        <v>2121</v>
      </c>
      <c r="D36" s="1944">
        <v>394</v>
      </c>
    </row>
    <row r="37" spans="1:4" ht="13.5" thickBot="1" x14ac:dyDescent="0.25">
      <c r="A37" s="1069"/>
      <c r="D37" s="1943">
        <f>SUM(D35:D36)</f>
        <v>10269</v>
      </c>
    </row>
    <row r="38" spans="1:4" ht="13.5" thickTop="1" x14ac:dyDescent="0.2">
      <c r="A38" s="1069"/>
    </row>
    <row r="39" spans="1:4" x14ac:dyDescent="0.2">
      <c r="A39" s="1069" t="s">
        <v>2129</v>
      </c>
      <c r="B39" s="329" t="s">
        <v>2130</v>
      </c>
      <c r="D39" s="1940">
        <v>855000</v>
      </c>
    </row>
    <row r="40" spans="1:4" x14ac:dyDescent="0.2">
      <c r="A40" s="1069"/>
      <c r="B40" s="329" t="s">
        <v>2131</v>
      </c>
      <c r="D40" s="1944">
        <v>6684</v>
      </c>
    </row>
    <row r="41" spans="1:4" x14ac:dyDescent="0.2">
      <c r="A41" s="1069"/>
      <c r="B41" s="329" t="s">
        <v>2078</v>
      </c>
      <c r="D41" s="1944">
        <v>10728</v>
      </c>
    </row>
    <row r="42" spans="1:4" ht="13.5" thickBot="1" x14ac:dyDescent="0.25">
      <c r="A42" s="1069" t="s">
        <v>2133</v>
      </c>
      <c r="B42" s="329" t="s">
        <v>2132</v>
      </c>
      <c r="D42" s="1943">
        <f>SUM(D39:D41)</f>
        <v>872412</v>
      </c>
    </row>
    <row r="43" spans="1:4" ht="13.5" thickTop="1" x14ac:dyDescent="0.2">
      <c r="A43" s="1069"/>
    </row>
    <row r="44" spans="1:4" x14ac:dyDescent="0.2">
      <c r="A44" s="1069" t="s">
        <v>2141</v>
      </c>
      <c r="B44" s="329" t="s">
        <v>2138</v>
      </c>
      <c r="D44" s="1940">
        <v>-1620</v>
      </c>
    </row>
    <row r="45" spans="1:4" x14ac:dyDescent="0.2">
      <c r="A45" s="1069"/>
    </row>
    <row r="46" spans="1:4" x14ac:dyDescent="0.2">
      <c r="A46" s="1069"/>
    </row>
    <row r="47" spans="1:4" x14ac:dyDescent="0.2">
      <c r="A47" s="1069"/>
    </row>
    <row r="48" spans="1:4"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c r="B63" s="258" t="str">
        <f>COVER!A17</f>
        <v>Deer Creek-Mackinaw CUSD 701</v>
      </c>
    </row>
    <row r="64" spans="1:2" x14ac:dyDescent="0.2">
      <c r="B64" s="1070">
        <f>COVER!A13</f>
        <v>53090701026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topLeftCell="A16" zoomScale="110" zoomScaleNormal="110" workbookViewId="0">
      <selection activeCell="J31" sqref="J3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J31" sqref="J31"/>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1" sqref="B1"/>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0</xdr:colOff>
                <xdr:row>0</xdr:row>
                <xdr:rowOff>0</xdr:rowOff>
              </from>
              <to>
                <xdr:col>1</xdr:col>
                <xdr:colOff>914400</xdr:colOff>
                <xdr:row>4</xdr:row>
                <xdr:rowOff>38100</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971550</xdr:colOff>
                <xdr:row>0</xdr:row>
                <xdr:rowOff>0</xdr:rowOff>
              </from>
              <to>
                <xdr:col>1</xdr:col>
                <xdr:colOff>1885950</xdr:colOff>
                <xdr:row>4</xdr:row>
                <xdr:rowOff>38100</xdr:rowOff>
              </to>
            </anchor>
          </objectPr>
        </oleObject>
      </mc:Choice>
      <mc:Fallback>
        <oleObject progId="Acrobat Document" dvAspect="DVASPECT_ICON" shapeId="50178"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topLeftCell="A4" zoomScale="110" zoomScaleNormal="110" workbookViewId="0">
      <selection activeCell="J31" sqref="J3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1987</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1988</v>
      </c>
      <c r="B4" s="2361"/>
      <c r="C4" s="2361"/>
      <c r="D4" s="2361"/>
      <c r="E4" s="2361"/>
      <c r="F4" s="2362"/>
      <c r="G4" s="1074"/>
      <c r="H4" s="1074"/>
    </row>
    <row r="5" spans="1:8" ht="14.25" customHeight="1" x14ac:dyDescent="0.2">
      <c r="A5" s="2363" t="s">
        <v>1984</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8740106</v>
      </c>
      <c r="C8" s="1815">
        <f>'Acct Summary 7-8'!D8</f>
        <v>761436</v>
      </c>
      <c r="D8" s="1815">
        <f>'Acct Summary 7-8'!F8</f>
        <v>528760</v>
      </c>
      <c r="E8" s="1815">
        <f>'Acct Summary 7-8'!I8</f>
        <v>76232</v>
      </c>
      <c r="F8" s="1815">
        <f>SUM(B8:E8)</f>
        <v>10106534</v>
      </c>
    </row>
    <row r="9" spans="1:8" s="1079" customFormat="1" ht="14.25" customHeight="1" thickBot="1" x14ac:dyDescent="0.25">
      <c r="A9" s="1078" t="s">
        <v>1369</v>
      </c>
      <c r="B9" s="1816">
        <f>'Acct Summary 7-8'!C17</f>
        <v>8186184</v>
      </c>
      <c r="C9" s="1816">
        <f>'Acct Summary 7-8'!D17</f>
        <v>837288</v>
      </c>
      <c r="D9" s="1816">
        <f>'Acct Summary 7-8'!F17</f>
        <v>582229</v>
      </c>
      <c r="E9" s="1815"/>
      <c r="F9" s="1815">
        <f>SUM(B9:E9)</f>
        <v>9605701</v>
      </c>
    </row>
    <row r="10" spans="1:8" s="1079" customFormat="1" ht="14.25" thickTop="1" thickBot="1" x14ac:dyDescent="0.25">
      <c r="A10" s="1080" t="s">
        <v>1370</v>
      </c>
      <c r="B10" s="1817">
        <f>(B8-B9)</f>
        <v>553922</v>
      </c>
      <c r="C10" s="1817">
        <f>(C8-C9)</f>
        <v>-75852</v>
      </c>
      <c r="D10" s="1817">
        <f>(D8-D9)</f>
        <v>-53469</v>
      </c>
      <c r="E10" s="1816">
        <f>(E8-E9)</f>
        <v>76232</v>
      </c>
      <c r="F10" s="1818">
        <f>SUM(F8-F9)</f>
        <v>500833</v>
      </c>
    </row>
    <row r="11" spans="1:8" s="1079" customFormat="1" ht="14.25" thickTop="1" thickBot="1" x14ac:dyDescent="0.25">
      <c r="A11" s="1081" t="s">
        <v>1985</v>
      </c>
      <c r="B11" s="1819">
        <f>'Acct Summary 7-8'!C81</f>
        <v>1875936</v>
      </c>
      <c r="C11" s="1819">
        <f>'Acct Summary 7-8'!D81</f>
        <v>379216</v>
      </c>
      <c r="D11" s="1819">
        <f>'Acct Summary 7-8'!F81</f>
        <v>260938</v>
      </c>
      <c r="E11" s="1819">
        <f>'Acct Summary 7-8'!I81</f>
        <v>1040810</v>
      </c>
      <c r="F11" s="1820">
        <f>SUM(B11:E11)</f>
        <v>3556900</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colorId="8" zoomScale="110" zoomScaleNormal="110" workbookViewId="0">
      <selection activeCell="F33" sqref="F33"/>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ERROR!</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53090701026</v>
      </c>
    </row>
    <row r="3" spans="1:2" x14ac:dyDescent="0.2">
      <c r="A3" t="s">
        <v>956</v>
      </c>
      <c r="B3" s="138" t="str">
        <f>COVER!A15</f>
        <v>Tazewell &amp; Woodford</v>
      </c>
    </row>
    <row r="4" spans="1:2" x14ac:dyDescent="0.2">
      <c r="A4" t="s">
        <v>1007</v>
      </c>
      <c r="B4" s="138" t="str">
        <f>COVER!A17</f>
        <v>Deer Creek-Mackinaw CUSD 701</v>
      </c>
    </row>
    <row r="5" spans="1:2" x14ac:dyDescent="0.2">
      <c r="A5" t="s">
        <v>704</v>
      </c>
      <c r="B5" s="138" t="str">
        <f>COVER!A38</f>
        <v>Mrs. Michele Jacobs</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t="str">
        <f>IF(COVER!J31="x","Yes",IF(COVER!L31="x","No",0))</f>
        <v>No</v>
      </c>
    </row>
    <row r="15" spans="1:2" x14ac:dyDescent="0.2">
      <c r="A15" t="s">
        <v>577</v>
      </c>
      <c r="B15" s="138" t="str">
        <f>COVER!T23</f>
        <v>066-004355</v>
      </c>
    </row>
    <row r="16" spans="1:2" x14ac:dyDescent="0.2">
      <c r="A16" t="s">
        <v>422</v>
      </c>
      <c r="B16" s="138" t="str">
        <f>COVER!T13</f>
        <v>Phillips, Salmi &amp; Associates, LLC</v>
      </c>
    </row>
    <row r="17" spans="1:2" x14ac:dyDescent="0.2">
      <c r="A17" t="s">
        <v>884</v>
      </c>
      <c r="B17" s="138" t="str">
        <f>COVER!T15</f>
        <v>Lori Salmi</v>
      </c>
    </row>
    <row r="18" spans="1:2" x14ac:dyDescent="0.2">
      <c r="A18" t="s">
        <v>1150</v>
      </c>
      <c r="B18" s="138" t="str">
        <f>COVER!T17</f>
        <v>112 S Main Street</v>
      </c>
    </row>
    <row r="19" spans="1:2" x14ac:dyDescent="0.2">
      <c r="A19" t="s">
        <v>886</v>
      </c>
      <c r="B19" s="138" t="str">
        <f>COVER!T25</f>
        <v>lsalmi@psa-cpa.com</v>
      </c>
    </row>
    <row r="20" spans="1:2" x14ac:dyDescent="0.2">
      <c r="A20" t="s">
        <v>887</v>
      </c>
      <c r="B20" s="138" t="str">
        <f>COVER!T19</f>
        <v>Washington</v>
      </c>
    </row>
    <row r="21" spans="1:2" x14ac:dyDescent="0.2">
      <c r="A21" t="s">
        <v>479</v>
      </c>
      <c r="B21" s="138" t="str">
        <f>COVER!X19</f>
        <v>IL</v>
      </c>
    </row>
    <row r="22" spans="1:2" x14ac:dyDescent="0.2">
      <c r="A22" t="s">
        <v>888</v>
      </c>
      <c r="B22" s="138">
        <f>COVER!Z19</f>
        <v>61571</v>
      </c>
    </row>
    <row r="23" spans="1:2" x14ac:dyDescent="0.2">
      <c r="A23" t="s">
        <v>1152</v>
      </c>
      <c r="B23" s="138" t="str">
        <f>COVER!T21</f>
        <v>(309) 444-4909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1047096</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1875936</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1781220</v>
      </c>
      <c r="D92" s="2" t="str">
        <f t="shared" si="0"/>
        <v>Error?</v>
      </c>
    </row>
    <row r="93" spans="1:4" x14ac:dyDescent="0.2">
      <c r="A93" s="5">
        <v>32</v>
      </c>
      <c r="B93" s="138">
        <f>'Assets-Liab 5-6'!C41</f>
        <v>1875936</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340669</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379216</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375825</v>
      </c>
      <c r="D123" s="2" t="str">
        <f t="shared" si="0"/>
        <v>Error?</v>
      </c>
    </row>
    <row r="124" spans="1:4" x14ac:dyDescent="0.2">
      <c r="A124" s="5">
        <v>63</v>
      </c>
      <c r="B124" s="138">
        <f>'Assets-Liab 5-6'!D41</f>
        <v>379216</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144477</v>
      </c>
      <c r="D129" s="2" t="str">
        <f t="shared" si="1"/>
        <v>Error?</v>
      </c>
    </row>
    <row r="130" spans="1:4" x14ac:dyDescent="0.2">
      <c r="A130" s="5">
        <v>69</v>
      </c>
      <c r="B130" s="138">
        <f>'Assets-Liab 5-6'!E12</f>
        <v>0</v>
      </c>
      <c r="D130" s="2" t="str">
        <f t="shared" si="1"/>
        <v>Error?</v>
      </c>
    </row>
    <row r="131" spans="1:4" x14ac:dyDescent="0.2">
      <c r="A131" s="5">
        <v>70</v>
      </c>
      <c r="B131" s="138">
        <f>'Assets-Liab 5-6'!E13</f>
        <v>145107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145107</v>
      </c>
      <c r="D140" s="2" t="str">
        <f t="shared" si="1"/>
        <v>Error?</v>
      </c>
    </row>
    <row r="141" spans="1:4" x14ac:dyDescent="0.2">
      <c r="A141" s="5">
        <v>80</v>
      </c>
      <c r="B141" s="138">
        <f>'Assets-Liab 5-6'!E41</f>
        <v>145107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226649</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260938</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260938</v>
      </c>
      <c r="D170" s="2" t="str">
        <f t="shared" si="1"/>
        <v>Error?</v>
      </c>
    </row>
    <row r="171" spans="1:4" x14ac:dyDescent="0.2">
      <c r="A171" s="5">
        <v>110</v>
      </c>
      <c r="B171" s="138">
        <f>'Assets-Liab 5-6'!F41</f>
        <v>260938</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124589</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133573</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133573</v>
      </c>
      <c r="D189" s="2" t="str">
        <f t="shared" si="1"/>
        <v>Error?</v>
      </c>
    </row>
    <row r="190" spans="1:4" x14ac:dyDescent="0.2">
      <c r="A190" s="5">
        <v>129</v>
      </c>
      <c r="B190" s="138">
        <f>'Assets-Liab 5-6'!G41</f>
        <v>133573</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499</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221772</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216337</v>
      </c>
      <c r="D212" s="2" t="str">
        <f t="shared" si="2"/>
        <v>Error?</v>
      </c>
    </row>
    <row r="213" spans="1:4" x14ac:dyDescent="0.2">
      <c r="A213" s="12">
        <v>152</v>
      </c>
      <c r="B213" s="138">
        <f>'Assets-Liab 5-6'!H41</f>
        <v>221772</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298234</v>
      </c>
      <c r="D273" s="2" t="str">
        <f t="shared" si="3"/>
        <v>Error?</v>
      </c>
    </row>
    <row r="274" spans="1:4" x14ac:dyDescent="0.2">
      <c r="A274" s="5">
        <v>213</v>
      </c>
      <c r="B274" s="138">
        <f>'Assets-Liab 5-6'!M17</f>
        <v>22407162</v>
      </c>
      <c r="D274" s="2" t="str">
        <f t="shared" si="3"/>
        <v>Error?</v>
      </c>
    </row>
    <row r="275" spans="1:4" x14ac:dyDescent="0.2">
      <c r="A275" s="5">
        <v>214</v>
      </c>
      <c r="B275" s="138">
        <f>'Assets-Liab 5-6'!M18</f>
        <v>3897007</v>
      </c>
      <c r="D275" s="2" t="str">
        <f t="shared" si="3"/>
        <v>Error?</v>
      </c>
    </row>
    <row r="276" spans="1:4" x14ac:dyDescent="0.2">
      <c r="A276" s="5">
        <v>215</v>
      </c>
      <c r="B276" s="138">
        <f>'Assets-Liab 5-6'!M19</f>
        <v>2410840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29013243</v>
      </c>
      <c r="C279" s="2" t="s">
        <v>573</v>
      </c>
      <c r="D279" s="2" t="str">
        <f t="shared" si="3"/>
        <v>Error?</v>
      </c>
    </row>
    <row r="280" spans="1:4" x14ac:dyDescent="0.2">
      <c r="A280" s="5">
        <v>219</v>
      </c>
      <c r="B280" s="138">
        <f>'Assets-Liab 5-6'!M40</f>
        <v>29013243</v>
      </c>
      <c r="D280" s="2" t="str">
        <f t="shared" si="3"/>
        <v>Error?</v>
      </c>
    </row>
    <row r="281" spans="1:4" x14ac:dyDescent="0.2">
      <c r="A281" s="5">
        <v>220</v>
      </c>
      <c r="B281" s="138">
        <f>'Assets-Liab 5-6'!M41</f>
        <v>29013243</v>
      </c>
      <c r="C281" s="2" t="s">
        <v>573</v>
      </c>
      <c r="D281" s="2" t="str">
        <f t="shared" si="3"/>
        <v>Error?</v>
      </c>
    </row>
    <row r="282" spans="1:4" x14ac:dyDescent="0.2">
      <c r="A282" s="5">
        <v>221</v>
      </c>
      <c r="B282" s="138">
        <f>'Assets-Liab 5-6'!N21</f>
        <v>145107</v>
      </c>
      <c r="D282" s="2" t="str">
        <f t="shared" si="3"/>
        <v>Error?</v>
      </c>
    </row>
    <row r="283" spans="1:4" x14ac:dyDescent="0.2">
      <c r="A283" s="5">
        <v>222</v>
      </c>
      <c r="B283" s="138">
        <f>'Assets-Liab 5-6'!N22</f>
        <v>9490034</v>
      </c>
      <c r="D283" s="2" t="str">
        <f t="shared" si="3"/>
        <v>Error?</v>
      </c>
    </row>
    <row r="284" spans="1:4" x14ac:dyDescent="0.2">
      <c r="A284" s="5">
        <v>223</v>
      </c>
      <c r="B284" s="138">
        <f>'Assets-Liab 5-6'!N23</f>
        <v>9635141</v>
      </c>
      <c r="C284" s="2" t="s">
        <v>573</v>
      </c>
      <c r="D284" s="2" t="str">
        <f t="shared" si="3"/>
        <v>Error?</v>
      </c>
    </row>
    <row r="285" spans="1:4" x14ac:dyDescent="0.2">
      <c r="A285" s="5">
        <v>224</v>
      </c>
      <c r="B285" s="138">
        <f>'Assets-Liab 5-6'!N36</f>
        <v>9635141</v>
      </c>
      <c r="D285" s="2" t="str">
        <f t="shared" si="3"/>
        <v>Error?</v>
      </c>
    </row>
    <row r="286" spans="1:4" x14ac:dyDescent="0.2">
      <c r="A286" s="10">
        <v>225</v>
      </c>
      <c r="D286" s="2" t="str">
        <f t="shared" si="3"/>
        <v>OK</v>
      </c>
    </row>
    <row r="287" spans="1:4" x14ac:dyDescent="0.2">
      <c r="A287" s="5">
        <v>226</v>
      </c>
      <c r="B287" s="138">
        <f>'Assets-Liab 5-6'!N37</f>
        <v>9635141</v>
      </c>
      <c r="C287" s="2" t="s">
        <v>573</v>
      </c>
      <c r="D287" s="2" t="str">
        <f t="shared" si="3"/>
        <v>Error?</v>
      </c>
    </row>
    <row r="288" spans="1:4" x14ac:dyDescent="0.2">
      <c r="A288" s="5">
        <v>227</v>
      </c>
      <c r="B288" s="138">
        <f>'Assets-Liab 5-6'!N41</f>
        <v>9635141</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2836994</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184868</v>
      </c>
      <c r="D717" s="2" t="str">
        <f t="shared" si="10"/>
        <v>Error?</v>
      </c>
    </row>
    <row r="718" spans="1:4" x14ac:dyDescent="0.2">
      <c r="A718" s="5">
        <v>657</v>
      </c>
      <c r="B718" s="138">
        <f>'Expenditures 15-22'!C14</f>
        <v>238933</v>
      </c>
      <c r="D718" s="2" t="str">
        <f t="shared" si="10"/>
        <v>Error?</v>
      </c>
    </row>
    <row r="719" spans="1:4" x14ac:dyDescent="0.2">
      <c r="A719" s="5">
        <v>658</v>
      </c>
      <c r="B719" s="138">
        <f>'Expenditures 15-22'!C15</f>
        <v>6148</v>
      </c>
      <c r="D719" s="2" t="str">
        <f t="shared" si="10"/>
        <v>Error?</v>
      </c>
    </row>
    <row r="720" spans="1:4" x14ac:dyDescent="0.2">
      <c r="A720" s="5">
        <v>659</v>
      </c>
      <c r="B720" s="138">
        <f>'Expenditures 15-22'!C33</f>
        <v>4352418</v>
      </c>
      <c r="C720" s="2" t="s">
        <v>573</v>
      </c>
      <c r="D720" s="2" t="str">
        <f t="shared" si="10"/>
        <v>Error?</v>
      </c>
    </row>
    <row r="721" spans="1:4" x14ac:dyDescent="0.2">
      <c r="A721" s="5">
        <v>660</v>
      </c>
      <c r="B721" s="138">
        <f>'Expenditures 15-22'!C36</f>
        <v>85390</v>
      </c>
      <c r="D721" s="2" t="str">
        <f t="shared" si="10"/>
        <v>Error?</v>
      </c>
    </row>
    <row r="722" spans="1:4" x14ac:dyDescent="0.2">
      <c r="A722" s="5">
        <v>661</v>
      </c>
      <c r="B722" s="138">
        <f>'Expenditures 15-22'!C37</f>
        <v>46763</v>
      </c>
      <c r="D722" s="2" t="str">
        <f t="shared" si="10"/>
        <v>Error?</v>
      </c>
    </row>
    <row r="723" spans="1:4" x14ac:dyDescent="0.2">
      <c r="A723" s="5">
        <v>662</v>
      </c>
      <c r="B723" s="138">
        <f>'Expenditures 15-22'!C38</f>
        <v>0</v>
      </c>
      <c r="D723" s="2" t="str">
        <f t="shared" si="10"/>
        <v>Error?</v>
      </c>
    </row>
    <row r="724" spans="1:4" x14ac:dyDescent="0.2">
      <c r="A724" s="5">
        <v>663</v>
      </c>
      <c r="B724" s="138">
        <f>'Expenditures 15-22'!C39</f>
        <v>50654</v>
      </c>
      <c r="D724" s="2" t="str">
        <f t="shared" si="10"/>
        <v>Error?</v>
      </c>
    </row>
    <row r="725" spans="1:4" x14ac:dyDescent="0.2">
      <c r="A725" s="5">
        <v>664</v>
      </c>
      <c r="B725" s="138">
        <f>'Expenditures 15-22'!C40</f>
        <v>118827</v>
      </c>
      <c r="D725" s="2" t="str">
        <f t="shared" si="10"/>
        <v>Error?</v>
      </c>
    </row>
    <row r="726" spans="1:4" x14ac:dyDescent="0.2">
      <c r="A726" s="5">
        <v>665</v>
      </c>
      <c r="B726" s="138">
        <f>'Expenditures 15-22'!C41</f>
        <v>65151</v>
      </c>
      <c r="D726" s="2" t="str">
        <f t="shared" si="10"/>
        <v>Error?</v>
      </c>
    </row>
    <row r="727" spans="1:4" x14ac:dyDescent="0.2">
      <c r="A727" s="5">
        <v>666</v>
      </c>
      <c r="B727" s="138">
        <f>'Expenditures 15-22'!C42</f>
        <v>366785</v>
      </c>
      <c r="C727" s="2" t="s">
        <v>573</v>
      </c>
      <c r="D727" s="2" t="str">
        <f t="shared" si="10"/>
        <v>Error?</v>
      </c>
    </row>
    <row r="728" spans="1:4" x14ac:dyDescent="0.2">
      <c r="A728" s="5">
        <v>667</v>
      </c>
      <c r="B728" s="138">
        <f>'Expenditures 15-22'!C44</f>
        <v>4550</v>
      </c>
      <c r="D728" s="2" t="str">
        <f t="shared" si="10"/>
        <v>Error?</v>
      </c>
    </row>
    <row r="729" spans="1:4" x14ac:dyDescent="0.2">
      <c r="A729" s="5">
        <v>668</v>
      </c>
      <c r="B729" s="138">
        <f>'Expenditures 15-22'!C45</f>
        <v>151606</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156156</v>
      </c>
      <c r="C731" s="2" t="s">
        <v>573</v>
      </c>
      <c r="D731" s="2" t="str">
        <f t="shared" si="10"/>
        <v>Error?</v>
      </c>
    </row>
    <row r="732" spans="1:4" x14ac:dyDescent="0.2">
      <c r="A732" s="5">
        <v>671</v>
      </c>
      <c r="B732" s="138">
        <f>'Expenditures 15-22'!C49</f>
        <v>1212</v>
      </c>
      <c r="D732" s="2" t="str">
        <f t="shared" si="10"/>
        <v>Error?</v>
      </c>
    </row>
    <row r="733" spans="1:4" x14ac:dyDescent="0.2">
      <c r="A733" s="5">
        <v>672</v>
      </c>
      <c r="B733" s="138">
        <f>'Expenditures 15-22'!C50</f>
        <v>117996</v>
      </c>
      <c r="D733" s="2" t="str">
        <f t="shared" si="10"/>
        <v>Error?</v>
      </c>
    </row>
    <row r="734" spans="1:4" x14ac:dyDescent="0.2">
      <c r="A734" s="5">
        <v>673</v>
      </c>
      <c r="B734" s="138">
        <f>'Expenditures 15-22'!C53</f>
        <v>119208</v>
      </c>
      <c r="C734" s="2" t="s">
        <v>573</v>
      </c>
      <c r="D734" s="2" t="str">
        <f t="shared" si="10"/>
        <v>Error?</v>
      </c>
    </row>
    <row r="735" spans="1:4" x14ac:dyDescent="0.2">
      <c r="A735" s="5">
        <v>674</v>
      </c>
      <c r="B735" s="138">
        <f>'Expenditures 15-22'!C55</f>
        <v>416900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416900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58875</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143205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202080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1261129</v>
      </c>
      <c r="C755" s="2" t="s">
        <v>573</v>
      </c>
      <c r="D755" s="2" t="str">
        <f t="shared" si="10"/>
        <v>Error?</v>
      </c>
    </row>
    <row r="756" spans="1:4" x14ac:dyDescent="0.2">
      <c r="A756" s="5">
        <v>695</v>
      </c>
      <c r="B756" s="138">
        <f>'Expenditures 15-22'!C75</f>
        <v>36203</v>
      </c>
      <c r="D756" s="2" t="str">
        <f t="shared" si="10"/>
        <v>Error?</v>
      </c>
    </row>
    <row r="757" spans="1:4" x14ac:dyDescent="0.2">
      <c r="A757" s="5">
        <v>696</v>
      </c>
      <c r="B757" s="138">
        <f>'Expenditures 15-22'!C114</f>
        <v>5649750</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673603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46745</v>
      </c>
      <c r="D775" s="2" t="str">
        <f t="shared" si="11"/>
        <v>Error?</v>
      </c>
    </row>
    <row r="776" spans="1:4" x14ac:dyDescent="0.2">
      <c r="A776" s="5">
        <v>715</v>
      </c>
      <c r="B776" s="138">
        <f>'Expenditures 15-22'!D14</f>
        <v>30272</v>
      </c>
      <c r="D776" s="2" t="str">
        <f t="shared" si="11"/>
        <v>Error?</v>
      </c>
    </row>
    <row r="777" spans="1:4" x14ac:dyDescent="0.2">
      <c r="A777" s="5">
        <v>716</v>
      </c>
      <c r="B777" s="138">
        <f>'Expenditures 15-22'!D15</f>
        <v>596</v>
      </c>
      <c r="D777" s="2" t="str">
        <f t="shared" si="11"/>
        <v>Error?</v>
      </c>
    </row>
    <row r="778" spans="1:4" x14ac:dyDescent="0.2">
      <c r="A778" s="5">
        <v>717</v>
      </c>
      <c r="B778" s="138">
        <f>'Expenditures 15-22'!D33</f>
        <v>961842</v>
      </c>
      <c r="C778" s="2" t="s">
        <v>573</v>
      </c>
      <c r="D778" s="2" t="str">
        <f t="shared" si="11"/>
        <v>Error?</v>
      </c>
    </row>
    <row r="779" spans="1:4" x14ac:dyDescent="0.2">
      <c r="A779" s="5">
        <v>718</v>
      </c>
      <c r="B779" s="138">
        <f>'Expenditures 15-22'!D36</f>
        <v>20579</v>
      </c>
      <c r="D779" s="2" t="str">
        <f t="shared" si="11"/>
        <v>Error?</v>
      </c>
    </row>
    <row r="780" spans="1:4" x14ac:dyDescent="0.2">
      <c r="A780" s="5">
        <v>719</v>
      </c>
      <c r="B780" s="138">
        <f>'Expenditures 15-22'!D37</f>
        <v>6893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12735</v>
      </c>
      <c r="D782" s="2" t="str">
        <f t="shared" si="11"/>
        <v>Error?</v>
      </c>
    </row>
    <row r="783" spans="1:4" x14ac:dyDescent="0.2">
      <c r="A783" s="5">
        <v>722</v>
      </c>
      <c r="B783" s="138">
        <f>'Expenditures 15-22'!D40</f>
        <v>33517</v>
      </c>
      <c r="D783" s="2" t="str">
        <f t="shared" si="11"/>
        <v>Error?</v>
      </c>
    </row>
    <row r="784" spans="1:4" x14ac:dyDescent="0.2">
      <c r="A784" s="5">
        <v>723</v>
      </c>
      <c r="B784" s="138">
        <f>'Expenditures 15-22'!D41</f>
        <v>8459</v>
      </c>
      <c r="D784" s="2" t="str">
        <f t="shared" si="11"/>
        <v>Error?</v>
      </c>
    </row>
    <row r="785" spans="1:4" x14ac:dyDescent="0.2">
      <c r="A785" s="5">
        <v>724</v>
      </c>
      <c r="B785" s="138">
        <f>'Expenditures 15-22'!D42</f>
        <v>82183</v>
      </c>
      <c r="C785" s="2" t="s">
        <v>573</v>
      </c>
      <c r="D785" s="2" t="str">
        <f t="shared" si="11"/>
        <v>Error?</v>
      </c>
    </row>
    <row r="786" spans="1:4" x14ac:dyDescent="0.2">
      <c r="A786" s="5">
        <v>725</v>
      </c>
      <c r="B786" s="138">
        <f>'Expenditures 15-22'!D44</f>
        <v>587</v>
      </c>
      <c r="D786" s="2" t="str">
        <f t="shared" si="11"/>
        <v>Error?</v>
      </c>
    </row>
    <row r="787" spans="1:4" x14ac:dyDescent="0.2">
      <c r="A787" s="5">
        <v>726</v>
      </c>
      <c r="B787" s="138">
        <f>'Expenditures 15-22'!D45</f>
        <v>39936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40523</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27078</v>
      </c>
      <c r="D791" s="2" t="str">
        <f t="shared" si="11"/>
        <v>Error?</v>
      </c>
    </row>
    <row r="792" spans="1:4" x14ac:dyDescent="0.2">
      <c r="A792" s="5">
        <v>731</v>
      </c>
      <c r="B792" s="138">
        <f>'Expenditures 15-22'!D53</f>
        <v>27078</v>
      </c>
      <c r="C792" s="2" t="s">
        <v>573</v>
      </c>
      <c r="D792" s="2" t="str">
        <f t="shared" si="11"/>
        <v>Error?</v>
      </c>
    </row>
    <row r="793" spans="1:4" x14ac:dyDescent="0.2">
      <c r="A793" s="5">
        <v>732</v>
      </c>
      <c r="B793" s="138">
        <f>'Expenditures 15-22'!D55</f>
        <v>92510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92510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5903</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24237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30140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272434</v>
      </c>
      <c r="C813" s="2" t="s">
        <v>573</v>
      </c>
      <c r="D813" s="2" t="str">
        <f t="shared" si="11"/>
        <v>Error?</v>
      </c>
    </row>
    <row r="814" spans="1:4" x14ac:dyDescent="0.2">
      <c r="A814" s="5">
        <v>753</v>
      </c>
      <c r="B814" s="138">
        <f>'Expenditures 15-22'!D75</f>
        <v>5532</v>
      </c>
      <c r="D814" s="2" t="str">
        <f t="shared" si="11"/>
        <v>Error?</v>
      </c>
    </row>
    <row r="815" spans="1:4" x14ac:dyDescent="0.2">
      <c r="A815" s="5">
        <v>754</v>
      </c>
      <c r="B815" s="138">
        <f>'Expenditures 15-22'!D114</f>
        <v>1239808</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32070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8890</v>
      </c>
      <c r="D833" s="2" t="str">
        <f t="shared" si="12"/>
        <v>Error?</v>
      </c>
    </row>
    <row r="834" spans="1:4" x14ac:dyDescent="0.2">
      <c r="A834" s="5">
        <v>773</v>
      </c>
      <c r="B834" s="138">
        <f>'Expenditures 15-22'!E14</f>
        <v>51374</v>
      </c>
      <c r="D834" s="2" t="str">
        <f t="shared" si="12"/>
        <v>Error?</v>
      </c>
    </row>
    <row r="835" spans="1:4" x14ac:dyDescent="0.2">
      <c r="A835" s="5">
        <v>774</v>
      </c>
      <c r="B835" s="138">
        <f>'Expenditures 15-22'!E15</f>
        <v>597</v>
      </c>
      <c r="D835" s="2" t="str">
        <f t="shared" si="12"/>
        <v>Error?</v>
      </c>
    </row>
    <row r="836" spans="1:4" x14ac:dyDescent="0.2">
      <c r="A836" s="5">
        <v>775</v>
      </c>
      <c r="B836" s="138">
        <f>'Expenditures 15-22'!E33</f>
        <v>104524</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431</v>
      </c>
      <c r="D838" s="2" t="str">
        <f t="shared" si="12"/>
        <v>Error?</v>
      </c>
    </row>
    <row r="839" spans="1:4" x14ac:dyDescent="0.2">
      <c r="A839" s="5">
        <v>778</v>
      </c>
      <c r="B839" s="138">
        <f>'Expenditures 15-22'!E38</f>
        <v>550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981</v>
      </c>
      <c r="C843" s="2" t="s">
        <v>573</v>
      </c>
      <c r="D843" s="2" t="str">
        <f t="shared" si="12"/>
        <v>Error?</v>
      </c>
    </row>
    <row r="844" spans="1:4" x14ac:dyDescent="0.2">
      <c r="A844" s="5">
        <v>783</v>
      </c>
      <c r="B844" s="138">
        <f>'Expenditures 15-22'!E44</f>
        <v>8172</v>
      </c>
      <c r="D844" s="2" t="str">
        <f t="shared" si="12"/>
        <v>Error?</v>
      </c>
    </row>
    <row r="845" spans="1:4" x14ac:dyDescent="0.2">
      <c r="A845" s="5">
        <v>784</v>
      </c>
      <c r="B845" s="138">
        <f>'Expenditures 15-22'!E45</f>
        <v>7562</v>
      </c>
      <c r="D845" s="2" t="str">
        <f t="shared" si="12"/>
        <v>Error?</v>
      </c>
    </row>
    <row r="846" spans="1:4" x14ac:dyDescent="0.2">
      <c r="A846" s="5">
        <v>785</v>
      </c>
      <c r="B846" s="138">
        <f>'Expenditures 15-22'!E46</f>
        <v>152</v>
      </c>
      <c r="D846" s="2" t="str">
        <f t="shared" si="12"/>
        <v>Error?</v>
      </c>
    </row>
    <row r="847" spans="1:4" x14ac:dyDescent="0.2">
      <c r="A847" s="5">
        <v>786</v>
      </c>
      <c r="B847" s="138">
        <f>'Expenditures 15-22'!E47</f>
        <v>15886</v>
      </c>
      <c r="C847" s="2" t="s">
        <v>573</v>
      </c>
      <c r="D847" s="2" t="str">
        <f t="shared" si="12"/>
        <v>Error?</v>
      </c>
    </row>
    <row r="848" spans="1:4" x14ac:dyDescent="0.2">
      <c r="A848" s="5">
        <v>787</v>
      </c>
      <c r="B848" s="138">
        <f>'Expenditures 15-22'!E49</f>
        <v>34913</v>
      </c>
      <c r="D848" s="2" t="str">
        <f t="shared" si="12"/>
        <v>Error?</v>
      </c>
    </row>
    <row r="849" spans="1:4" x14ac:dyDescent="0.2">
      <c r="A849" s="5">
        <v>788</v>
      </c>
      <c r="B849" s="138">
        <f>'Expenditures 15-22'!E50</f>
        <v>5952</v>
      </c>
      <c r="D849" s="2" t="str">
        <f t="shared" si="12"/>
        <v>Error?</v>
      </c>
    </row>
    <row r="850" spans="1:4" x14ac:dyDescent="0.2">
      <c r="A850" s="5">
        <v>789</v>
      </c>
      <c r="B850" s="138">
        <f>'Expenditures 15-22'!E53</f>
        <v>40865</v>
      </c>
      <c r="C850" s="2" t="s">
        <v>573</v>
      </c>
      <c r="D850" s="2" t="str">
        <f t="shared" si="12"/>
        <v>Error?</v>
      </c>
    </row>
    <row r="851" spans="1:4" x14ac:dyDescent="0.2">
      <c r="A851" s="5">
        <v>790</v>
      </c>
      <c r="B851" s="138">
        <f>'Expenditures 15-22'!E55</f>
        <v>9867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9867</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90061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1495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91556</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182099</v>
      </c>
      <c r="D867" s="2" t="str">
        <f t="shared" si="12"/>
        <v>Error?</v>
      </c>
    </row>
    <row r="868" spans="1:4" x14ac:dyDescent="0.2">
      <c r="A868" s="10">
        <v>807</v>
      </c>
      <c r="D868" s="2" t="str">
        <f t="shared" si="12"/>
        <v>OK</v>
      </c>
    </row>
    <row r="869" spans="1:4" x14ac:dyDescent="0.2">
      <c r="A869" s="5">
        <v>808</v>
      </c>
      <c r="B869" s="138">
        <f>'Expenditures 15-22'!E72</f>
        <v>182099</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341254</v>
      </c>
      <c r="C871" s="2" t="s">
        <v>573</v>
      </c>
      <c r="D871" s="2" t="str">
        <f t="shared" si="12"/>
        <v>Error?</v>
      </c>
    </row>
    <row r="872" spans="1:4" x14ac:dyDescent="0.2">
      <c r="A872" s="5">
        <v>811</v>
      </c>
      <c r="B872" s="138">
        <f>'Expenditures 15-22'!E75</f>
        <v>892</v>
      </c>
      <c r="D872" s="2" t="str">
        <f t="shared" si="12"/>
        <v>Error?</v>
      </c>
    </row>
    <row r="873" spans="1:4" x14ac:dyDescent="0.2">
      <c r="A873" s="5">
        <v>812</v>
      </c>
      <c r="B873" s="138">
        <f>'Expenditures 15-22'!E114</f>
        <v>486051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131992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10834</v>
      </c>
      <c r="D891" s="2" t="str">
        <f t="shared" si="12"/>
        <v>Error?</v>
      </c>
    </row>
    <row r="892" spans="1:4" x14ac:dyDescent="0.2">
      <c r="A892" s="5">
        <v>831</v>
      </c>
      <c r="B892" s="138">
        <f>'Expenditures 15-22'!F14</f>
        <v>17440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168337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616</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616</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1490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1490</v>
      </c>
      <c r="C905" s="2" t="s">
        <v>573</v>
      </c>
      <c r="D905" s="2" t="str">
        <f t="shared" si="13"/>
        <v>Error?</v>
      </c>
    </row>
    <row r="906" spans="1:4" x14ac:dyDescent="0.2">
      <c r="A906" s="5">
        <v>845</v>
      </c>
      <c r="B906" s="138">
        <f>'Expenditures 15-22'!F49</f>
        <v>835</v>
      </c>
      <c r="D906" s="2" t="str">
        <f t="shared" si="13"/>
        <v>Error?</v>
      </c>
    </row>
    <row r="907" spans="1:4" x14ac:dyDescent="0.2">
      <c r="A907" s="5">
        <v>846</v>
      </c>
      <c r="B907" s="138">
        <f>'Expenditures 15-22'!F50</f>
        <v>1414</v>
      </c>
      <c r="D907" s="2" t="str">
        <f t="shared" si="13"/>
        <v>Error?</v>
      </c>
    </row>
    <row r="908" spans="1:4" x14ac:dyDescent="0.2">
      <c r="A908" s="5">
        <v>847</v>
      </c>
      <c r="B908" s="138">
        <f>'Expenditures 15-22'!F53</f>
        <v>2249</v>
      </c>
      <c r="C908" s="2" t="s">
        <v>573</v>
      </c>
      <c r="D908" s="2" t="str">
        <f t="shared" si="13"/>
        <v>Error?</v>
      </c>
    </row>
    <row r="909" spans="1:4" x14ac:dyDescent="0.2">
      <c r="A909" s="5">
        <v>848</v>
      </c>
      <c r="B909" s="138">
        <f>'Expenditures 15-22'!F55</f>
        <v>7524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7524</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1648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195145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196793</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41653</v>
      </c>
      <c r="D925" s="2" t="str">
        <f t="shared" si="13"/>
        <v>Error?</v>
      </c>
    </row>
    <row r="926" spans="1:4" x14ac:dyDescent="0.2">
      <c r="A926" s="10">
        <v>865</v>
      </c>
      <c r="D926" s="2" t="str">
        <f t="shared" si="13"/>
        <v>OK</v>
      </c>
    </row>
    <row r="927" spans="1:4" x14ac:dyDescent="0.2">
      <c r="A927" s="5">
        <v>866</v>
      </c>
      <c r="B927" s="138">
        <f>'Expenditures 15-22'!F72</f>
        <v>41653</v>
      </c>
      <c r="C927" s="2" t="s">
        <v>573</v>
      </c>
      <c r="D927" s="2" t="str">
        <f t="shared" si="13"/>
        <v>Error?</v>
      </c>
    </row>
    <row r="928" spans="1:4" x14ac:dyDescent="0.2">
      <c r="A928" s="5">
        <v>867</v>
      </c>
      <c r="B928" s="138">
        <f>'Expenditures 15-22'!F73</f>
        <v>100</v>
      </c>
      <c r="D928" s="2" t="str">
        <f t="shared" si="13"/>
        <v>Error?</v>
      </c>
    </row>
    <row r="929" spans="1:4" x14ac:dyDescent="0.2">
      <c r="A929" s="5">
        <v>868</v>
      </c>
      <c r="B929" s="138">
        <f>'Expenditures 15-22'!F74</f>
        <v>250425</v>
      </c>
      <c r="C929" s="2" t="s">
        <v>573</v>
      </c>
      <c r="D929" s="2" t="str">
        <f t="shared" si="13"/>
        <v>Error?</v>
      </c>
    </row>
    <row r="930" spans="1:4" x14ac:dyDescent="0.2">
      <c r="A930" s="5">
        <v>869</v>
      </c>
      <c r="B930" s="138">
        <f>'Expenditures 15-22'!F75</f>
        <v>3573</v>
      </c>
      <c r="D930" s="2" t="str">
        <f t="shared" si="13"/>
        <v>Error?</v>
      </c>
    </row>
    <row r="931" spans="1:4" x14ac:dyDescent="0.2">
      <c r="A931" s="5">
        <v>870</v>
      </c>
      <c r="B931" s="138">
        <f>'Expenditures 15-22'!F114</f>
        <v>422335</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38000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2026</v>
      </c>
      <c r="D949" s="2" t="str">
        <f t="shared" si="13"/>
        <v>Error?</v>
      </c>
    </row>
    <row r="950" spans="1:4" x14ac:dyDescent="0.2">
      <c r="A950" s="5">
        <v>889</v>
      </c>
      <c r="B950" s="138">
        <f>'Expenditures 15-22'!G14</f>
        <v>11409</v>
      </c>
      <c r="D950" s="2" t="str">
        <f t="shared" si="13"/>
        <v>Error?</v>
      </c>
    </row>
    <row r="951" spans="1:4" x14ac:dyDescent="0.2">
      <c r="A951" s="5">
        <v>890</v>
      </c>
      <c r="B951" s="138">
        <f>'Expenditures 15-22'!G15</f>
        <v>0</v>
      </c>
      <c r="D951" s="2" t="str">
        <f t="shared" si="13"/>
        <v>Error?</v>
      </c>
    </row>
    <row r="952" spans="1:4" x14ac:dyDescent="0.2">
      <c r="A952" s="5">
        <v>891</v>
      </c>
      <c r="B952" s="138">
        <f>'Expenditures 15-22'!G33</f>
        <v>51435</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6097</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6097</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6684</v>
      </c>
      <c r="D983" s="2" t="str">
        <f t="shared" si="14"/>
        <v>Error?</v>
      </c>
    </row>
    <row r="984" spans="1:4" x14ac:dyDescent="0.2">
      <c r="A984" s="10">
        <v>923</v>
      </c>
      <c r="D984" s="2" t="str">
        <f t="shared" si="14"/>
        <v>OK</v>
      </c>
    </row>
    <row r="985" spans="1:4" x14ac:dyDescent="0.2">
      <c r="A985" s="5">
        <v>924</v>
      </c>
      <c r="B985" s="138">
        <f>'Expenditures 15-22'!G72</f>
        <v>6684</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12781</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64216</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50</v>
      </c>
      <c r="D1009" s="2" t="str">
        <f t="shared" si="14"/>
        <v>Error?</v>
      </c>
    </row>
    <row r="1010" spans="1:4" x14ac:dyDescent="0.2">
      <c r="A1010" s="5">
        <v>949</v>
      </c>
      <c r="B1010" s="138">
        <f>'Expenditures 15-22'!H33</f>
        <v>210510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342</v>
      </c>
      <c r="D1022" s="2" t="str">
        <f t="shared" si="14"/>
        <v>Error?</v>
      </c>
    </row>
    <row r="1023" spans="1:4" x14ac:dyDescent="0.2">
      <c r="A1023" s="5">
        <v>962</v>
      </c>
      <c r="B1023" s="138">
        <f>'Expenditures 15-22'!H50</f>
        <v>1993</v>
      </c>
      <c r="D1023" s="2" t="str">
        <f t="shared" ref="D1023:D1086" si="15">IF(ISBLANK(B1023),"OK",IF(A1023-B1023=0,"OK","Error?"))</f>
        <v>Error?</v>
      </c>
    </row>
    <row r="1024" spans="1:4" x14ac:dyDescent="0.2">
      <c r="A1024" s="5">
        <v>963</v>
      </c>
      <c r="B1024" s="138">
        <f>'Expenditures 15-22'!H53</f>
        <v>2335</v>
      </c>
      <c r="C1024" s="2" t="s">
        <v>573</v>
      </c>
      <c r="D1024" s="2" t="str">
        <f t="shared" si="15"/>
        <v>Error?</v>
      </c>
    </row>
    <row r="1025" spans="1:4" x14ac:dyDescent="0.2">
      <c r="A1025" s="5">
        <v>964</v>
      </c>
      <c r="B1025" s="138">
        <f>'Expenditures 15-22'!H55</f>
        <v>2291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2291</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4626</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108888</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324024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3712659</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253363</v>
      </c>
      <c r="C1105" s="2" t="s">
        <v>573</v>
      </c>
      <c r="D1105" s="2" t="str">
        <f t="shared" si="16"/>
        <v>Error?</v>
      </c>
    </row>
    <row r="1106" spans="1:4" x14ac:dyDescent="0.2">
      <c r="A1106" s="5">
        <v>1045</v>
      </c>
      <c r="B1106" s="138">
        <f>'Expenditures 15-22'!K14</f>
        <v>349428</v>
      </c>
      <c r="C1106" s="2" t="s">
        <v>573</v>
      </c>
      <c r="D1106" s="2" t="str">
        <f t="shared" si="16"/>
        <v>Error?</v>
      </c>
    </row>
    <row r="1107" spans="1:4" x14ac:dyDescent="0.2">
      <c r="A1107" s="5">
        <v>1046</v>
      </c>
      <c r="B1107" s="138">
        <f>'Expenditures 15-22'!K15</f>
        <v>7391</v>
      </c>
      <c r="C1107" s="2" t="s">
        <v>573</v>
      </c>
      <c r="D1107" s="2" t="str">
        <f t="shared" si="16"/>
        <v>Error?</v>
      </c>
    </row>
    <row r="1108" spans="1:4" x14ac:dyDescent="0.2">
      <c r="A1108" s="5">
        <v>1047</v>
      </c>
      <c r="B1108" s="138">
        <f>'Expenditures 15-22'!K33</f>
        <v>5849066</v>
      </c>
      <c r="C1108" s="2" t="s">
        <v>573</v>
      </c>
      <c r="D1108" s="2" t="str">
        <f t="shared" si="16"/>
        <v>Error?</v>
      </c>
    </row>
    <row r="1109" spans="1:4" x14ac:dyDescent="0.2">
      <c r="A1109" s="5">
        <v>1048</v>
      </c>
      <c r="B1109" s="138">
        <f>'Expenditures 15-22'!K36</f>
        <v>105969</v>
      </c>
      <c r="C1109" s="2" t="s">
        <v>573</v>
      </c>
      <c r="D1109" s="2" t="str">
        <f t="shared" si="16"/>
        <v>Error?</v>
      </c>
    </row>
    <row r="1110" spans="1:4" x14ac:dyDescent="0.2">
      <c r="A1110" s="5">
        <v>1049</v>
      </c>
      <c r="B1110" s="138">
        <f>'Expenditures 15-22'!K37</f>
        <v>54087</v>
      </c>
      <c r="C1110" s="2" t="s">
        <v>573</v>
      </c>
      <c r="D1110" s="2" t="str">
        <f t="shared" si="16"/>
        <v>Error?</v>
      </c>
    </row>
    <row r="1111" spans="1:4" x14ac:dyDescent="0.2">
      <c r="A1111" s="5">
        <v>1050</v>
      </c>
      <c r="B1111" s="138">
        <f>'Expenditures 15-22'!K38</f>
        <v>1166</v>
      </c>
      <c r="C1111" s="2" t="s">
        <v>573</v>
      </c>
      <c r="D1111" s="2" t="str">
        <f t="shared" si="16"/>
        <v>Error?</v>
      </c>
    </row>
    <row r="1112" spans="1:4" x14ac:dyDescent="0.2">
      <c r="A1112" s="5">
        <v>1051</v>
      </c>
      <c r="B1112" s="138">
        <f>'Expenditures 15-22'!K39</f>
        <v>63389</v>
      </c>
      <c r="C1112" s="2" t="s">
        <v>573</v>
      </c>
      <c r="D1112" s="2" t="str">
        <f t="shared" si="16"/>
        <v>Error?</v>
      </c>
    </row>
    <row r="1113" spans="1:4" x14ac:dyDescent="0.2">
      <c r="A1113" s="5">
        <v>1052</v>
      </c>
      <c r="B1113" s="138">
        <f>'Expenditures 15-22'!K40</f>
        <v>152344</v>
      </c>
      <c r="C1113" s="2" t="s">
        <v>573</v>
      </c>
      <c r="D1113" s="2" t="str">
        <f t="shared" si="16"/>
        <v>Error?</v>
      </c>
    </row>
    <row r="1114" spans="1:4" x14ac:dyDescent="0.2">
      <c r="A1114" s="5">
        <v>1053</v>
      </c>
      <c r="B1114" s="138">
        <f>'Expenditures 15-22'!K41</f>
        <v>73610</v>
      </c>
      <c r="C1114" s="2" t="s">
        <v>573</v>
      </c>
      <c r="D1114" s="2" t="str">
        <f t="shared" si="16"/>
        <v>Error?</v>
      </c>
    </row>
    <row r="1115" spans="1:4" x14ac:dyDescent="0.2">
      <c r="A1115" s="5">
        <v>1054</v>
      </c>
      <c r="B1115" s="138">
        <f>'Expenditures 15-22'!K42</f>
        <v>450565</v>
      </c>
      <c r="C1115" s="2" t="s">
        <v>573</v>
      </c>
      <c r="D1115" s="2" t="str">
        <f t="shared" si="16"/>
        <v>Error?</v>
      </c>
    </row>
    <row r="1116" spans="1:4" x14ac:dyDescent="0.2">
      <c r="A1116" s="5">
        <v>1055</v>
      </c>
      <c r="B1116" s="138">
        <f>'Expenditures 15-22'!K44</f>
        <v>13309</v>
      </c>
      <c r="C1116" s="2" t="s">
        <v>573</v>
      </c>
      <c r="D1116" s="2" t="str">
        <f t="shared" si="16"/>
        <v>Error?</v>
      </c>
    </row>
    <row r="1117" spans="1:4" x14ac:dyDescent="0.2">
      <c r="A1117" s="5">
        <v>1056</v>
      </c>
      <c r="B1117" s="138">
        <f>'Expenditures 15-22'!K45</f>
        <v>200594</v>
      </c>
      <c r="C1117" s="2" t="s">
        <v>573</v>
      </c>
      <c r="D1117" s="2" t="str">
        <f t="shared" si="16"/>
        <v>Error?</v>
      </c>
    </row>
    <row r="1118" spans="1:4" x14ac:dyDescent="0.2">
      <c r="A1118" s="5">
        <v>1057</v>
      </c>
      <c r="B1118" s="138">
        <f>'Expenditures 15-22'!K46</f>
        <v>152</v>
      </c>
      <c r="C1118" s="2" t="s">
        <v>573</v>
      </c>
      <c r="D1118" s="2" t="str">
        <f t="shared" si="16"/>
        <v>Error?</v>
      </c>
    </row>
    <row r="1119" spans="1:4" x14ac:dyDescent="0.2">
      <c r="A1119" s="5">
        <v>1058</v>
      </c>
      <c r="B1119" s="138">
        <f>'Expenditures 15-22'!K47</f>
        <v>214055</v>
      </c>
      <c r="C1119" s="2" t="s">
        <v>573</v>
      </c>
      <c r="D1119" s="2" t="str">
        <f t="shared" si="16"/>
        <v>Error?</v>
      </c>
    </row>
    <row r="1120" spans="1:4" x14ac:dyDescent="0.2">
      <c r="A1120" s="5">
        <v>1059</v>
      </c>
      <c r="B1120" s="138">
        <f>'Expenditures 15-22'!K49</f>
        <v>37302</v>
      </c>
      <c r="C1120" s="2" t="s">
        <v>573</v>
      </c>
      <c r="D1120" s="2" t="str">
        <f t="shared" si="16"/>
        <v>Error?</v>
      </c>
    </row>
    <row r="1121" spans="1:4" x14ac:dyDescent="0.2">
      <c r="A1121" s="5">
        <v>1060</v>
      </c>
      <c r="B1121" s="138">
        <f>'Expenditures 15-22'!K50</f>
        <v>154433</v>
      </c>
      <c r="C1121" s="2" t="s">
        <v>573</v>
      </c>
      <c r="D1121" s="2" t="str">
        <f t="shared" si="16"/>
        <v>Error?</v>
      </c>
    </row>
    <row r="1122" spans="1:4" x14ac:dyDescent="0.2">
      <c r="A1122" s="5">
        <v>1061</v>
      </c>
      <c r="B1122" s="138">
        <f>'Expenditures 15-22'!K53</f>
        <v>191735</v>
      </c>
      <c r="C1122" s="2" t="s">
        <v>573</v>
      </c>
      <c r="D1122" s="2" t="str">
        <f t="shared" si="16"/>
        <v>Error?</v>
      </c>
    </row>
    <row r="1123" spans="1:4" x14ac:dyDescent="0.2">
      <c r="A1123" s="5">
        <v>1062</v>
      </c>
      <c r="B1123" s="138">
        <f>'Expenditures 15-22'!K55</f>
        <v>529092</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529092</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66426</v>
      </c>
      <c r="C1127" s="2" t="s">
        <v>573</v>
      </c>
      <c r="D1127" s="2" t="str">
        <f t="shared" si="16"/>
        <v>Error?</v>
      </c>
    </row>
    <row r="1128" spans="1:4" x14ac:dyDescent="0.2">
      <c r="A1128" s="5">
        <v>1067</v>
      </c>
      <c r="B1128" s="138">
        <f>'Expenditures 15-22'!K61</f>
        <v>90061</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370179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526666</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230436</v>
      </c>
      <c r="C1139" s="2" t="s">
        <v>573</v>
      </c>
      <c r="D1139" s="2" t="str">
        <f t="shared" si="16"/>
        <v>Error?</v>
      </c>
    </row>
    <row r="1140" spans="1:4" x14ac:dyDescent="0.2">
      <c r="A1140" s="10">
        <v>1079</v>
      </c>
      <c r="D1140" s="2" t="str">
        <f t="shared" si="16"/>
        <v>OK</v>
      </c>
    </row>
    <row r="1141" spans="1:4" x14ac:dyDescent="0.2">
      <c r="A1141" s="5">
        <v>1080</v>
      </c>
      <c r="B1141" s="138">
        <f>'Expenditures 15-22'!K72</f>
        <v>230436</v>
      </c>
      <c r="C1141" s="2" t="s">
        <v>573</v>
      </c>
      <c r="D1141" s="2" t="str">
        <f t="shared" si="16"/>
        <v>Error?</v>
      </c>
    </row>
    <row r="1142" spans="1:4" x14ac:dyDescent="0.2">
      <c r="A1142" s="5">
        <v>1081</v>
      </c>
      <c r="B1142" s="138">
        <f>'Expenditures 15-22'!K73</f>
        <v>100</v>
      </c>
      <c r="C1142" s="2" t="s">
        <v>573</v>
      </c>
      <c r="D1142" s="2" t="str">
        <f t="shared" si="16"/>
        <v>Error?</v>
      </c>
    </row>
    <row r="1143" spans="1:4" x14ac:dyDescent="0.2">
      <c r="A1143" s="5">
        <v>1082</v>
      </c>
      <c r="B1143" s="138">
        <f>'Expenditures 15-22'!K74</f>
        <v>2142649</v>
      </c>
      <c r="C1143" s="2" t="s">
        <v>573</v>
      </c>
      <c r="D1143" s="2" t="str">
        <f t="shared" si="16"/>
        <v>Error?</v>
      </c>
    </row>
    <row r="1144" spans="1:4" x14ac:dyDescent="0.2">
      <c r="A1144" s="5">
        <v>1083</v>
      </c>
      <c r="B1144" s="138">
        <f>'Expenditures 15-22'!K75</f>
        <v>46200</v>
      </c>
      <c r="C1144" s="2" t="s">
        <v>573</v>
      </c>
      <c r="D1144" s="2" t="str">
        <f t="shared" si="16"/>
        <v>Error?</v>
      </c>
    </row>
    <row r="1145" spans="1:4" x14ac:dyDescent="0.2">
      <c r="A1145" s="5">
        <v>1084</v>
      </c>
      <c r="B1145" s="138">
        <f>'Expenditures 15-22'!K102</f>
        <v>148269</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8186184</v>
      </c>
      <c r="C1152" s="2" t="s">
        <v>573</v>
      </c>
      <c r="D1152" s="2" t="str">
        <f t="shared" si="17"/>
        <v>Error?</v>
      </c>
    </row>
    <row r="1153" spans="1:4" x14ac:dyDescent="0.2">
      <c r="A1153" s="5">
        <v>1092</v>
      </c>
      <c r="B1153" s="138">
        <f>'Expenditures 15-22'!K115</f>
        <v>553922</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318210</v>
      </c>
      <c r="D1221" s="2" t="str">
        <f t="shared" si="18"/>
        <v>Error?</v>
      </c>
    </row>
    <row r="1222" spans="1:4" x14ac:dyDescent="0.2">
      <c r="A1222" s="10">
        <v>1161</v>
      </c>
      <c r="D1222" s="2" t="str">
        <f t="shared" si="18"/>
        <v>OK</v>
      </c>
    </row>
    <row r="1223" spans="1:4" x14ac:dyDescent="0.2">
      <c r="A1223" s="5">
        <v>1162</v>
      </c>
      <c r="B1223" s="138">
        <f>'Expenditures 15-22'!C127</f>
        <v>318210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318210</v>
      </c>
      <c r="C1225" s="2" t="s">
        <v>573</v>
      </c>
      <c r="D1225" s="2" t="str">
        <f t="shared" si="18"/>
        <v>Error?</v>
      </c>
    </row>
    <row r="1226" spans="1:4" x14ac:dyDescent="0.2">
      <c r="A1226" s="5">
        <v>1165</v>
      </c>
      <c r="B1226" s="138">
        <f>'Expenditures 15-22'!C151</f>
        <v>318210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44009</v>
      </c>
      <c r="D1229" s="2" t="str">
        <f t="shared" si="18"/>
        <v>Error?</v>
      </c>
    </row>
    <row r="1230" spans="1:4" x14ac:dyDescent="0.2">
      <c r="A1230" s="10">
        <v>1169</v>
      </c>
      <c r="D1230" s="2" t="str">
        <f t="shared" si="18"/>
        <v>OK</v>
      </c>
    </row>
    <row r="1231" spans="1:4" x14ac:dyDescent="0.2">
      <c r="A1231" s="5">
        <v>1170</v>
      </c>
      <c r="B1231" s="138">
        <f>'Expenditures 15-22'!D127</f>
        <v>44009</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44009</v>
      </c>
      <c r="C1233" s="2" t="s">
        <v>573</v>
      </c>
      <c r="D1233" s="2" t="str">
        <f t="shared" si="18"/>
        <v>Error?</v>
      </c>
    </row>
    <row r="1234" spans="1:4" x14ac:dyDescent="0.2">
      <c r="A1234" s="5">
        <v>1173</v>
      </c>
      <c r="B1234" s="138">
        <f>'Expenditures 15-22'!D151</f>
        <v>44009</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126418</v>
      </c>
      <c r="D1237" s="2" t="str">
        <f t="shared" si="18"/>
        <v>Error?</v>
      </c>
    </row>
    <row r="1238" spans="1:4" x14ac:dyDescent="0.2">
      <c r="A1238" s="10">
        <v>1177</v>
      </c>
      <c r="D1238" s="2" t="str">
        <f t="shared" si="18"/>
        <v>OK</v>
      </c>
    </row>
    <row r="1239" spans="1:4" x14ac:dyDescent="0.2">
      <c r="A1239" s="5">
        <v>1178</v>
      </c>
      <c r="B1239" s="138">
        <f>'Expenditures 15-22'!E127</f>
        <v>126418</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126418</v>
      </c>
      <c r="C1241" s="2" t="s">
        <v>573</v>
      </c>
      <c r="D1241" s="2" t="str">
        <f t="shared" si="18"/>
        <v>Error?</v>
      </c>
    </row>
    <row r="1242" spans="1:4" x14ac:dyDescent="0.2">
      <c r="A1242" s="5">
        <v>1181</v>
      </c>
      <c r="B1242" s="138">
        <f>'Expenditures 15-22'!E151</f>
        <v>126418</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337372</v>
      </c>
      <c r="D1245" s="2" t="str">
        <f t="shared" si="18"/>
        <v>Error?</v>
      </c>
    </row>
    <row r="1246" spans="1:4" x14ac:dyDescent="0.2">
      <c r="A1246" s="10">
        <v>1185</v>
      </c>
      <c r="D1246" s="2" t="str">
        <f t="shared" si="18"/>
        <v>OK</v>
      </c>
    </row>
    <row r="1247" spans="1:4" x14ac:dyDescent="0.2">
      <c r="A1247" s="5">
        <v>1186</v>
      </c>
      <c r="B1247" s="138">
        <f>'Expenditures 15-22'!F127</f>
        <v>337372</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337372</v>
      </c>
      <c r="C1249" s="2" t="s">
        <v>573</v>
      </c>
      <c r="D1249" s="2" t="str">
        <f t="shared" si="18"/>
        <v>Error?</v>
      </c>
    </row>
    <row r="1250" spans="1:4" x14ac:dyDescent="0.2">
      <c r="A1250" s="5">
        <v>1189</v>
      </c>
      <c r="B1250" s="138">
        <f>'Expenditures 15-22'!F151</f>
        <v>337372</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11279</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11279</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11279</v>
      </c>
      <c r="C1258" s="2" t="s">
        <v>573</v>
      </c>
      <c r="D1258" s="2" t="str">
        <f t="shared" si="18"/>
        <v>Error?</v>
      </c>
    </row>
    <row r="1259" spans="1:4" x14ac:dyDescent="0.2">
      <c r="A1259" s="5">
        <v>1198</v>
      </c>
      <c r="B1259" s="138">
        <f>'Expenditures 15-22'!G151</f>
        <v>11279</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837288</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837288</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837288</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837288</v>
      </c>
      <c r="C1288" s="2" t="s">
        <v>573</v>
      </c>
      <c r="D1288" s="2" t="str">
        <f t="shared" si="19"/>
        <v>Error?</v>
      </c>
    </row>
    <row r="1289" spans="1:4" x14ac:dyDescent="0.2">
      <c r="A1289" s="5">
        <v>1228</v>
      </c>
      <c r="B1289" s="138">
        <f>'Expenditures 15-22'!K152</f>
        <v>-75852</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1036</v>
      </c>
      <c r="D1307" s="2" t="str">
        <f t="shared" si="19"/>
        <v>Error?</v>
      </c>
    </row>
    <row r="1308" spans="1:4" x14ac:dyDescent="0.2">
      <c r="A1308" s="5">
        <v>1247</v>
      </c>
      <c r="B1308" s="138">
        <f>'Expenditures 15-22'!E172</f>
        <v>1036</v>
      </c>
      <c r="C1308" s="2" t="s">
        <v>573</v>
      </c>
      <c r="D1308" s="2" t="str">
        <f t="shared" si="19"/>
        <v>Error?</v>
      </c>
    </row>
    <row r="1309" spans="1:4" x14ac:dyDescent="0.2">
      <c r="A1309" s="5">
        <v>1248</v>
      </c>
      <c r="B1309" s="138">
        <f>'Expenditures 15-22'!E174</f>
        <v>1036</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578692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855000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1433692</v>
      </c>
      <c r="C1317" s="2" t="s">
        <v>573</v>
      </c>
      <c r="D1317" s="2" t="str">
        <f t="shared" si="19"/>
        <v>Error?</v>
      </c>
    </row>
    <row r="1318" spans="1:4" x14ac:dyDescent="0.2">
      <c r="A1318" s="5">
        <v>1257</v>
      </c>
      <c r="B1318" s="138">
        <f>'Expenditures 15-22'!H174</f>
        <v>1433692</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578692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855000</v>
      </c>
      <c r="C1329" s="2" t="s">
        <v>573</v>
      </c>
      <c r="D1329" s="2" t="str">
        <f t="shared" si="19"/>
        <v>Error?</v>
      </c>
    </row>
    <row r="1330" spans="1:4" x14ac:dyDescent="0.2">
      <c r="A1330" s="5">
        <v>1269</v>
      </c>
      <c r="B1330" s="138">
        <f>'Expenditures 15-22'!K171</f>
        <v>1036</v>
      </c>
      <c r="C1330" s="2" t="s">
        <v>573</v>
      </c>
      <c r="D1330" s="2" t="str">
        <f t="shared" si="19"/>
        <v>Error?</v>
      </c>
    </row>
    <row r="1331" spans="1:4" x14ac:dyDescent="0.2">
      <c r="A1331" s="5">
        <v>1270</v>
      </c>
      <c r="B1331" s="138">
        <f>'Expenditures 15-22'!K172</f>
        <v>1434728</v>
      </c>
      <c r="C1331" s="2" t="s">
        <v>573</v>
      </c>
      <c r="D1331" s="2" t="str">
        <f t="shared" si="19"/>
        <v>Error?</v>
      </c>
    </row>
    <row r="1332" spans="1:4" x14ac:dyDescent="0.2">
      <c r="A1332" s="5">
        <v>1271</v>
      </c>
      <c r="B1332" s="138">
        <f>'Expenditures 15-22'!K174</f>
        <v>1434728</v>
      </c>
      <c r="C1332" s="2" t="s">
        <v>573</v>
      </c>
      <c r="D1332" s="2" t="str">
        <f t="shared" si="19"/>
        <v>Error?</v>
      </c>
    </row>
    <row r="1333" spans="1:4" x14ac:dyDescent="0.2">
      <c r="A1333" s="5">
        <v>1272</v>
      </c>
      <c r="B1333" s="138">
        <f>'Expenditures 15-22'!K175</f>
        <v>-564313</v>
      </c>
      <c r="C1333" s="2" t="s">
        <v>573</v>
      </c>
      <c r="D1333" s="2" t="str">
        <f t="shared" si="19"/>
        <v>Error?</v>
      </c>
    </row>
    <row r="1334" spans="1:4" x14ac:dyDescent="0.2">
      <c r="A1334" s="10">
        <v>1273</v>
      </c>
      <c r="D1334" s="2" t="str">
        <f t="shared" si="19"/>
        <v>OK</v>
      </c>
    </row>
    <row r="1335" spans="1:4" x14ac:dyDescent="0.2">
      <c r="A1335" s="5">
        <v>1274</v>
      </c>
      <c r="B1335" s="138">
        <f>'Expenditures 15-22'!C182</f>
        <v>342703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342703</v>
      </c>
      <c r="C1339" s="2" t="s">
        <v>573</v>
      </c>
      <c r="D1339" s="2" t="str">
        <f t="shared" si="19"/>
        <v>Error?</v>
      </c>
    </row>
    <row r="1340" spans="1:4" x14ac:dyDescent="0.2">
      <c r="A1340" s="5">
        <v>1279</v>
      </c>
      <c r="B1340" s="138">
        <f>'Expenditures 15-22'!C210</f>
        <v>342703</v>
      </c>
      <c r="C1340" s="2" t="s">
        <v>573</v>
      </c>
      <c r="D1340" s="2" t="str">
        <f t="shared" si="19"/>
        <v>Error?</v>
      </c>
    </row>
    <row r="1341" spans="1:4" x14ac:dyDescent="0.2">
      <c r="A1341" s="5">
        <v>1280</v>
      </c>
      <c r="B1341" s="138">
        <f>'Expenditures 15-22'!D182</f>
        <v>29124</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29124</v>
      </c>
      <c r="C1345" s="2" t="s">
        <v>573</v>
      </c>
      <c r="D1345" s="2" t="str">
        <f t="shared" si="20"/>
        <v>Error?</v>
      </c>
    </row>
    <row r="1346" spans="1:4" x14ac:dyDescent="0.2">
      <c r="A1346" s="5">
        <v>1285</v>
      </c>
      <c r="B1346" s="138">
        <f>'Expenditures 15-22'!D210</f>
        <v>29124</v>
      </c>
      <c r="C1346" s="2" t="s">
        <v>573</v>
      </c>
      <c r="D1346" s="2" t="str">
        <f t="shared" si="20"/>
        <v>Error?</v>
      </c>
    </row>
    <row r="1347" spans="1:4" x14ac:dyDescent="0.2">
      <c r="A1347" s="5">
        <v>1286</v>
      </c>
      <c r="B1347" s="138">
        <f>'Expenditures 15-22'!E182</f>
        <v>40307</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40307</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40307</v>
      </c>
      <c r="C1353" s="2" t="s">
        <v>573</v>
      </c>
      <c r="D1353" s="2" t="str">
        <f t="shared" si="20"/>
        <v>Error?</v>
      </c>
    </row>
    <row r="1354" spans="1:4" x14ac:dyDescent="0.2">
      <c r="A1354" s="5">
        <v>1293</v>
      </c>
      <c r="B1354" s="138">
        <f>'Expenditures 15-22'!F182</f>
        <v>113931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113931</v>
      </c>
      <c r="C1358" s="2" t="s">
        <v>573</v>
      </c>
      <c r="D1358" s="2" t="str">
        <f t="shared" si="20"/>
        <v>Error?</v>
      </c>
    </row>
    <row r="1359" spans="1:4" x14ac:dyDescent="0.2">
      <c r="A1359" s="5">
        <v>1298</v>
      </c>
      <c r="B1359" s="138">
        <f>'Expenditures 15-22'!F210</f>
        <v>113931</v>
      </c>
      <c r="C1359" s="2" t="s">
        <v>573</v>
      </c>
      <c r="D1359" s="2" t="str">
        <f t="shared" si="20"/>
        <v>Error?</v>
      </c>
    </row>
    <row r="1360" spans="1:4" x14ac:dyDescent="0.2">
      <c r="A1360" s="5">
        <v>1299</v>
      </c>
      <c r="B1360" s="138">
        <f>'Expenditures 15-22'!G182</f>
        <v>52298</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52298</v>
      </c>
      <c r="C1364" s="2" t="s">
        <v>573</v>
      </c>
      <c r="D1364" s="2" t="str">
        <f t="shared" si="20"/>
        <v>Error?</v>
      </c>
    </row>
    <row r="1365" spans="1:4" x14ac:dyDescent="0.2">
      <c r="A1365" s="5">
        <v>1304</v>
      </c>
      <c r="B1365" s="138">
        <f>'Expenditures 15-22'!G210</f>
        <v>52298</v>
      </c>
      <c r="C1365" s="2" t="s">
        <v>573</v>
      </c>
      <c r="D1365" s="2" t="str">
        <f t="shared" si="20"/>
        <v>Error?</v>
      </c>
    </row>
    <row r="1366" spans="1:4" x14ac:dyDescent="0.2">
      <c r="A1366" s="5">
        <v>1305</v>
      </c>
      <c r="B1366" s="138">
        <f>'Expenditures 15-22'!H182</f>
        <v>3866</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3866</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3866</v>
      </c>
      <c r="C1376" s="2" t="s">
        <v>573</v>
      </c>
      <c r="D1376" s="2" t="str">
        <f t="shared" si="20"/>
        <v>Error?</v>
      </c>
    </row>
    <row r="1377" spans="1:4" x14ac:dyDescent="0.2">
      <c r="A1377" s="5">
        <v>1316</v>
      </c>
      <c r="B1377" s="138">
        <f>'Expenditures 15-22'!K182</f>
        <v>582229</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582229</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582229</v>
      </c>
      <c r="C1388" s="2" t="s">
        <v>573</v>
      </c>
      <c r="D1388" s="2" t="str">
        <f t="shared" si="20"/>
        <v>Error?</v>
      </c>
    </row>
    <row r="1389" spans="1:4" x14ac:dyDescent="0.2">
      <c r="A1389" s="5">
        <v>1328</v>
      </c>
      <c r="B1389" s="138">
        <f>'Expenditures 15-22'!K211</f>
        <v>-53469</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2482</v>
      </c>
      <c r="D1407" s="2" t="str">
        <f t="shared" ref="D1407:D1470" si="21">IF(ISBLANK(B1407),"OK",IF(A1407-B1407=0,"OK","Error?"))</f>
        <v>Error?</v>
      </c>
    </row>
    <row r="1408" spans="1:4" x14ac:dyDescent="0.2">
      <c r="A1408" s="5">
        <v>1347</v>
      </c>
      <c r="B1408" s="138">
        <f>'Expenditures 15-22'!D223</f>
        <v>7919</v>
      </c>
      <c r="D1408" s="2" t="str">
        <f t="shared" si="21"/>
        <v>Error?</v>
      </c>
    </row>
    <row r="1409" spans="1:4" x14ac:dyDescent="0.2">
      <c r="A1409" s="5">
        <v>1348</v>
      </c>
      <c r="B1409" s="138">
        <f>'Expenditures 15-22'!D224</f>
        <v>312</v>
      </c>
      <c r="D1409" s="2" t="str">
        <f t="shared" si="21"/>
        <v>Error?</v>
      </c>
    </row>
    <row r="1410" spans="1:4" x14ac:dyDescent="0.2">
      <c r="A1410" s="5">
        <v>1349</v>
      </c>
      <c r="B1410" s="138">
        <f>'Expenditures 15-22'!D229</f>
        <v>151026</v>
      </c>
      <c r="C1410" s="2" t="s">
        <v>573</v>
      </c>
      <c r="D1410" s="2" t="str">
        <f t="shared" si="21"/>
        <v>Error?</v>
      </c>
    </row>
    <row r="1411" spans="1:4" x14ac:dyDescent="0.2">
      <c r="A1411" s="5">
        <v>1350</v>
      </c>
      <c r="B1411" s="138">
        <f>'Expenditures 15-22'!D232</f>
        <v>1125</v>
      </c>
      <c r="D1411" s="2" t="str">
        <f t="shared" si="21"/>
        <v>Error?</v>
      </c>
    </row>
    <row r="1412" spans="1:4" x14ac:dyDescent="0.2">
      <c r="A1412" s="5">
        <v>1351</v>
      </c>
      <c r="B1412" s="138">
        <f>'Expenditures 15-22'!D233</f>
        <v>674</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717</v>
      </c>
      <c r="D1414" s="2" t="str">
        <f t="shared" si="21"/>
        <v>Error?</v>
      </c>
    </row>
    <row r="1415" spans="1:4" x14ac:dyDescent="0.2">
      <c r="A1415" s="5">
        <v>1354</v>
      </c>
      <c r="B1415" s="138">
        <f>'Expenditures 15-22'!D236</f>
        <v>1483</v>
      </c>
      <c r="D1415" s="2" t="str">
        <f t="shared" si="21"/>
        <v>Error?</v>
      </c>
    </row>
    <row r="1416" spans="1:4" x14ac:dyDescent="0.2">
      <c r="A1416" s="5">
        <v>1355</v>
      </c>
      <c r="B1416" s="138">
        <f>'Expenditures 15-22'!D237</f>
        <v>10269</v>
      </c>
      <c r="D1416" s="2" t="str">
        <f t="shared" si="21"/>
        <v>Error?</v>
      </c>
    </row>
    <row r="1417" spans="1:4" x14ac:dyDescent="0.2">
      <c r="A1417" s="5">
        <v>1356</v>
      </c>
      <c r="B1417" s="138">
        <f>'Expenditures 15-22'!D238</f>
        <v>14268</v>
      </c>
      <c r="C1417" s="2" t="s">
        <v>573</v>
      </c>
      <c r="D1417" s="2" t="str">
        <f t="shared" si="21"/>
        <v>Error?</v>
      </c>
    </row>
    <row r="1418" spans="1:4" x14ac:dyDescent="0.2">
      <c r="A1418" s="5">
        <v>1357</v>
      </c>
      <c r="B1418" s="138">
        <f>'Expenditures 15-22'!D240</f>
        <v>66</v>
      </c>
      <c r="D1418" s="2" t="str">
        <f t="shared" si="21"/>
        <v>Error?</v>
      </c>
    </row>
    <row r="1419" spans="1:4" x14ac:dyDescent="0.2">
      <c r="A1419" s="5">
        <v>1358</v>
      </c>
      <c r="B1419" s="138">
        <f>'Expenditures 15-22'!D241</f>
        <v>5692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5758</v>
      </c>
      <c r="C1421" s="2" t="s">
        <v>573</v>
      </c>
      <c r="D1421" s="2" t="str">
        <f t="shared" si="21"/>
        <v>Error?</v>
      </c>
    </row>
    <row r="1422" spans="1:4" x14ac:dyDescent="0.2">
      <c r="A1422" s="5">
        <v>1361</v>
      </c>
      <c r="B1422" s="138">
        <f>'Expenditures 15-22'!D245</f>
        <v>205</v>
      </c>
      <c r="D1422" s="2" t="str">
        <f t="shared" si="21"/>
        <v>Error?</v>
      </c>
    </row>
    <row r="1423" spans="1:4" x14ac:dyDescent="0.2">
      <c r="A1423" s="5">
        <v>1362</v>
      </c>
      <c r="B1423" s="138">
        <f>'Expenditures 15-22'!D246</f>
        <v>5570</v>
      </c>
      <c r="D1423" s="2" t="str">
        <f t="shared" si="21"/>
        <v>Error?</v>
      </c>
    </row>
    <row r="1424" spans="1:4" x14ac:dyDescent="0.2">
      <c r="A1424" s="5">
        <v>1363</v>
      </c>
      <c r="B1424" s="138">
        <f>'Expenditures 15-22'!D257</f>
        <v>19095</v>
      </c>
      <c r="C1424" s="2" t="s">
        <v>573</v>
      </c>
      <c r="D1424" s="2" t="str">
        <f t="shared" si="21"/>
        <v>Error?</v>
      </c>
    </row>
    <row r="1425" spans="1:4" x14ac:dyDescent="0.2">
      <c r="A1425" s="5">
        <v>1364</v>
      </c>
      <c r="B1425" s="138">
        <f>'Expenditures 15-22'!D259</f>
        <v>27621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27621</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9861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52392</v>
      </c>
      <c r="D1431" s="2" t="str">
        <f t="shared" si="21"/>
        <v>Error?</v>
      </c>
    </row>
    <row r="1432" spans="1:4" x14ac:dyDescent="0.2">
      <c r="A1432" s="5">
        <v>1371</v>
      </c>
      <c r="B1432" s="138">
        <f>'Expenditures 15-22'!D267</f>
        <v>47912</v>
      </c>
      <c r="D1432" s="2" t="str">
        <f t="shared" si="21"/>
        <v>Error?</v>
      </c>
    </row>
    <row r="1433" spans="1:4" x14ac:dyDescent="0.2">
      <c r="A1433" s="5">
        <v>1372</v>
      </c>
      <c r="B1433" s="138">
        <f>'Expenditures 15-22'!D268</f>
        <v>22352</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132517</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199259</v>
      </c>
      <c r="C1446" s="2" t="s">
        <v>573</v>
      </c>
      <c r="D1446" s="2" t="str">
        <f t="shared" si="21"/>
        <v>Error?</v>
      </c>
    </row>
    <row r="1447" spans="1:4" x14ac:dyDescent="0.2">
      <c r="A1447" s="5">
        <v>1386</v>
      </c>
      <c r="B1447" s="138">
        <f>'Expenditures 15-22'!D280</f>
        <v>5999</v>
      </c>
      <c r="D1447" s="2" t="str">
        <f t="shared" si="21"/>
        <v>Error?</v>
      </c>
    </row>
    <row r="1448" spans="1:4" x14ac:dyDescent="0.2">
      <c r="A1448" s="5">
        <v>1387</v>
      </c>
      <c r="B1448" s="138">
        <f>'Expenditures 15-22'!D295</f>
        <v>356284</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2482</v>
      </c>
      <c r="C1471" s="2" t="s">
        <v>573</v>
      </c>
      <c r="D1471" s="2" t="str">
        <f t="shared" ref="D1471:D1534" si="22">IF(ISBLANK(B1471),"OK",IF(A1471-B1471=0,"OK","Error?"))</f>
        <v>Error?</v>
      </c>
    </row>
    <row r="1472" spans="1:4" x14ac:dyDescent="0.2">
      <c r="A1472" s="5">
        <v>1411</v>
      </c>
      <c r="B1472" s="138">
        <f>'Expenditures 15-22'!K223</f>
        <v>7919</v>
      </c>
      <c r="C1472" s="2" t="s">
        <v>573</v>
      </c>
      <c r="D1472" s="2" t="str">
        <f t="shared" si="22"/>
        <v>Error?</v>
      </c>
    </row>
    <row r="1473" spans="1:4" x14ac:dyDescent="0.2">
      <c r="A1473" s="5">
        <v>1412</v>
      </c>
      <c r="B1473" s="138">
        <f>'Expenditures 15-22'!K224</f>
        <v>312</v>
      </c>
      <c r="C1473" s="2" t="s">
        <v>573</v>
      </c>
      <c r="D1473" s="2" t="str">
        <f t="shared" si="22"/>
        <v>Error?</v>
      </c>
    </row>
    <row r="1474" spans="1:4" x14ac:dyDescent="0.2">
      <c r="A1474" s="5">
        <v>1413</v>
      </c>
      <c r="B1474" s="138">
        <f>'Expenditures 15-22'!K229</f>
        <v>151026</v>
      </c>
      <c r="C1474" s="2" t="s">
        <v>573</v>
      </c>
      <c r="D1474" s="2" t="str">
        <f t="shared" si="22"/>
        <v>Error?</v>
      </c>
    </row>
    <row r="1475" spans="1:4" x14ac:dyDescent="0.2">
      <c r="A1475" s="5">
        <v>1414</v>
      </c>
      <c r="B1475" s="138">
        <f>'Expenditures 15-22'!K232</f>
        <v>1125</v>
      </c>
      <c r="C1475" s="2" t="s">
        <v>573</v>
      </c>
      <c r="D1475" s="2" t="str">
        <f t="shared" si="22"/>
        <v>Error?</v>
      </c>
    </row>
    <row r="1476" spans="1:4" x14ac:dyDescent="0.2">
      <c r="A1476" s="5">
        <v>1415</v>
      </c>
      <c r="B1476" s="138">
        <f>'Expenditures 15-22'!K233</f>
        <v>674</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717</v>
      </c>
      <c r="C1478" s="2" t="s">
        <v>573</v>
      </c>
      <c r="D1478" s="2" t="str">
        <f t="shared" si="22"/>
        <v>Error?</v>
      </c>
    </row>
    <row r="1479" spans="1:4" x14ac:dyDescent="0.2">
      <c r="A1479" s="5">
        <v>1418</v>
      </c>
      <c r="B1479" s="138">
        <f>'Expenditures 15-22'!K236</f>
        <v>1483</v>
      </c>
      <c r="C1479" s="2" t="s">
        <v>573</v>
      </c>
      <c r="D1479" s="2" t="str">
        <f t="shared" si="22"/>
        <v>Error?</v>
      </c>
    </row>
    <row r="1480" spans="1:4" x14ac:dyDescent="0.2">
      <c r="A1480" s="5">
        <v>1419</v>
      </c>
      <c r="B1480" s="138">
        <f>'Expenditures 15-22'!K237</f>
        <v>10269</v>
      </c>
      <c r="C1480" s="2" t="s">
        <v>573</v>
      </c>
      <c r="D1480" s="2" t="str">
        <f t="shared" si="22"/>
        <v>Error?</v>
      </c>
    </row>
    <row r="1481" spans="1:4" x14ac:dyDescent="0.2">
      <c r="A1481" s="5">
        <v>1420</v>
      </c>
      <c r="B1481" s="138">
        <f>'Expenditures 15-22'!K238</f>
        <v>14268</v>
      </c>
      <c r="C1481" s="2" t="s">
        <v>573</v>
      </c>
      <c r="D1481" s="2" t="str">
        <f t="shared" si="22"/>
        <v>Error?</v>
      </c>
    </row>
    <row r="1482" spans="1:4" x14ac:dyDescent="0.2">
      <c r="A1482" s="5">
        <v>1421</v>
      </c>
      <c r="B1482" s="138">
        <f>'Expenditures 15-22'!K240</f>
        <v>66</v>
      </c>
      <c r="C1482" s="2" t="s">
        <v>573</v>
      </c>
      <c r="D1482" s="2" t="str">
        <f t="shared" si="22"/>
        <v>Error?</v>
      </c>
    </row>
    <row r="1483" spans="1:4" x14ac:dyDescent="0.2">
      <c r="A1483" s="5">
        <v>1422</v>
      </c>
      <c r="B1483" s="138">
        <f>'Expenditures 15-22'!K241</f>
        <v>5692</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5758</v>
      </c>
      <c r="C1485" s="2" t="s">
        <v>573</v>
      </c>
      <c r="D1485" s="2" t="str">
        <f t="shared" si="22"/>
        <v>Error?</v>
      </c>
    </row>
    <row r="1486" spans="1:4" x14ac:dyDescent="0.2">
      <c r="A1486" s="5">
        <v>1425</v>
      </c>
      <c r="B1486" s="138">
        <f>'Expenditures 15-22'!K245</f>
        <v>205</v>
      </c>
      <c r="C1486" s="2" t="s">
        <v>573</v>
      </c>
      <c r="D1486" s="2" t="str">
        <f t="shared" si="22"/>
        <v>Error?</v>
      </c>
    </row>
    <row r="1487" spans="1:4" x14ac:dyDescent="0.2">
      <c r="A1487" s="5">
        <v>1426</v>
      </c>
      <c r="B1487" s="138">
        <f>'Expenditures 15-22'!K246</f>
        <v>5570</v>
      </c>
      <c r="C1487" s="2" t="s">
        <v>573</v>
      </c>
      <c r="D1487" s="2" t="str">
        <f t="shared" si="22"/>
        <v>Error?</v>
      </c>
    </row>
    <row r="1488" spans="1:4" x14ac:dyDescent="0.2">
      <c r="A1488" s="5">
        <v>1427</v>
      </c>
      <c r="B1488" s="138">
        <f>'Expenditures 15-22'!K257</f>
        <v>19095</v>
      </c>
      <c r="C1488" s="2" t="s">
        <v>573</v>
      </c>
      <c r="D1488" s="2" t="str">
        <f t="shared" si="22"/>
        <v>Error?</v>
      </c>
    </row>
    <row r="1489" spans="1:4" x14ac:dyDescent="0.2">
      <c r="A1489" s="5">
        <v>1428</v>
      </c>
      <c r="B1489" s="138">
        <f>'Expenditures 15-22'!K259</f>
        <v>27621</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27621</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9861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52392</v>
      </c>
      <c r="C1495" s="2" t="s">
        <v>573</v>
      </c>
      <c r="D1495" s="2" t="str">
        <f t="shared" si="22"/>
        <v>Error?</v>
      </c>
    </row>
    <row r="1496" spans="1:4" x14ac:dyDescent="0.2">
      <c r="A1496" s="5">
        <v>1435</v>
      </c>
      <c r="B1496" s="138">
        <f>'Expenditures 15-22'!K267</f>
        <v>47912</v>
      </c>
      <c r="C1496" s="2" t="s">
        <v>573</v>
      </c>
      <c r="D1496" s="2" t="str">
        <f t="shared" si="22"/>
        <v>Error?</v>
      </c>
    </row>
    <row r="1497" spans="1:4" x14ac:dyDescent="0.2">
      <c r="A1497" s="5">
        <v>1436</v>
      </c>
      <c r="B1497" s="138">
        <f>'Expenditures 15-22'!K268</f>
        <v>22352</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132517</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199259</v>
      </c>
      <c r="C1510" s="2" t="s">
        <v>573</v>
      </c>
      <c r="D1510" s="2" t="str">
        <f t="shared" si="22"/>
        <v>Error?</v>
      </c>
    </row>
    <row r="1511" spans="1:4" x14ac:dyDescent="0.2">
      <c r="A1511" s="5">
        <v>1450</v>
      </c>
      <c r="B1511" s="138">
        <f>'Expenditures 15-22'!K280</f>
        <v>5999</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356284</v>
      </c>
      <c r="C1517" s="2" t="s">
        <v>573</v>
      </c>
      <c r="D1517" s="2" t="str">
        <f t="shared" si="22"/>
        <v>Error?</v>
      </c>
    </row>
    <row r="1518" spans="1:4" x14ac:dyDescent="0.2">
      <c r="A1518" s="5">
        <v>1457</v>
      </c>
      <c r="B1518" s="138">
        <f>'Expenditures 15-22'!K296</f>
        <v>-1386</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2192</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2192</v>
      </c>
      <c r="C1535" s="2" t="s">
        <v>573</v>
      </c>
      <c r="D1535" s="2" t="str">
        <f t="shared" ref="D1535:D1598" si="23">IF(ISBLANK(B1535),"OK",IF(A1535-B1535=0,"OK","Error?"))</f>
        <v>Error?</v>
      </c>
    </row>
    <row r="1536" spans="1:4" x14ac:dyDescent="0.2">
      <c r="A1536" s="5">
        <v>1475</v>
      </c>
      <c r="B1536" s="138">
        <f>'Expenditures 15-22'!E312</f>
        <v>2192</v>
      </c>
      <c r="C1536" s="2" t="s">
        <v>573</v>
      </c>
      <c r="D1536" s="2" t="str">
        <f t="shared" si="23"/>
        <v>Error?</v>
      </c>
    </row>
    <row r="1537" spans="1:4" x14ac:dyDescent="0.2">
      <c r="A1537" s="5">
        <v>1476</v>
      </c>
      <c r="B1537" s="138">
        <f>'Expenditures 15-22'!F301</f>
        <v>9988</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9988</v>
      </c>
      <c r="C1541" s="2" t="s">
        <v>573</v>
      </c>
      <c r="D1541" s="2" t="str">
        <f t="shared" si="23"/>
        <v>Error?</v>
      </c>
    </row>
    <row r="1542" spans="1:4" x14ac:dyDescent="0.2">
      <c r="A1542" s="5">
        <v>1481</v>
      </c>
      <c r="B1542" s="138">
        <f>'Expenditures 15-22'!F312</f>
        <v>9988</v>
      </c>
      <c r="C1542" s="2" t="s">
        <v>573</v>
      </c>
      <c r="D1542" s="2" t="str">
        <f t="shared" si="23"/>
        <v>Error?</v>
      </c>
    </row>
    <row r="1543" spans="1:4" x14ac:dyDescent="0.2">
      <c r="A1543" s="5">
        <v>1482</v>
      </c>
      <c r="B1543" s="138">
        <f>'Expenditures 15-22'!G301</f>
        <v>3298769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3298769</v>
      </c>
      <c r="C1547" s="2" t="s">
        <v>573</v>
      </c>
      <c r="D1547" s="2" t="str">
        <f t="shared" si="23"/>
        <v>Error?</v>
      </c>
    </row>
    <row r="1548" spans="1:4" x14ac:dyDescent="0.2">
      <c r="A1548" s="5">
        <v>1487</v>
      </c>
      <c r="B1548" s="138">
        <f>'Expenditures 15-22'!G312</f>
        <v>3298769</v>
      </c>
      <c r="C1548" s="2" t="s">
        <v>573</v>
      </c>
      <c r="D1548" s="2" t="str">
        <f t="shared" si="23"/>
        <v>Error?</v>
      </c>
    </row>
    <row r="1549" spans="1:4" x14ac:dyDescent="0.2">
      <c r="A1549" s="5">
        <v>1488</v>
      </c>
      <c r="B1549" s="138">
        <f>'Expenditures 15-22'!H301</f>
        <v>2045</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2045</v>
      </c>
      <c r="C1553" s="2" t="s">
        <v>573</v>
      </c>
      <c r="D1553" s="2" t="str">
        <f t="shared" si="23"/>
        <v>Error?</v>
      </c>
    </row>
    <row r="1554" spans="1:4" x14ac:dyDescent="0.2">
      <c r="A1554" s="5">
        <v>1493</v>
      </c>
      <c r="B1554" s="138">
        <f>'Expenditures 15-22'!H312</f>
        <v>2045</v>
      </c>
      <c r="C1554" s="2" t="s">
        <v>573</v>
      </c>
      <c r="D1554" s="2" t="str">
        <f t="shared" si="23"/>
        <v>Error?</v>
      </c>
    </row>
    <row r="1555" spans="1:4" x14ac:dyDescent="0.2">
      <c r="A1555" s="5">
        <v>1494</v>
      </c>
      <c r="B1555" s="138">
        <f>'Expenditures 15-22'!K301</f>
        <v>3312994</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3312994</v>
      </c>
      <c r="C1559" s="2" t="s">
        <v>573</v>
      </c>
      <c r="D1559" s="2" t="str">
        <f t="shared" si="23"/>
        <v>Error?</v>
      </c>
    </row>
    <row r="1560" spans="1:4" x14ac:dyDescent="0.2">
      <c r="A1560" s="5">
        <v>1499</v>
      </c>
      <c r="B1560" s="138">
        <f>'Expenditures 15-22'!K312</f>
        <v>3312994</v>
      </c>
      <c r="C1560" s="2" t="s">
        <v>573</v>
      </c>
      <c r="D1560" s="2" t="str">
        <f t="shared" si="23"/>
        <v>Error?</v>
      </c>
    </row>
    <row r="1561" spans="1:4" x14ac:dyDescent="0.2">
      <c r="A1561" s="5">
        <v>1500</v>
      </c>
      <c r="B1561" s="138">
        <f>'Expenditures 15-22'!K313</f>
        <v>-3285363</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1322014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1875936</v>
      </c>
      <c r="C1630" s="2" t="s">
        <v>573</v>
      </c>
      <c r="D1630" s="2" t="str">
        <f t="shared" si="24"/>
        <v>Error?</v>
      </c>
    </row>
    <row r="1631" spans="1:4" x14ac:dyDescent="0.2">
      <c r="A1631" s="5">
        <v>1570</v>
      </c>
      <c r="B1631" s="138">
        <f>'Acct Summary 7-8'!D79</f>
        <v>454017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379216</v>
      </c>
      <c r="C1644" s="2" t="s">
        <v>573</v>
      </c>
      <c r="D1644" s="2" t="str">
        <f t="shared" si="24"/>
        <v>Error?</v>
      </c>
    </row>
    <row r="1645" spans="1:4" x14ac:dyDescent="0.2">
      <c r="A1645" s="5">
        <v>1584</v>
      </c>
      <c r="B1645" s="138">
        <f>'Acct Summary 7-8'!E79</f>
        <v>709420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145107</v>
      </c>
      <c r="C1658" s="2" t="s">
        <v>573</v>
      </c>
      <c r="D1658" s="2" t="str">
        <f t="shared" si="24"/>
        <v>Error?</v>
      </c>
    </row>
    <row r="1659" spans="1:4" x14ac:dyDescent="0.2">
      <c r="A1659" s="5">
        <v>1598</v>
      </c>
      <c r="B1659" s="138">
        <f>'Acct Summary 7-8'!F79</f>
        <v>314407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260938</v>
      </c>
      <c r="C1672" s="2" t="s">
        <v>573</v>
      </c>
      <c r="D1672" s="2" t="str">
        <f t="shared" si="25"/>
        <v>Error?</v>
      </c>
    </row>
    <row r="1673" spans="1:4" x14ac:dyDescent="0.2">
      <c r="A1673" s="5">
        <v>1612</v>
      </c>
      <c r="B1673" s="138">
        <f>'Acct Summary 7-8'!G79</f>
        <v>134959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133573</v>
      </c>
      <c r="C1686" s="2" t="s">
        <v>573</v>
      </c>
      <c r="D1686" s="2" t="str">
        <f t="shared" si="25"/>
        <v>Error?</v>
      </c>
    </row>
    <row r="1687" spans="1:4" x14ac:dyDescent="0.2">
      <c r="A1687" s="5">
        <v>1626</v>
      </c>
      <c r="B1687" s="138">
        <f>'Acct Summary 7-8'!H79</f>
        <v>3507135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221772</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3746369</v>
      </c>
      <c r="C1744" s="2" t="s">
        <v>573</v>
      </c>
      <c r="D1744" s="2" t="str">
        <f t="shared" si="26"/>
        <v>Error?</v>
      </c>
    </row>
    <row r="1745" spans="1:5" x14ac:dyDescent="0.2">
      <c r="A1745" s="5">
        <v>1684</v>
      </c>
      <c r="B1745" s="138">
        <f>'Tax Sched 23'!B5</f>
        <v>594661</v>
      </c>
      <c r="C1745" s="2" t="s">
        <v>573</v>
      </c>
      <c r="D1745" s="2" t="str">
        <f t="shared" si="26"/>
        <v>Error?</v>
      </c>
    </row>
    <row r="1746" spans="1:5" x14ac:dyDescent="0.2">
      <c r="A1746" s="5">
        <v>1685</v>
      </c>
      <c r="B1746" s="138">
        <f>'Tax Sched 23'!B6</f>
        <v>860700</v>
      </c>
      <c r="C1746" s="2" t="s">
        <v>573</v>
      </c>
      <c r="D1746" s="2" t="str">
        <f t="shared" si="26"/>
        <v>Error?</v>
      </c>
    </row>
    <row r="1747" spans="1:5" x14ac:dyDescent="0.2">
      <c r="A1747" s="5">
        <v>1686</v>
      </c>
      <c r="B1747" s="138">
        <f>'Tax Sched 23'!B7</f>
        <v>237864</v>
      </c>
      <c r="C1747" s="2" t="s">
        <v>573</v>
      </c>
      <c r="D1747" s="2" t="str">
        <f t="shared" si="26"/>
        <v>Error?</v>
      </c>
    </row>
    <row r="1748" spans="1:5" x14ac:dyDescent="0.2">
      <c r="A1748" s="5">
        <v>1687</v>
      </c>
      <c r="B1748" s="138">
        <f>'Tax Sched 23'!B8</f>
        <v>130146</v>
      </c>
      <c r="C1748" s="2" t="s">
        <v>573</v>
      </c>
      <c r="D1748" s="2" t="str">
        <f t="shared" si="26"/>
        <v>Error?</v>
      </c>
    </row>
    <row r="1749" spans="1:5" x14ac:dyDescent="0.2">
      <c r="A1749" s="5">
        <v>1688</v>
      </c>
      <c r="B1749" s="138">
        <f>'Tax Sched 23'!B10</f>
        <v>59467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328992</v>
      </c>
      <c r="C1752" s="2" t="s">
        <v>573</v>
      </c>
      <c r="D1752" s="2" t="str">
        <f t="shared" si="26"/>
        <v>Error?</v>
      </c>
    </row>
    <row r="1753" spans="1:5" x14ac:dyDescent="0.2">
      <c r="A1753" s="5">
        <v>1692</v>
      </c>
      <c r="B1753" s="138">
        <f>'Tax Sched 23'!B12</f>
        <v>59466</v>
      </c>
      <c r="C1753" s="2" t="s">
        <v>573</v>
      </c>
      <c r="D1753" s="2" t="str">
        <f t="shared" si="26"/>
        <v>Error?</v>
      </c>
    </row>
    <row r="1754" spans="1:5" x14ac:dyDescent="0.2">
      <c r="A1754" s="5">
        <v>1693</v>
      </c>
      <c r="B1754" s="138">
        <f>'Tax Sched 23'!B14</f>
        <v>47573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6344947</v>
      </c>
      <c r="C1759" s="2" t="s">
        <v>573</v>
      </c>
      <c r="D1759" s="2" t="str">
        <f t="shared" si="26"/>
        <v>Error?</v>
      </c>
    </row>
    <row r="1760" spans="1:5" x14ac:dyDescent="0.2">
      <c r="A1760" s="5">
        <v>1699</v>
      </c>
      <c r="B1760" s="138">
        <f>'Tax Sched 23'!D4</f>
        <v>3746369</v>
      </c>
      <c r="C1760" s="2" t="s">
        <v>573</v>
      </c>
      <c r="D1760" s="2" t="str">
        <f t="shared" si="26"/>
        <v>Error?</v>
      </c>
    </row>
    <row r="1761" spans="1:5" x14ac:dyDescent="0.2">
      <c r="A1761" s="5">
        <v>1700</v>
      </c>
      <c r="B1761" s="138">
        <f>'Tax Sched 23'!D5</f>
        <v>594661</v>
      </c>
      <c r="C1761" s="2" t="s">
        <v>573</v>
      </c>
      <c r="D1761" s="2" t="str">
        <f t="shared" si="26"/>
        <v>Error?</v>
      </c>
    </row>
    <row r="1762" spans="1:5" s="8" customFormat="1" x14ac:dyDescent="0.2">
      <c r="A1762" s="5">
        <v>1701</v>
      </c>
      <c r="B1762" s="138">
        <f>'Tax Sched 23'!D6</f>
        <v>860700</v>
      </c>
      <c r="C1762" s="2" t="s">
        <v>573</v>
      </c>
      <c r="D1762" s="2" t="str">
        <f t="shared" si="26"/>
        <v>Error?</v>
      </c>
      <c r="E1762" s="9"/>
    </row>
    <row r="1763" spans="1:5" x14ac:dyDescent="0.2">
      <c r="A1763" s="5">
        <v>1702</v>
      </c>
      <c r="B1763" s="138">
        <f>'Tax Sched 23'!D7</f>
        <v>237864</v>
      </c>
      <c r="C1763" s="2" t="s">
        <v>573</v>
      </c>
      <c r="D1763" s="2" t="str">
        <f t="shared" si="26"/>
        <v>Error?</v>
      </c>
    </row>
    <row r="1764" spans="1:5" x14ac:dyDescent="0.2">
      <c r="A1764" s="5">
        <v>1703</v>
      </c>
      <c r="B1764" s="138">
        <f>'Tax Sched 23'!D8</f>
        <v>130146</v>
      </c>
      <c r="C1764" s="2" t="s">
        <v>573</v>
      </c>
      <c r="D1764" s="2" t="str">
        <f t="shared" si="26"/>
        <v>Error?</v>
      </c>
    </row>
    <row r="1765" spans="1:5" x14ac:dyDescent="0.2">
      <c r="A1765" s="5">
        <v>1704</v>
      </c>
      <c r="B1765" s="138">
        <f>'Tax Sched 23'!D10</f>
        <v>59467</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328992</v>
      </c>
      <c r="C1768" s="2" t="s">
        <v>573</v>
      </c>
      <c r="D1768" s="2" t="str">
        <f t="shared" si="26"/>
        <v>Error?</v>
      </c>
    </row>
    <row r="1769" spans="1:5" x14ac:dyDescent="0.2">
      <c r="A1769" s="5">
        <v>1708</v>
      </c>
      <c r="B1769" s="138">
        <f>'Tax Sched 23'!D12</f>
        <v>59466</v>
      </c>
      <c r="C1769" s="2" t="s">
        <v>573</v>
      </c>
      <c r="D1769" s="2" t="str">
        <f t="shared" si="26"/>
        <v>Error?</v>
      </c>
    </row>
    <row r="1770" spans="1:5" x14ac:dyDescent="0.2">
      <c r="A1770" s="5">
        <v>1709</v>
      </c>
      <c r="B1770" s="138">
        <f>'Tax Sched 23'!D14</f>
        <v>47573</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6344947</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3787768</v>
      </c>
      <c r="C1792" s="2" t="s">
        <v>573</v>
      </c>
      <c r="D1792" s="2" t="str">
        <f t="shared" si="27"/>
        <v>Error?</v>
      </c>
    </row>
    <row r="1793" spans="1:4" x14ac:dyDescent="0.2">
      <c r="A1793" s="5">
        <v>1732</v>
      </c>
      <c r="B1793" s="138">
        <f>'Tax Sched 23'!F5</f>
        <v>601233</v>
      </c>
      <c r="C1793" s="2" t="s">
        <v>573</v>
      </c>
      <c r="D1793" s="2" t="str">
        <f t="shared" si="27"/>
        <v>Error?</v>
      </c>
    </row>
    <row r="1794" spans="1:4" x14ac:dyDescent="0.2">
      <c r="A1794" s="5">
        <v>1733</v>
      </c>
      <c r="B1794" s="138">
        <f>'Tax Sched 23'!F6</f>
        <v>864078</v>
      </c>
      <c r="C1794" s="2" t="s">
        <v>573</v>
      </c>
      <c r="D1794" s="2" t="str">
        <f t="shared" si="27"/>
        <v>Error?</v>
      </c>
    </row>
    <row r="1795" spans="1:4" x14ac:dyDescent="0.2">
      <c r="A1795" s="5">
        <v>1734</v>
      </c>
      <c r="B1795" s="138">
        <f>'Tax Sched 23'!F7</f>
        <v>240493</v>
      </c>
      <c r="C1795" s="2" t="s">
        <v>573</v>
      </c>
      <c r="D1795" s="2" t="str">
        <f t="shared" si="27"/>
        <v>Error?</v>
      </c>
    </row>
    <row r="1796" spans="1:4" x14ac:dyDescent="0.2">
      <c r="A1796" s="5">
        <v>1735</v>
      </c>
      <c r="B1796" s="138">
        <f>'Tax Sched 23'!F8</f>
        <v>200241</v>
      </c>
      <c r="C1796" s="2" t="s">
        <v>573</v>
      </c>
      <c r="D1796" s="2" t="str">
        <f t="shared" si="27"/>
        <v>Error?</v>
      </c>
    </row>
    <row r="1797" spans="1:4" x14ac:dyDescent="0.2">
      <c r="A1797" s="5">
        <v>1736</v>
      </c>
      <c r="B1797" s="138">
        <f>'Tax Sched 23'!F10</f>
        <v>60123</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350420</v>
      </c>
      <c r="C1800" s="2" t="s">
        <v>573</v>
      </c>
      <c r="D1800" s="2" t="str">
        <f t="shared" si="27"/>
        <v>Error?</v>
      </c>
    </row>
    <row r="1801" spans="1:4" x14ac:dyDescent="0.2">
      <c r="A1801" s="5">
        <v>1740</v>
      </c>
      <c r="B1801" s="138">
        <f>'Tax Sched 23'!F12</f>
        <v>60123</v>
      </c>
      <c r="C1801" s="2" t="s">
        <v>573</v>
      </c>
      <c r="D1801" s="2" t="str">
        <f t="shared" si="27"/>
        <v>Error?</v>
      </c>
    </row>
    <row r="1802" spans="1:4" x14ac:dyDescent="0.2">
      <c r="A1802" s="5">
        <v>1741</v>
      </c>
      <c r="B1802" s="138">
        <f>'Tax Sched 23'!F14</f>
        <v>48099</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6501356</v>
      </c>
      <c r="C1807" s="2" t="s">
        <v>573</v>
      </c>
      <c r="D1807" s="2" t="str">
        <f t="shared" si="27"/>
        <v>Error?</v>
      </c>
    </row>
    <row r="1808" spans="1:4" x14ac:dyDescent="0.2">
      <c r="A1808" s="5">
        <v>1747</v>
      </c>
      <c r="B1808" s="138">
        <f>'Tax Sched 23'!E4</f>
        <v>3787768</v>
      </c>
      <c r="D1808" s="2" t="str">
        <f t="shared" si="27"/>
        <v>Error?</v>
      </c>
    </row>
    <row r="1809" spans="1:4" x14ac:dyDescent="0.2">
      <c r="A1809" s="5">
        <v>1748</v>
      </c>
      <c r="B1809" s="138">
        <f>'Tax Sched 23'!E5</f>
        <v>601233</v>
      </c>
      <c r="D1809" s="2" t="str">
        <f t="shared" si="27"/>
        <v>Error?</v>
      </c>
    </row>
    <row r="1810" spans="1:4" x14ac:dyDescent="0.2">
      <c r="A1810" s="5">
        <v>1749</v>
      </c>
      <c r="B1810" s="138">
        <f>'Tax Sched 23'!E6</f>
        <v>864078</v>
      </c>
      <c r="D1810" s="2" t="str">
        <f t="shared" si="27"/>
        <v>Error?</v>
      </c>
    </row>
    <row r="1811" spans="1:4" x14ac:dyDescent="0.2">
      <c r="A1811" s="5">
        <v>1750</v>
      </c>
      <c r="B1811" s="138">
        <f>'Tax Sched 23'!E7</f>
        <v>240493</v>
      </c>
      <c r="D1811" s="2" t="str">
        <f t="shared" si="27"/>
        <v>Error?</v>
      </c>
    </row>
    <row r="1812" spans="1:4" x14ac:dyDescent="0.2">
      <c r="A1812" s="5">
        <v>1751</v>
      </c>
      <c r="B1812" s="138">
        <f>'Tax Sched 23'!E8</f>
        <v>200241</v>
      </c>
      <c r="D1812" s="2" t="str">
        <f t="shared" si="27"/>
        <v>Error?</v>
      </c>
    </row>
    <row r="1813" spans="1:4" x14ac:dyDescent="0.2">
      <c r="A1813" s="5">
        <v>1752</v>
      </c>
      <c r="B1813" s="138">
        <f>'Tax Sched 23'!E10</f>
        <v>60123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350420</v>
      </c>
      <c r="D1816" s="2" t="str">
        <f t="shared" si="27"/>
        <v>Error?</v>
      </c>
    </row>
    <row r="1817" spans="1:4" x14ac:dyDescent="0.2">
      <c r="A1817" s="5">
        <v>1756</v>
      </c>
      <c r="B1817" s="138">
        <f>'Tax Sched 23'!E12</f>
        <v>60123</v>
      </c>
      <c r="D1817" s="2" t="str">
        <f t="shared" si="27"/>
        <v>Error?</v>
      </c>
    </row>
    <row r="1818" spans="1:4" x14ac:dyDescent="0.2">
      <c r="A1818" s="5">
        <v>1757</v>
      </c>
      <c r="B1818" s="138">
        <f>'Tax Sched 23'!E14</f>
        <v>48099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6501356</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10507553</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47573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47573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47573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298234</v>
      </c>
      <c r="D2008" s="2" t="str">
        <f t="shared" si="30"/>
        <v>Error?</v>
      </c>
    </row>
    <row r="2009" spans="1:4" x14ac:dyDescent="0.2">
      <c r="A2009" s="5">
        <v>1948</v>
      </c>
      <c r="B2009" s="138">
        <f>'Cap Outlay Deprec 26'!C8</f>
        <v>20817031</v>
      </c>
      <c r="D2009" s="2" t="str">
        <f t="shared" si="30"/>
        <v>Error?</v>
      </c>
    </row>
    <row r="2010" spans="1:4" x14ac:dyDescent="0.2">
      <c r="A2010" s="5">
        <v>1949</v>
      </c>
      <c r="B2010" s="138">
        <f>'Cap Outlay Deprec 26'!C10</f>
        <v>657767</v>
      </c>
      <c r="D2010" s="2" t="str">
        <f t="shared" si="30"/>
        <v>Error?</v>
      </c>
    </row>
    <row r="2011" spans="1:4" x14ac:dyDescent="0.2">
      <c r="A2011" s="5">
        <v>1950</v>
      </c>
      <c r="B2011" s="138">
        <f>'Cap Outlay Deprec 26'!C12</f>
        <v>1420887</v>
      </c>
      <c r="D2011" s="2" t="str">
        <f t="shared" si="30"/>
        <v>Error?</v>
      </c>
    </row>
    <row r="2012" spans="1:4" x14ac:dyDescent="0.2">
      <c r="A2012" s="5">
        <v>1951</v>
      </c>
      <c r="B2012" s="138">
        <f>'Cap Outlay Deprec 26'!C13</f>
        <v>935514</v>
      </c>
      <c r="D2012" s="2" t="str">
        <f t="shared" si="30"/>
        <v>Error?</v>
      </c>
    </row>
    <row r="2013" spans="1:4" x14ac:dyDescent="0.2">
      <c r="A2013" s="5">
        <v>1952</v>
      </c>
      <c r="B2013" s="138">
        <f>'Cap Outlay Deprec 26'!C16</f>
        <v>25705398</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1590131</v>
      </c>
      <c r="D2015" s="2" t="str">
        <f t="shared" si="30"/>
        <v>Error?</v>
      </c>
    </row>
    <row r="2016" spans="1:4" x14ac:dyDescent="0.2">
      <c r="A2016" s="5">
        <v>1955</v>
      </c>
      <c r="B2016" s="138">
        <f>'Cap Outlay Deprec 26'!D10</f>
        <v>3280756</v>
      </c>
      <c r="D2016" s="2" t="str">
        <f t="shared" si="30"/>
        <v>Error?</v>
      </c>
    </row>
    <row r="2017" spans="1:4" x14ac:dyDescent="0.2">
      <c r="A2017" s="5">
        <v>1956</v>
      </c>
      <c r="B2017" s="138">
        <f>'Cap Outlay Deprec 26'!D12</f>
        <v>271944</v>
      </c>
      <c r="D2017" s="2" t="str">
        <f t="shared" si="30"/>
        <v>Error?</v>
      </c>
    </row>
    <row r="2018" spans="1:4" x14ac:dyDescent="0.2">
      <c r="A2018" s="5">
        <v>1957</v>
      </c>
      <c r="B2018" s="138">
        <f>'Cap Outlay Deprec 26'!D13</f>
        <v>38084</v>
      </c>
      <c r="D2018" s="2" t="str">
        <f t="shared" si="30"/>
        <v>Error?</v>
      </c>
    </row>
    <row r="2019" spans="1:4" x14ac:dyDescent="0.2">
      <c r="A2019" s="5">
        <v>1958</v>
      </c>
      <c r="B2019" s="138">
        <f>'Cap Outlay Deprec 26'!D16</f>
        <v>5195129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41516</v>
      </c>
      <c r="D2022" s="2" t="str">
        <f t="shared" si="30"/>
        <v>Error?</v>
      </c>
    </row>
    <row r="2023" spans="1:4" x14ac:dyDescent="0.2">
      <c r="A2023" s="5">
        <v>1962</v>
      </c>
      <c r="B2023" s="138">
        <f>'Cap Outlay Deprec 26'!E12</f>
        <v>253381</v>
      </c>
      <c r="D2023" s="2" t="str">
        <f t="shared" si="30"/>
        <v>Error?</v>
      </c>
    </row>
    <row r="2024" spans="1:4" x14ac:dyDescent="0.2">
      <c r="A2024" s="5">
        <v>1963</v>
      </c>
      <c r="B2024" s="138">
        <f>'Cap Outlay Deprec 26'!E13</f>
        <v>49850</v>
      </c>
      <c r="D2024" s="2" t="str">
        <f t="shared" si="30"/>
        <v>Error?</v>
      </c>
    </row>
    <row r="2025" spans="1:4" x14ac:dyDescent="0.2">
      <c r="A2025" s="5">
        <v>1964</v>
      </c>
      <c r="B2025" s="138">
        <f>'Cap Outlay Deprec 26'!E16</f>
        <v>1887284</v>
      </c>
      <c r="C2025" s="2" t="s">
        <v>573</v>
      </c>
      <c r="D2025" s="2" t="str">
        <f t="shared" si="30"/>
        <v>Error?</v>
      </c>
    </row>
    <row r="2026" spans="1:4" x14ac:dyDescent="0.2">
      <c r="A2026" s="5">
        <v>1965</v>
      </c>
      <c r="B2026" s="138">
        <f>'Cap Outlay Deprec 26'!F5</f>
        <v>298234</v>
      </c>
      <c r="C2026" s="2" t="s">
        <v>573</v>
      </c>
      <c r="D2026" s="2" t="str">
        <f t="shared" si="30"/>
        <v>Error?</v>
      </c>
    </row>
    <row r="2027" spans="1:4" x14ac:dyDescent="0.2">
      <c r="A2027" s="5">
        <v>1966</v>
      </c>
      <c r="B2027" s="138">
        <f>'Cap Outlay Deprec 26'!F8</f>
        <v>22407162</v>
      </c>
      <c r="C2027" s="2" t="s">
        <v>573</v>
      </c>
      <c r="D2027" s="2" t="str">
        <f t="shared" si="30"/>
        <v>Error?</v>
      </c>
    </row>
    <row r="2028" spans="1:4" x14ac:dyDescent="0.2">
      <c r="A2028" s="5">
        <v>1967</v>
      </c>
      <c r="B2028" s="138">
        <f>'Cap Outlay Deprec 26'!F10</f>
        <v>3897007</v>
      </c>
      <c r="C2028" s="2" t="s">
        <v>573</v>
      </c>
      <c r="D2028" s="2" t="str">
        <f t="shared" si="30"/>
        <v>Error?</v>
      </c>
    </row>
    <row r="2029" spans="1:4" x14ac:dyDescent="0.2">
      <c r="A2029" s="5">
        <v>1968</v>
      </c>
      <c r="B2029" s="138">
        <f>'Cap Outlay Deprec 26'!F12</f>
        <v>1439450</v>
      </c>
      <c r="C2029" s="2" t="s">
        <v>573</v>
      </c>
      <c r="D2029" s="2" t="str">
        <f t="shared" si="30"/>
        <v>Error?</v>
      </c>
    </row>
    <row r="2030" spans="1:4" x14ac:dyDescent="0.2">
      <c r="A2030" s="5">
        <v>1969</v>
      </c>
      <c r="B2030" s="138">
        <f>'Cap Outlay Deprec 26'!F13</f>
        <v>923748</v>
      </c>
      <c r="C2030" s="2" t="s">
        <v>573</v>
      </c>
      <c r="D2030" s="2" t="str">
        <f t="shared" si="30"/>
        <v>Error?</v>
      </c>
    </row>
    <row r="2031" spans="1:4" x14ac:dyDescent="0.2">
      <c r="A2031" s="5">
        <v>1970</v>
      </c>
      <c r="B2031" s="138">
        <f>'Cap Outlay Deprec 26'!F16</f>
        <v>29013243</v>
      </c>
      <c r="C2031" s="2" t="s">
        <v>573</v>
      </c>
      <c r="D2031" s="2" t="str">
        <f t="shared" si="30"/>
        <v>Error?</v>
      </c>
    </row>
    <row r="2032" spans="1:4" x14ac:dyDescent="0.2">
      <c r="A2032" s="10">
        <v>1971</v>
      </c>
      <c r="D2032" s="2" t="str">
        <f t="shared" si="30"/>
        <v>OK</v>
      </c>
    </row>
    <row r="2033" spans="1:4" x14ac:dyDescent="0.2">
      <c r="A2033" s="5">
        <v>1972</v>
      </c>
      <c r="B2033" s="138">
        <f>'Cap Outlay Deprec 26'!H8</f>
        <v>7020418</v>
      </c>
      <c r="D2033" s="2" t="str">
        <f t="shared" si="30"/>
        <v>Error?</v>
      </c>
    </row>
    <row r="2034" spans="1:4" x14ac:dyDescent="0.2">
      <c r="A2034" s="5">
        <v>1973</v>
      </c>
      <c r="B2034" s="138">
        <f>'Cap Outlay Deprec 26'!H10</f>
        <v>408915</v>
      </c>
      <c r="D2034" s="2" t="str">
        <f t="shared" si="30"/>
        <v>Error?</v>
      </c>
    </row>
    <row r="2035" spans="1:4" x14ac:dyDescent="0.2">
      <c r="A2035" s="5">
        <v>1974</v>
      </c>
      <c r="B2035" s="138">
        <f>'Cap Outlay Deprec 26'!H12</f>
        <v>907464</v>
      </c>
      <c r="D2035" s="2" t="str">
        <f t="shared" si="30"/>
        <v>Error?</v>
      </c>
    </row>
    <row r="2036" spans="1:4" x14ac:dyDescent="0.2">
      <c r="A2036" s="5">
        <v>1975</v>
      </c>
      <c r="B2036" s="138">
        <f>'Cap Outlay Deprec 26'!H13</f>
        <v>847411</v>
      </c>
      <c r="D2036" s="2" t="str">
        <f t="shared" si="30"/>
        <v>Error?</v>
      </c>
    </row>
    <row r="2037" spans="1:4" x14ac:dyDescent="0.2">
      <c r="A2037" s="5">
        <v>1976</v>
      </c>
      <c r="B2037" s="138">
        <f>'Cap Outlay Deprec 26'!H16</f>
        <v>9210580</v>
      </c>
      <c r="C2037" s="2" t="s">
        <v>573</v>
      </c>
      <c r="D2037" s="2" t="str">
        <f t="shared" si="30"/>
        <v>Error?</v>
      </c>
    </row>
    <row r="2038" spans="1:4" x14ac:dyDescent="0.2">
      <c r="A2038" s="10">
        <v>1977</v>
      </c>
      <c r="D2038" s="2" t="str">
        <f t="shared" si="30"/>
        <v>OK</v>
      </c>
    </row>
    <row r="2039" spans="1:4" x14ac:dyDescent="0.2">
      <c r="A2039" s="5">
        <v>1978</v>
      </c>
      <c r="B2039" s="138">
        <f>'Cap Outlay Deprec 26'!I8</f>
        <v>396740</v>
      </c>
      <c r="D2039" s="2" t="str">
        <f t="shared" si="30"/>
        <v>Error?</v>
      </c>
    </row>
    <row r="2040" spans="1:4" x14ac:dyDescent="0.2">
      <c r="A2040" s="5">
        <v>1979</v>
      </c>
      <c r="B2040" s="138">
        <f>'Cap Outlay Deprec 26'!I10</f>
        <v>101952</v>
      </c>
      <c r="D2040" s="2" t="str">
        <f t="shared" si="30"/>
        <v>Error?</v>
      </c>
    </row>
    <row r="2041" spans="1:4" x14ac:dyDescent="0.2">
      <c r="A2041" s="5">
        <v>1980</v>
      </c>
      <c r="B2041" s="138">
        <f>'Cap Outlay Deprec 26'!I12</f>
        <v>142469</v>
      </c>
      <c r="D2041" s="2" t="str">
        <f t="shared" si="30"/>
        <v>Error?</v>
      </c>
    </row>
    <row r="2042" spans="1:4" x14ac:dyDescent="0.2">
      <c r="A2042" s="5">
        <v>1981</v>
      </c>
      <c r="B2042" s="138">
        <f>'Cap Outlay Deprec 26'!I13</f>
        <v>45312</v>
      </c>
      <c r="D2042" s="2" t="str">
        <f t="shared" si="30"/>
        <v>Error?</v>
      </c>
    </row>
    <row r="2043" spans="1:4" x14ac:dyDescent="0.2">
      <c r="A2043" s="5">
        <v>1982</v>
      </c>
      <c r="B2043" s="138">
        <f>'Cap Outlay Deprec 26'!I16</f>
        <v>691809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41516</v>
      </c>
      <c r="D2046" s="2" t="str">
        <f t="shared" si="30"/>
        <v>Error?</v>
      </c>
    </row>
    <row r="2047" spans="1:4" x14ac:dyDescent="0.2">
      <c r="A2047" s="5">
        <v>1986</v>
      </c>
      <c r="B2047" s="138">
        <f>'Cap Outlay Deprec 26'!J12</f>
        <v>253381</v>
      </c>
      <c r="D2047" s="2" t="str">
        <f t="shared" ref="D2047:D2110" si="31">IF(ISBLANK(B2047),"OK",IF(A2047-B2047=0,"OK","Error?"))</f>
        <v>Error?</v>
      </c>
    </row>
    <row r="2048" spans="1:4" x14ac:dyDescent="0.2">
      <c r="A2048" s="5">
        <v>1987</v>
      </c>
      <c r="B2048" s="138">
        <f>'Cap Outlay Deprec 26'!J13</f>
        <v>49850</v>
      </c>
      <c r="D2048" s="2" t="str">
        <f t="shared" si="31"/>
        <v>Error?</v>
      </c>
    </row>
    <row r="2049" spans="1:4" x14ac:dyDescent="0.2">
      <c r="A2049" s="5">
        <v>1988</v>
      </c>
      <c r="B2049" s="138">
        <f>'Cap Outlay Deprec 26'!J16</f>
        <v>344747</v>
      </c>
      <c r="C2049" s="2" t="s">
        <v>573</v>
      </c>
      <c r="D2049" s="2" t="str">
        <f t="shared" si="31"/>
        <v>Error?</v>
      </c>
    </row>
    <row r="2050" spans="1:4" x14ac:dyDescent="0.2">
      <c r="A2050" s="10">
        <v>1989</v>
      </c>
      <c r="D2050" s="2" t="str">
        <f t="shared" si="31"/>
        <v>OK</v>
      </c>
    </row>
    <row r="2051" spans="1:4" x14ac:dyDescent="0.2">
      <c r="A2051" s="5">
        <v>1990</v>
      </c>
      <c r="B2051" s="138">
        <f>'Cap Outlay Deprec 26'!K8</f>
        <v>7417158</v>
      </c>
      <c r="C2051" s="2" t="s">
        <v>573</v>
      </c>
      <c r="D2051" s="2" t="str">
        <f t="shared" si="31"/>
        <v>Error?</v>
      </c>
    </row>
    <row r="2052" spans="1:4" x14ac:dyDescent="0.2">
      <c r="A2052" s="5">
        <v>1991</v>
      </c>
      <c r="B2052" s="138">
        <f>'Cap Outlay Deprec 26'!K10</f>
        <v>469351</v>
      </c>
      <c r="C2052" s="2" t="s">
        <v>573</v>
      </c>
      <c r="D2052" s="2" t="str">
        <f t="shared" si="31"/>
        <v>Error?</v>
      </c>
    </row>
    <row r="2053" spans="1:4" x14ac:dyDescent="0.2">
      <c r="A2053" s="5">
        <v>1992</v>
      </c>
      <c r="B2053" s="138">
        <f>'Cap Outlay Deprec 26'!K12</f>
        <v>796552</v>
      </c>
      <c r="C2053" s="2" t="s">
        <v>573</v>
      </c>
      <c r="D2053" s="2" t="str">
        <f t="shared" si="31"/>
        <v>Error?</v>
      </c>
    </row>
    <row r="2054" spans="1:4" x14ac:dyDescent="0.2">
      <c r="A2054" s="5">
        <v>1993</v>
      </c>
      <c r="B2054" s="138">
        <f>'Cap Outlay Deprec 26'!K13</f>
        <v>842873</v>
      </c>
      <c r="C2054" s="2" t="s">
        <v>573</v>
      </c>
      <c r="D2054" s="2" t="str">
        <f t="shared" si="31"/>
        <v>Error?</v>
      </c>
    </row>
    <row r="2055" spans="1:4" x14ac:dyDescent="0.2">
      <c r="A2055" s="5">
        <v>1994</v>
      </c>
      <c r="B2055" s="138">
        <f>'Cap Outlay Deprec 26'!K16</f>
        <v>9557642</v>
      </c>
      <c r="C2055" s="2" t="s">
        <v>573</v>
      </c>
      <c r="D2055" s="2" t="str">
        <f t="shared" si="31"/>
        <v>Error?</v>
      </c>
    </row>
    <row r="2056" spans="1:4" x14ac:dyDescent="0.2">
      <c r="A2056" s="5">
        <v>1995</v>
      </c>
      <c r="B2056" s="138">
        <f>'Cap Outlay Deprec 26'!L5</f>
        <v>298234</v>
      </c>
      <c r="C2056" s="2" t="s">
        <v>573</v>
      </c>
      <c r="D2056" s="2" t="str">
        <f t="shared" si="31"/>
        <v>Error?</v>
      </c>
    </row>
    <row r="2057" spans="1:4" x14ac:dyDescent="0.2">
      <c r="A2057" s="5">
        <v>1996</v>
      </c>
      <c r="B2057" s="138">
        <f>'Cap Outlay Deprec 26'!L8</f>
        <v>14990004</v>
      </c>
      <c r="C2057" s="2" t="s">
        <v>573</v>
      </c>
      <c r="D2057" s="2" t="str">
        <f t="shared" si="31"/>
        <v>Error?</v>
      </c>
    </row>
    <row r="2058" spans="1:4" x14ac:dyDescent="0.2">
      <c r="A2058" s="5">
        <v>1997</v>
      </c>
      <c r="B2058" s="138">
        <f>'Cap Outlay Deprec 26'!L10</f>
        <v>3427656</v>
      </c>
      <c r="C2058" s="2" t="s">
        <v>573</v>
      </c>
      <c r="D2058" s="2" t="str">
        <f t="shared" si="31"/>
        <v>Error?</v>
      </c>
    </row>
    <row r="2059" spans="1:4" x14ac:dyDescent="0.2">
      <c r="A2059" s="5">
        <v>1998</v>
      </c>
      <c r="B2059" s="138">
        <f>'Cap Outlay Deprec 26'!L12</f>
        <v>642898</v>
      </c>
      <c r="C2059" s="2" t="s">
        <v>573</v>
      </c>
      <c r="D2059" s="2" t="str">
        <f t="shared" si="31"/>
        <v>Error?</v>
      </c>
    </row>
    <row r="2060" spans="1:4" x14ac:dyDescent="0.2">
      <c r="A2060" s="5">
        <v>1999</v>
      </c>
      <c r="B2060" s="138">
        <f>'Cap Outlay Deprec 26'!L13</f>
        <v>80875</v>
      </c>
      <c r="C2060" s="2" t="s">
        <v>573</v>
      </c>
      <c r="D2060" s="2" t="str">
        <f t="shared" si="31"/>
        <v>Error?</v>
      </c>
    </row>
    <row r="2061" spans="1:4" x14ac:dyDescent="0.2">
      <c r="A2061" s="5">
        <v>2000</v>
      </c>
      <c r="B2061" s="138">
        <f>'Cap Outlay Deprec 26'!L16</f>
        <v>19455601</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108888</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148269</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94716</v>
      </c>
      <c r="D2435" s="2" t="str">
        <f t="shared" si="37"/>
        <v>Error?</v>
      </c>
    </row>
    <row r="2436" spans="1:4" x14ac:dyDescent="0.2">
      <c r="A2436" s="10">
        <v>2375</v>
      </c>
      <c r="D2436" s="2" t="str">
        <f t="shared" si="37"/>
        <v>OK</v>
      </c>
    </row>
    <row r="2437" spans="1:4" x14ac:dyDescent="0.2">
      <c r="A2437" s="5">
        <v>2376</v>
      </c>
      <c r="B2437" s="138">
        <f>'Assets-Liab 5-6'!D38</f>
        <v>3391</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5435</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4723471</v>
      </c>
      <c r="C2551" s="2" t="s">
        <v>573</v>
      </c>
      <c r="D2551" s="2" t="str">
        <f t="shared" si="38"/>
        <v>Error?</v>
      </c>
    </row>
    <row r="2552" spans="1:4" x14ac:dyDescent="0.2">
      <c r="A2552" s="10">
        <v>2491</v>
      </c>
      <c r="D2552" s="2" t="str">
        <f t="shared" si="38"/>
        <v>OK</v>
      </c>
    </row>
    <row r="2553" spans="1:4" x14ac:dyDescent="0.2">
      <c r="A2553" s="5">
        <v>2492</v>
      </c>
      <c r="B2553" s="138">
        <f>'Acct Summary 7-8'!C6</f>
        <v>3640888</v>
      </c>
      <c r="C2553" s="2" t="s">
        <v>573</v>
      </c>
      <c r="D2553" s="2" t="str">
        <f t="shared" si="38"/>
        <v>Error?</v>
      </c>
    </row>
    <row r="2554" spans="1:4" x14ac:dyDescent="0.2">
      <c r="A2554" s="5">
        <v>2493</v>
      </c>
      <c r="B2554" s="138">
        <f>'Acct Summary 7-8'!C7</f>
        <v>375747</v>
      </c>
      <c r="C2554" s="2" t="s">
        <v>573</v>
      </c>
      <c r="D2554" s="2" t="str">
        <f t="shared" si="38"/>
        <v>Error?</v>
      </c>
    </row>
    <row r="2555" spans="1:4" x14ac:dyDescent="0.2">
      <c r="A2555" s="5">
        <v>2494</v>
      </c>
      <c r="B2555" s="138">
        <f>'Acct Summary 7-8'!C8</f>
        <v>8740106</v>
      </c>
      <c r="C2555" s="2" t="s">
        <v>573</v>
      </c>
      <c r="D2555" s="2" t="str">
        <f t="shared" si="38"/>
        <v>Error?</v>
      </c>
    </row>
    <row r="2556" spans="1:4" x14ac:dyDescent="0.2">
      <c r="A2556" s="5">
        <v>2495</v>
      </c>
      <c r="B2556" s="138">
        <f>'Acct Summary 7-8'!C12</f>
        <v>5849066</v>
      </c>
      <c r="C2556" s="2" t="s">
        <v>573</v>
      </c>
      <c r="D2556" s="2" t="str">
        <f t="shared" si="38"/>
        <v>Error?</v>
      </c>
    </row>
    <row r="2557" spans="1:4" x14ac:dyDescent="0.2">
      <c r="A2557" s="5">
        <v>2496</v>
      </c>
      <c r="B2557" s="138">
        <f>'Acct Summary 7-8'!C13</f>
        <v>2142649</v>
      </c>
      <c r="C2557" s="2" t="s">
        <v>573</v>
      </c>
      <c r="D2557" s="2" t="str">
        <f t="shared" si="38"/>
        <v>Error?</v>
      </c>
    </row>
    <row r="2558" spans="1:4" x14ac:dyDescent="0.2">
      <c r="A2558" s="5">
        <v>2497</v>
      </c>
      <c r="B2558" s="138">
        <f>'Acct Summary 7-8'!C14</f>
        <v>46200</v>
      </c>
      <c r="C2558" s="2" t="s">
        <v>573</v>
      </c>
      <c r="D2558" s="2" t="str">
        <f t="shared" si="38"/>
        <v>Error?</v>
      </c>
    </row>
    <row r="2559" spans="1:4" x14ac:dyDescent="0.2">
      <c r="A2559" s="5">
        <v>2498</v>
      </c>
      <c r="B2559" s="138">
        <f>'Acct Summary 7-8'!C15</f>
        <v>148269</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8186184</v>
      </c>
      <c r="C2561" s="2" t="s">
        <v>573</v>
      </c>
      <c r="D2561" s="2" t="str">
        <f t="shared" si="39"/>
        <v>Error?</v>
      </c>
    </row>
    <row r="2562" spans="1:4" x14ac:dyDescent="0.2">
      <c r="A2562" s="5">
        <v>2501</v>
      </c>
      <c r="B2562" s="138">
        <f>'Acct Summary 7-8'!C20</f>
        <v>553922</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607436</v>
      </c>
      <c r="C2564" s="2" t="s">
        <v>573</v>
      </c>
      <c r="D2564" s="2" t="str">
        <f t="shared" si="39"/>
        <v>Error?</v>
      </c>
    </row>
    <row r="2565" spans="1:4" x14ac:dyDescent="0.2">
      <c r="A2565" s="10">
        <v>2504</v>
      </c>
      <c r="D2565" s="2" t="str">
        <f t="shared" si="39"/>
        <v>OK</v>
      </c>
    </row>
    <row r="2566" spans="1:4" x14ac:dyDescent="0.2">
      <c r="A2566" s="5">
        <v>2505</v>
      </c>
      <c r="B2566" s="138">
        <f>'Acct Summary 7-8'!D6</f>
        <v>154000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761436</v>
      </c>
      <c r="C2568" s="2" t="s">
        <v>573</v>
      </c>
      <c r="D2568" s="2" t="str">
        <f t="shared" si="39"/>
        <v>Error?</v>
      </c>
    </row>
    <row r="2569" spans="1:4" x14ac:dyDescent="0.2">
      <c r="A2569" s="5">
        <v>2508</v>
      </c>
      <c r="B2569" s="138">
        <f>'Acct Summary 7-8'!D13</f>
        <v>837288</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837288</v>
      </c>
      <c r="C2573" s="2" t="s">
        <v>573</v>
      </c>
      <c r="D2573" s="2" t="str">
        <f t="shared" si="39"/>
        <v>Error?</v>
      </c>
    </row>
    <row r="2574" spans="1:4" x14ac:dyDescent="0.2">
      <c r="A2574" s="5">
        <v>2513</v>
      </c>
      <c r="B2574" s="138">
        <f>'Acct Summary 7-8'!D20</f>
        <v>-75852</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249869</v>
      </c>
      <c r="C2591" s="2" t="s">
        <v>573</v>
      </c>
      <c r="D2591" s="2" t="str">
        <f t="shared" si="39"/>
        <v>Error?</v>
      </c>
    </row>
    <row r="2592" spans="1:4" x14ac:dyDescent="0.2">
      <c r="A2592" s="10">
        <v>2531</v>
      </c>
      <c r="D2592" s="2" t="str">
        <f t="shared" si="39"/>
        <v>OK</v>
      </c>
    </row>
    <row r="2593" spans="1:4" x14ac:dyDescent="0.2">
      <c r="A2593" s="5">
        <v>2532</v>
      </c>
      <c r="B2593" s="138">
        <f>'Acct Summary 7-8'!F6</f>
        <v>278891</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528760</v>
      </c>
      <c r="C2595" s="2" t="s">
        <v>573</v>
      </c>
      <c r="D2595" s="2" t="str">
        <f t="shared" si="39"/>
        <v>Error?</v>
      </c>
    </row>
    <row r="2596" spans="1:4" x14ac:dyDescent="0.2">
      <c r="A2596" s="5">
        <v>2535</v>
      </c>
      <c r="B2596" s="138">
        <f>'Acct Summary 7-8'!F13</f>
        <v>582229</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582229</v>
      </c>
      <c r="C2600" s="2" t="s">
        <v>573</v>
      </c>
      <c r="D2600" s="2" t="str">
        <f t="shared" si="39"/>
        <v>Error?</v>
      </c>
    </row>
    <row r="2601" spans="1:4" x14ac:dyDescent="0.2">
      <c r="A2601" s="5">
        <v>2540</v>
      </c>
      <c r="B2601" s="138">
        <f>'Acct Summary 7-8'!F20</f>
        <v>-53469</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354898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354898</v>
      </c>
      <c r="C2606" s="2" t="s">
        <v>573</v>
      </c>
      <c r="D2606" s="2" t="str">
        <f t="shared" si="39"/>
        <v>Error?</v>
      </c>
    </row>
    <row r="2607" spans="1:4" x14ac:dyDescent="0.2">
      <c r="A2607" s="5">
        <v>2546</v>
      </c>
      <c r="B2607" s="138">
        <f>'Acct Summary 7-8'!G12</f>
        <v>151026</v>
      </c>
      <c r="C2607" s="2" t="s">
        <v>573</v>
      </c>
      <c r="D2607" s="2" t="str">
        <f t="shared" si="39"/>
        <v>Error?</v>
      </c>
    </row>
    <row r="2608" spans="1:4" x14ac:dyDescent="0.2">
      <c r="A2608" s="5">
        <v>2547</v>
      </c>
      <c r="B2608" s="138">
        <f>'Acct Summary 7-8'!G13</f>
        <v>199259</v>
      </c>
      <c r="C2608" s="2" t="s">
        <v>573</v>
      </c>
      <c r="D2608" s="2" t="str">
        <f t="shared" si="39"/>
        <v>Error?</v>
      </c>
    </row>
    <row r="2609" spans="1:4" x14ac:dyDescent="0.2">
      <c r="A2609" s="5">
        <v>2548</v>
      </c>
      <c r="B2609" s="138">
        <f>'Acct Summary 7-8'!G14</f>
        <v>5999</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356284</v>
      </c>
      <c r="C2612" s="2" t="s">
        <v>573</v>
      </c>
      <c r="D2612" s="2" t="str">
        <f t="shared" si="39"/>
        <v>Error?</v>
      </c>
    </row>
    <row r="2613" spans="1:4" x14ac:dyDescent="0.2">
      <c r="A2613" s="5">
        <v>2552</v>
      </c>
      <c r="B2613" s="138">
        <f>'Acct Summary 7-8'!G20</f>
        <v>-1386</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870415</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870415</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1434728</v>
      </c>
      <c r="C2634" s="2" t="s">
        <v>573</v>
      </c>
      <c r="D2634" s="2" t="str">
        <f t="shared" si="40"/>
        <v>Error?</v>
      </c>
    </row>
    <row r="2635" spans="1:4" x14ac:dyDescent="0.2">
      <c r="A2635" s="5">
        <v>2574</v>
      </c>
      <c r="B2635" s="138">
        <f>'Acct Summary 7-8'!E17</f>
        <v>1434728</v>
      </c>
      <c r="C2635" s="2" t="s">
        <v>573</v>
      </c>
      <c r="D2635" s="2" t="str">
        <f t="shared" si="40"/>
        <v>Error?</v>
      </c>
    </row>
    <row r="2636" spans="1:4" x14ac:dyDescent="0.2">
      <c r="A2636" s="5">
        <v>2575</v>
      </c>
      <c r="B2636" s="138">
        <f>'Acct Summary 7-8'!E20</f>
        <v>-564313</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27631</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27631</v>
      </c>
      <c r="C2658" s="2" t="s">
        <v>573</v>
      </c>
      <c r="D2658" s="2" t="str">
        <f t="shared" si="40"/>
        <v>Error?</v>
      </c>
    </row>
    <row r="2659" spans="1:4" x14ac:dyDescent="0.2">
      <c r="A2659" s="5">
        <v>2598</v>
      </c>
      <c r="B2659" s="138">
        <f>'Acct Summary 7-8'!H13</f>
        <v>3312994</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3312994</v>
      </c>
      <c r="C2661" s="2" t="s">
        <v>573</v>
      </c>
      <c r="D2661" s="2" t="str">
        <f t="shared" si="40"/>
        <v>Error?</v>
      </c>
    </row>
    <row r="2662" spans="1:4" x14ac:dyDescent="0.2">
      <c r="A2662" s="5">
        <v>2601</v>
      </c>
      <c r="B2662" s="138">
        <f>'Acct Summary 7-8'!H20</f>
        <v>-3285363</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39381</v>
      </c>
      <c r="C2789" s="2" t="s">
        <v>573</v>
      </c>
      <c r="D2789" s="2" t="str">
        <f t="shared" si="42"/>
        <v>Error?</v>
      </c>
    </row>
    <row r="2790" spans="1:4" x14ac:dyDescent="0.2">
      <c r="A2790" s="5">
        <v>2729</v>
      </c>
      <c r="B2790" s="138">
        <f>'Expenditures 15-22'!E102</f>
        <v>39381</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1039981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1040810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146794</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1040810</v>
      </c>
      <c r="D2912" s="2" t="str">
        <f t="shared" si="44"/>
        <v>Error?</v>
      </c>
    </row>
    <row r="2913" spans="1:4" x14ac:dyDescent="0.2">
      <c r="A2913" s="5">
        <v>2852</v>
      </c>
      <c r="B2913" s="138">
        <f>'Assets-Liab 5-6'!I41</f>
        <v>1040810</v>
      </c>
      <c r="C2913" s="2" t="s">
        <v>573</v>
      </c>
      <c r="D2913" s="2" t="str">
        <f t="shared" si="44"/>
        <v>Error?</v>
      </c>
    </row>
    <row r="2914" spans="1:4" x14ac:dyDescent="0.2">
      <c r="A2914" s="5">
        <v>2853</v>
      </c>
      <c r="B2914" s="138">
        <f>'Assets-Liab 5-6'!L33</f>
        <v>146794</v>
      </c>
      <c r="D2914" s="2" t="str">
        <f t="shared" si="44"/>
        <v>Error?</v>
      </c>
    </row>
    <row r="2915" spans="1:4" x14ac:dyDescent="0.2">
      <c r="A2915" s="10">
        <v>2854</v>
      </c>
      <c r="D2915" s="2" t="str">
        <f t="shared" si="44"/>
        <v>OK</v>
      </c>
    </row>
    <row r="2916" spans="1:4" x14ac:dyDescent="0.2">
      <c r="A2916" s="5">
        <v>2855</v>
      </c>
      <c r="B2916" s="138">
        <f>'Assets-Liab 5-6'!L34</f>
        <v>146794</v>
      </c>
      <c r="C2916" s="2" t="s">
        <v>573</v>
      </c>
      <c r="D2916" s="2" t="str">
        <f t="shared" si="44"/>
        <v>Error?</v>
      </c>
    </row>
    <row r="2917" spans="1:4" x14ac:dyDescent="0.2">
      <c r="A2917" s="5">
        <v>2856</v>
      </c>
      <c r="B2917" s="138">
        <f>'Assets-Liab 5-6'!L41</f>
        <v>146794</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39381</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108888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148269</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76232</v>
      </c>
      <c r="C3225" s="2" t="s">
        <v>573</v>
      </c>
      <c r="D3225" s="2" t="str">
        <f t="shared" si="49"/>
        <v>Error?</v>
      </c>
    </row>
    <row r="3226" spans="1:4" x14ac:dyDescent="0.2">
      <c r="A3226" s="5">
        <v>3165</v>
      </c>
      <c r="B3226" s="138">
        <f>'Acct Summary 7-8'!I8</f>
        <v>76232</v>
      </c>
      <c r="C3226" s="2" t="s">
        <v>573</v>
      </c>
      <c r="D3226" s="2" t="str">
        <f t="shared" si="49"/>
        <v>Error?</v>
      </c>
    </row>
    <row r="3227" spans="1:4" x14ac:dyDescent="0.2">
      <c r="A3227" s="5">
        <v>3166</v>
      </c>
      <c r="B3227" s="138">
        <f>'Acct Summary 7-8'!I20</f>
        <v>76232</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553922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1051</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1051</v>
      </c>
      <c r="C3238" s="2" t="s">
        <v>573</v>
      </c>
      <c r="D3238" s="2" t="str">
        <f t="shared" si="49"/>
        <v>Error?</v>
      </c>
    </row>
    <row r="3239" spans="1:4" x14ac:dyDescent="0.2">
      <c r="A3239" s="5">
        <v>3178</v>
      </c>
      <c r="B3239" s="138">
        <f>'Acct Summary 7-8'!D78</f>
        <v>-74801</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-53469</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-1386</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-564313</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-3285363</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76232</v>
      </c>
      <c r="C3320" s="2" t="s">
        <v>573</v>
      </c>
      <c r="D3320" s="2" t="str">
        <f t="shared" si="50"/>
        <v>Error?</v>
      </c>
    </row>
    <row r="3321" spans="1:4" x14ac:dyDescent="0.2">
      <c r="A3321" s="5">
        <v>3260</v>
      </c>
      <c r="B3321" s="138">
        <f>'Acct Summary 7-8'!I79</f>
        <v>964578</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1040810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972077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181380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10221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4074</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1167752</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62779</v>
      </c>
      <c r="D3387" s="2" t="str">
        <f t="shared" si="51"/>
        <v>Error?</v>
      </c>
    </row>
    <row r="3388" spans="1:4" x14ac:dyDescent="0.2">
      <c r="A3388" s="5">
        <v>3327</v>
      </c>
      <c r="B3388" s="138">
        <f>'Expenditures 15-22'!D217</f>
        <v>73142</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62779</v>
      </c>
      <c r="C3390" s="2" t="s">
        <v>573</v>
      </c>
      <c r="D3390" s="2" t="str">
        <f t="shared" si="51"/>
        <v>Error?</v>
      </c>
    </row>
    <row r="3391" spans="1:4" x14ac:dyDescent="0.2">
      <c r="A3391" s="5">
        <v>3330</v>
      </c>
      <c r="B3391" s="138">
        <f>'Expenditures 15-22'!K217</f>
        <v>73142</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828840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38547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630</v>
      </c>
      <c r="D3417" s="2" t="str">
        <f t="shared" si="52"/>
        <v>Error?</v>
      </c>
    </row>
    <row r="3418" spans="1:4" x14ac:dyDescent="0.2">
      <c r="A3418" s="10">
        <v>3357</v>
      </c>
      <c r="D3418" s="2" t="str">
        <f t="shared" si="52"/>
        <v>OK</v>
      </c>
    </row>
    <row r="3419" spans="1:4" x14ac:dyDescent="0.2">
      <c r="A3419" s="5">
        <v>3358</v>
      </c>
      <c r="B3419" s="138">
        <f>'Assets-Liab 5-6'!F4</f>
        <v>34289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8984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221273</v>
      </c>
      <c r="D3425" s="2" t="str">
        <f t="shared" si="52"/>
        <v>Error?</v>
      </c>
    </row>
    <row r="3426" spans="1:4" x14ac:dyDescent="0.2">
      <c r="A3426" s="10">
        <v>3365</v>
      </c>
      <c r="D3426" s="2" t="str">
        <f t="shared" si="52"/>
        <v>OK</v>
      </c>
    </row>
    <row r="3427" spans="1:4" x14ac:dyDescent="0.2">
      <c r="A3427" s="5">
        <v>3366</v>
      </c>
      <c r="B3427" s="138">
        <f>'Assets-Liab 5-6'!I4</f>
        <v>829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146794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220243</v>
      </c>
      <c r="C3446" s="2" t="s">
        <v>573</v>
      </c>
      <c r="D3446" s="2" t="str">
        <f t="shared" si="52"/>
        <v>Error?</v>
      </c>
    </row>
    <row r="3447" spans="1:4" x14ac:dyDescent="0.2">
      <c r="A3447" s="5">
        <v>3386</v>
      </c>
      <c r="B3447" s="138">
        <f>'Tax Sched 23'!D16</f>
        <v>220243</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230275</v>
      </c>
      <c r="C3449" s="2" t="s">
        <v>573</v>
      </c>
      <c r="D3449" s="2" t="str">
        <f t="shared" si="52"/>
        <v>Error?</v>
      </c>
    </row>
    <row r="3450" spans="1:4" x14ac:dyDescent="0.2">
      <c r="A3450" s="5">
        <v>3389</v>
      </c>
      <c r="B3450" s="138">
        <f>'Tax Sched 23'!E16</f>
        <v>230275</v>
      </c>
      <c r="D3450" s="2" t="str">
        <f t="shared" si="52"/>
        <v>Error?</v>
      </c>
    </row>
    <row r="3451" spans="1:4" x14ac:dyDescent="0.2">
      <c r="A3451" s="5">
        <v>3390</v>
      </c>
      <c r="B3451" s="138">
        <f>'Cap Outlay Deprec 26'!C15</f>
        <v>1542537</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1542537</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1051</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101229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86146</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187375</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187375</v>
      </c>
      <c r="D3567" s="2" t="str">
        <f t="shared" si="54"/>
        <v>Error?</v>
      </c>
    </row>
    <row r="3568" spans="1:4" x14ac:dyDescent="0.2">
      <c r="A3568" s="5">
        <v>3507</v>
      </c>
      <c r="B3568" s="138">
        <f>'Assets-Liab 5-6'!K41</f>
        <v>187375</v>
      </c>
      <c r="C3568" s="2" t="s">
        <v>573</v>
      </c>
      <c r="D3568" s="2" t="str">
        <f t="shared" si="54"/>
        <v>Error?</v>
      </c>
    </row>
    <row r="3569" spans="1:4" x14ac:dyDescent="0.2">
      <c r="A3569" s="5">
        <v>3508</v>
      </c>
      <c r="B3569" s="138">
        <f>'Acct Summary 7-8'!K4</f>
        <v>63941</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63941</v>
      </c>
      <c r="C3571" s="2" t="s">
        <v>573</v>
      </c>
      <c r="D3571" s="2" t="str">
        <f t="shared" si="54"/>
        <v>Error?</v>
      </c>
    </row>
    <row r="3572" spans="1:4" x14ac:dyDescent="0.2">
      <c r="A3572" s="5">
        <v>3511</v>
      </c>
      <c r="B3572" s="138">
        <f>'Acct Summary 7-8'!K13</f>
        <v>198615</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198615</v>
      </c>
      <c r="C3575" s="2" t="s">
        <v>573</v>
      </c>
      <c r="D3575" s="2" t="str">
        <f t="shared" si="54"/>
        <v>Error?</v>
      </c>
    </row>
    <row r="3576" spans="1:4" x14ac:dyDescent="0.2">
      <c r="A3576" s="5">
        <v>3515</v>
      </c>
      <c r="B3576" s="138">
        <f>'Acct Summary 7-8'!K20</f>
        <v>-134674</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-134674</v>
      </c>
      <c r="C3588" s="2" t="s">
        <v>573</v>
      </c>
      <c r="D3588" s="2" t="str">
        <f t="shared" si="55"/>
        <v>Error?</v>
      </c>
    </row>
    <row r="3589" spans="1:4" x14ac:dyDescent="0.2">
      <c r="A3589" s="5">
        <v>3528</v>
      </c>
      <c r="B3589" s="138">
        <f>'Acct Summary 7-8'!K79</f>
        <v>322049</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187375</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2</v>
      </c>
      <c r="D3632" s="2" t="str">
        <f t="shared" si="55"/>
        <v>Error?</v>
      </c>
    </row>
    <row r="3633" spans="1:4" x14ac:dyDescent="0.2">
      <c r="A3633" s="5">
        <v>3572</v>
      </c>
      <c r="B3633" s="138">
        <f>'Expenditures 15-22'!E350</f>
        <v>2</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2</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198613</v>
      </c>
      <c r="D3646" s="2" t="str">
        <f t="shared" si="55"/>
        <v>Error?</v>
      </c>
    </row>
    <row r="3647" spans="1:4" x14ac:dyDescent="0.2">
      <c r="A3647" s="5">
        <v>3586</v>
      </c>
      <c r="B3647" s="138">
        <f>'Expenditures 15-22'!G350</f>
        <v>198613</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198613</v>
      </c>
      <c r="C3649" s="2" t="s">
        <v>573</v>
      </c>
      <c r="D3649" s="2" t="str">
        <f t="shared" si="56"/>
        <v>Error?</v>
      </c>
    </row>
    <row r="3650" spans="1:4" x14ac:dyDescent="0.2">
      <c r="A3650" s="5">
        <v>3589</v>
      </c>
      <c r="B3650" s="138">
        <f>'Expenditures 15-22'!G367</f>
        <v>198613</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198615</v>
      </c>
      <c r="C3669" s="2" t="s">
        <v>573</v>
      </c>
      <c r="D3669" s="2" t="str">
        <f t="shared" si="56"/>
        <v>Error?</v>
      </c>
    </row>
    <row r="3670" spans="1:4" x14ac:dyDescent="0.2">
      <c r="A3670" s="5">
        <v>3609</v>
      </c>
      <c r="B3670" s="138">
        <f>'Expenditures 15-22'!K350</f>
        <v>198615</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198615</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198615</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-134674</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59466</v>
      </c>
      <c r="C3725" s="2" t="s">
        <v>573</v>
      </c>
      <c r="D3725" s="2" t="str">
        <f t="shared" si="57"/>
        <v>Error?</v>
      </c>
    </row>
    <row r="3726" spans="1:4" x14ac:dyDescent="0.2">
      <c r="A3726" s="5">
        <v>3665</v>
      </c>
      <c r="B3726" s="138">
        <f>'Tax Sched 23'!D13</f>
        <v>59466</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60123</v>
      </c>
      <c r="C3728" s="2" t="s">
        <v>573</v>
      </c>
      <c r="D3728" s="2" t="str">
        <f t="shared" si="57"/>
        <v>Error?</v>
      </c>
    </row>
    <row r="3729" spans="1:4" x14ac:dyDescent="0.2">
      <c r="A3729" s="5">
        <v>3668</v>
      </c>
      <c r="B3729" s="138">
        <f>'Tax Sched 23'!E13</f>
        <v>60123</v>
      </c>
      <c r="D3729" s="2" t="str">
        <f t="shared" si="57"/>
        <v>Error?</v>
      </c>
    </row>
    <row r="3730" spans="1:4" x14ac:dyDescent="0.2">
      <c r="A3730" s="5">
        <v>3669</v>
      </c>
      <c r="B3730" s="138">
        <f>'ICR Computation 30'!E10</f>
        <v>195145</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-1620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-1620</v>
      </c>
      <c r="D4111" s="2" t="str">
        <f t="shared" si="63"/>
        <v>Error?</v>
      </c>
    </row>
    <row r="4112" spans="1:4" x14ac:dyDescent="0.2">
      <c r="A4112" s="10">
        <v>4051</v>
      </c>
      <c r="D4112" s="2" t="str">
        <f t="shared" si="63"/>
        <v>OK</v>
      </c>
    </row>
    <row r="4113" spans="1:4" x14ac:dyDescent="0.2">
      <c r="A4113" s="5">
        <v>4052</v>
      </c>
      <c r="B4113" s="138">
        <f>'Acct Summary 7-8'!C9</f>
        <v>3407525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12147631</v>
      </c>
      <c r="C4122" s="2" t="s">
        <v>573</v>
      </c>
      <c r="D4122" s="2" t="str">
        <f t="shared" si="63"/>
        <v>Error?</v>
      </c>
    </row>
    <row r="4123" spans="1:4" x14ac:dyDescent="0.2">
      <c r="A4123" s="5">
        <v>4062</v>
      </c>
      <c r="B4123" s="138">
        <f>'Acct Summary 7-8'!D10</f>
        <v>761436</v>
      </c>
      <c r="C4123" s="2" t="s">
        <v>573</v>
      </c>
      <c r="D4123" s="2" t="str">
        <f t="shared" si="63"/>
        <v>Error?</v>
      </c>
    </row>
    <row r="4124" spans="1:4" x14ac:dyDescent="0.2">
      <c r="A4124" s="5">
        <v>4063</v>
      </c>
      <c r="B4124" s="138">
        <f>'Acct Summary 7-8'!E10</f>
        <v>870415</v>
      </c>
      <c r="C4124" s="2" t="s">
        <v>573</v>
      </c>
      <c r="D4124" s="2" t="str">
        <f t="shared" si="63"/>
        <v>Error?</v>
      </c>
    </row>
    <row r="4125" spans="1:4" x14ac:dyDescent="0.2">
      <c r="A4125" s="5">
        <v>4064</v>
      </c>
      <c r="B4125" s="138">
        <f>'Acct Summary 7-8'!F10</f>
        <v>528760</v>
      </c>
      <c r="C4125" s="2" t="s">
        <v>573</v>
      </c>
      <c r="D4125" s="2" t="str">
        <f t="shared" si="63"/>
        <v>Error?</v>
      </c>
    </row>
    <row r="4126" spans="1:4" x14ac:dyDescent="0.2">
      <c r="A4126" s="5">
        <v>4065</v>
      </c>
      <c r="B4126" s="138">
        <f>'Acct Summary 7-8'!G10</f>
        <v>354898</v>
      </c>
      <c r="C4126" s="2" t="s">
        <v>573</v>
      </c>
      <c r="D4126" s="2" t="str">
        <f t="shared" si="63"/>
        <v>Error?</v>
      </c>
    </row>
    <row r="4127" spans="1:4" x14ac:dyDescent="0.2">
      <c r="A4127" s="5">
        <v>4066</v>
      </c>
      <c r="B4127" s="138">
        <f>'Acct Summary 7-8'!H10</f>
        <v>27631</v>
      </c>
      <c r="C4127" s="2" t="s">
        <v>573</v>
      </c>
      <c r="D4127" s="2" t="str">
        <f t="shared" si="63"/>
        <v>Error?</v>
      </c>
    </row>
    <row r="4128" spans="1:4" x14ac:dyDescent="0.2">
      <c r="A4128" s="5">
        <v>4067</v>
      </c>
      <c r="B4128" s="138">
        <f>'Acct Summary 7-8'!I10</f>
        <v>76232</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63941</v>
      </c>
      <c r="C4130" s="2" t="s">
        <v>573</v>
      </c>
      <c r="D4130" s="2" t="str">
        <f t="shared" si="63"/>
        <v>Error?</v>
      </c>
    </row>
    <row r="4131" spans="1:4" x14ac:dyDescent="0.2">
      <c r="A4131" s="5">
        <v>4070</v>
      </c>
      <c r="B4131" s="138">
        <f>'Acct Summary 7-8'!C18</f>
        <v>3407525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11593709</v>
      </c>
      <c r="C4136" s="2" t="s">
        <v>573</v>
      </c>
      <c r="D4136" s="2" t="str">
        <f t="shared" si="63"/>
        <v>Error?</v>
      </c>
    </row>
    <row r="4137" spans="1:4" x14ac:dyDescent="0.2">
      <c r="A4137" s="5">
        <v>4076</v>
      </c>
      <c r="B4137" s="138">
        <f>'Acct Summary 7-8'!D19</f>
        <v>837288</v>
      </c>
      <c r="C4137" s="2" t="s">
        <v>573</v>
      </c>
      <c r="D4137" s="2" t="str">
        <f t="shared" si="63"/>
        <v>Error?</v>
      </c>
    </row>
    <row r="4138" spans="1:4" x14ac:dyDescent="0.2">
      <c r="A4138" s="5">
        <v>4077</v>
      </c>
      <c r="B4138" s="138">
        <f>'Acct Summary 7-8'!E19</f>
        <v>1434728</v>
      </c>
      <c r="C4138" s="2" t="s">
        <v>573</v>
      </c>
      <c r="D4138" s="2" t="str">
        <f t="shared" si="63"/>
        <v>Error?</v>
      </c>
    </row>
    <row r="4139" spans="1:4" x14ac:dyDescent="0.2">
      <c r="A4139" s="5">
        <v>4078</v>
      </c>
      <c r="B4139" s="138">
        <f>'Acct Summary 7-8'!F19</f>
        <v>582229</v>
      </c>
      <c r="C4139" s="2" t="s">
        <v>573</v>
      </c>
      <c r="D4139" s="2" t="str">
        <f t="shared" si="63"/>
        <v>Error?</v>
      </c>
    </row>
    <row r="4140" spans="1:4" x14ac:dyDescent="0.2">
      <c r="A4140" s="5">
        <v>4079</v>
      </c>
      <c r="B4140" s="138">
        <f>'Acct Summary 7-8'!G19</f>
        <v>356284</v>
      </c>
      <c r="C4140" s="2" t="s">
        <v>573</v>
      </c>
      <c r="D4140" s="2" t="str">
        <f t="shared" si="63"/>
        <v>Error?</v>
      </c>
    </row>
    <row r="4141" spans="1:4" x14ac:dyDescent="0.2">
      <c r="A4141" s="5">
        <v>4080</v>
      </c>
      <c r="B4141" s="138">
        <f>'Acct Summary 7-8'!H19</f>
        <v>3312994</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198615</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9635141</v>
      </c>
      <c r="C4171" s="2" t="s">
        <v>573</v>
      </c>
      <c r="D4171" s="2" t="str">
        <f t="shared" si="64"/>
        <v>Error?</v>
      </c>
    </row>
    <row r="4172" spans="1:4" x14ac:dyDescent="0.2">
      <c r="A4172" s="5">
        <v>4111</v>
      </c>
      <c r="B4172" s="138">
        <f>'Short-Term Long-Term Debt 24'!J49</f>
        <v>9490034</v>
      </c>
      <c r="C4172" s="2" t="s">
        <v>573</v>
      </c>
      <c r="D4172" s="2" t="str">
        <f t="shared" si="64"/>
        <v>Error?</v>
      </c>
    </row>
    <row r="4173" spans="1:4" x14ac:dyDescent="0.2">
      <c r="A4173" s="5">
        <v>4112</v>
      </c>
      <c r="B4173" s="138">
        <f>'Short-Term Long-Term Debt 24'!H49</f>
        <v>872412</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3150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3850</v>
      </c>
      <c r="C4268" s="2" t="s">
        <v>573</v>
      </c>
      <c r="D4268" s="2" t="str">
        <f t="shared" si="65"/>
        <v>Error?</v>
      </c>
    </row>
    <row r="4269" spans="1:5" x14ac:dyDescent="0.2">
      <c r="A4269" s="12">
        <v>4208</v>
      </c>
      <c r="B4269" s="138">
        <f>'FP Info 3'!J16</f>
        <v>3556900</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16917</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63110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2560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3330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120246601</v>
      </c>
      <c r="D4995" s="2" t="str">
        <f t="shared" si="77"/>
        <v>Error?</v>
      </c>
    </row>
    <row r="4996" spans="1:4" x14ac:dyDescent="0.2">
      <c r="A4996" s="12">
        <v>4935</v>
      </c>
      <c r="B4996" s="138">
        <f>'FP Info 3'!H31</f>
        <v>16594030.938000001</v>
      </c>
      <c r="D4996" s="2" t="str">
        <f t="shared" si="77"/>
        <v>Error?</v>
      </c>
    </row>
    <row r="4997" spans="1:4" x14ac:dyDescent="0.2">
      <c r="A4997" s="12">
        <v>4936</v>
      </c>
      <c r="B4997" s="138">
        <f>'FP Info 3'!H37</f>
        <v>9635141</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59466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3746369</v>
      </c>
      <c r="D5061" s="2" t="str">
        <f t="shared" si="78"/>
        <v>Error?</v>
      </c>
    </row>
    <row r="5062" spans="1:4" x14ac:dyDescent="0.2">
      <c r="A5062" s="10">
        <v>5001</v>
      </c>
      <c r="D5062" s="2" t="str">
        <f t="shared" si="78"/>
        <v>OK</v>
      </c>
    </row>
    <row r="5063" spans="1:4" x14ac:dyDescent="0.2">
      <c r="A5063" s="5">
        <v>5002</v>
      </c>
      <c r="B5063" s="138">
        <f>'Revenues 9-14'!C7</f>
        <v>47573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3853408</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107063</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107063</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19834</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19834</v>
      </c>
      <c r="C5087" s="2" t="s">
        <v>573</v>
      </c>
      <c r="D5087" s="2" t="str">
        <f t="shared" si="78"/>
        <v>Error?</v>
      </c>
    </row>
    <row r="5088" spans="1:4" x14ac:dyDescent="0.2">
      <c r="A5088" s="5">
        <v>5027</v>
      </c>
      <c r="B5088" s="138">
        <f>'Revenues 9-14'!C65</f>
        <v>44791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44791</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104059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233252</v>
      </c>
      <c r="C5096" s="2" t="s">
        <v>573</v>
      </c>
      <c r="D5096" s="2" t="str">
        <f t="shared" si="78"/>
        <v>Error?</v>
      </c>
    </row>
    <row r="5097" spans="1:4" x14ac:dyDescent="0.2">
      <c r="A5097" s="5">
        <v>5036</v>
      </c>
      <c r="B5097" s="138">
        <f>'Revenues 9-14'!C77</f>
        <v>23704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37029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34658</v>
      </c>
      <c r="D5101" s="2" t="str">
        <f t="shared" si="78"/>
        <v>Error?</v>
      </c>
    </row>
    <row r="5102" spans="1:4" x14ac:dyDescent="0.2">
      <c r="A5102" s="5">
        <v>5041</v>
      </c>
      <c r="B5102" s="138">
        <f>'Revenues 9-14'!C82</f>
        <v>95391</v>
      </c>
      <c r="C5102" s="2" t="s">
        <v>573</v>
      </c>
      <c r="D5102" s="2" t="str">
        <f t="shared" si="78"/>
        <v>Error?</v>
      </c>
    </row>
    <row r="5103" spans="1:4" x14ac:dyDescent="0.2">
      <c r="A5103" s="5">
        <v>5042</v>
      </c>
      <c r="B5103" s="138">
        <f>'Revenues 9-14'!C84</f>
        <v>79553</v>
      </c>
      <c r="D5103" s="2" t="str">
        <f t="shared" si="78"/>
        <v>Error?</v>
      </c>
    </row>
    <row r="5104" spans="1:4" x14ac:dyDescent="0.2">
      <c r="A5104" s="5">
        <v>5043</v>
      </c>
      <c r="B5104" s="138">
        <f>'Revenues 9-14'!C85</f>
        <v>745</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80298</v>
      </c>
      <c r="C5112" s="2" t="s">
        <v>573</v>
      </c>
      <c r="D5112" s="2" t="str">
        <f t="shared" si="78"/>
        <v>Error?</v>
      </c>
    </row>
    <row r="5113" spans="1:4" x14ac:dyDescent="0.2">
      <c r="A5113" s="5">
        <v>5052</v>
      </c>
      <c r="B5113" s="138">
        <f>'Revenues 9-14'!C95</f>
        <v>425</v>
      </c>
      <c r="D5113" s="2" t="str">
        <f t="shared" si="78"/>
        <v>Error?</v>
      </c>
    </row>
    <row r="5114" spans="1:4" x14ac:dyDescent="0.2">
      <c r="A5114" s="5">
        <v>5053</v>
      </c>
      <c r="B5114" s="138">
        <f>'Revenues 9-14'!C96</f>
        <v>72422</v>
      </c>
      <c r="D5114" s="2" t="str">
        <f t="shared" si="78"/>
        <v>Error?</v>
      </c>
    </row>
    <row r="5115" spans="1:4" x14ac:dyDescent="0.2">
      <c r="A5115" s="5">
        <v>5054</v>
      </c>
      <c r="B5115" s="138">
        <f>'Revenues 9-14'!C98</f>
        <v>32184</v>
      </c>
      <c r="D5115" s="2" t="str">
        <f t="shared" si="78"/>
        <v>Error?</v>
      </c>
    </row>
    <row r="5116" spans="1:4" x14ac:dyDescent="0.2">
      <c r="A5116" s="5">
        <v>5055</v>
      </c>
      <c r="B5116" s="138">
        <f>'Revenues 9-14'!C99</f>
        <v>68656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289434</v>
      </c>
      <c r="C5120" s="2" t="s">
        <v>573</v>
      </c>
      <c r="D5120" s="2" t="str">
        <f t="shared" si="79"/>
        <v>Error?</v>
      </c>
    </row>
    <row r="5121" spans="1:4" x14ac:dyDescent="0.2">
      <c r="A5121" s="5">
        <v>5060</v>
      </c>
      <c r="B5121" s="138">
        <f>'Revenues 9-14'!C109</f>
        <v>4723471</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3342449</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3342449</v>
      </c>
      <c r="C5132" s="2" t="s">
        <v>573</v>
      </c>
      <c r="D5132" s="2" t="str">
        <f t="shared" si="79"/>
        <v>Error?</v>
      </c>
    </row>
    <row r="5133" spans="1:4" x14ac:dyDescent="0.2">
      <c r="A5133" s="5">
        <v>5072</v>
      </c>
      <c r="B5133" s="138">
        <f>'Revenues 9-14'!C125</f>
        <v>93666</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34311</v>
      </c>
      <c r="D5137" s="2" t="str">
        <f t="shared" si="79"/>
        <v>Error?</v>
      </c>
    </row>
    <row r="5138" spans="1:4" x14ac:dyDescent="0.2">
      <c r="A5138" s="10">
        <v>5077</v>
      </c>
      <c r="D5138" s="2" t="str">
        <f t="shared" si="79"/>
        <v>OK</v>
      </c>
    </row>
    <row r="5139" spans="1:4" x14ac:dyDescent="0.2">
      <c r="A5139" s="5">
        <v>5078</v>
      </c>
      <c r="B5139" s="138">
        <f>'Revenues 9-14'!C129</f>
        <v>1408</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129385</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27348</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27348</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1446</v>
      </c>
      <c r="D5167" s="2" t="str">
        <f t="shared" si="79"/>
        <v>Error?</v>
      </c>
    </row>
    <row r="5168" spans="1:4" x14ac:dyDescent="0.2">
      <c r="A5168" s="5">
        <v>5107</v>
      </c>
      <c r="B5168" s="138">
        <f>'Revenues 9-14'!C148</f>
        <v>13203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124497</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298439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3640888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117283</v>
      </c>
      <c r="D5239" s="2" t="str">
        <f t="shared" si="80"/>
        <v>Error?</v>
      </c>
    </row>
    <row r="5240" spans="1:4" x14ac:dyDescent="0.2">
      <c r="A5240" s="5">
        <v>5179</v>
      </c>
      <c r="B5240" s="138">
        <f>'Revenues 9-14'!C192</f>
        <v>250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117533</v>
      </c>
      <c r="C5246" s="2" t="s">
        <v>573</v>
      </c>
      <c r="D5246" s="2" t="str">
        <f t="shared" si="80"/>
        <v>Error?</v>
      </c>
    </row>
    <row r="5247" spans="1:4" x14ac:dyDescent="0.2">
      <c r="A5247" s="5">
        <v>5186</v>
      </c>
      <c r="B5247" s="138">
        <f>'Revenues 9-14'!C200</f>
        <v>48147</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48147</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908</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111456</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112364</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14346</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375747</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375747</v>
      </c>
      <c r="C5326" s="2" t="s">
        <v>573</v>
      </c>
      <c r="D5326" s="2" t="str">
        <f t="shared" si="82"/>
        <v>Error?</v>
      </c>
    </row>
    <row r="5327" spans="1:5" x14ac:dyDescent="0.2">
      <c r="A5327" s="5">
        <v>5266</v>
      </c>
      <c r="B5327" s="138">
        <f>'Revenues 9-14'!C268</f>
        <v>8740106</v>
      </c>
      <c r="C5327" s="2" t="s">
        <v>573</v>
      </c>
      <c r="D5327" s="2" t="str">
        <f t="shared" si="82"/>
        <v>Error?</v>
      </c>
    </row>
    <row r="5328" spans="1:5" x14ac:dyDescent="0.2">
      <c r="A5328" s="5">
        <v>5267</v>
      </c>
      <c r="B5328" s="138">
        <f>'Revenues 9-14'!D5</f>
        <v>594661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594661</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9384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9384</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3391</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3391</v>
      </c>
      <c r="C5355" s="2" t="s">
        <v>573</v>
      </c>
      <c r="D5355" s="2" t="str">
        <f t="shared" si="82"/>
        <v>Error?</v>
      </c>
    </row>
    <row r="5356" spans="1:4" x14ac:dyDescent="0.2">
      <c r="A5356" s="5">
        <v>5295</v>
      </c>
      <c r="B5356" s="138">
        <f>'Revenues 9-14'!D109</f>
        <v>607436</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154000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154000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154000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761436</v>
      </c>
      <c r="C5508" s="2" t="s">
        <v>573</v>
      </c>
      <c r="D5508" s="2" t="str">
        <f t="shared" si="85"/>
        <v>Error?</v>
      </c>
    </row>
    <row r="5509" spans="1:4" x14ac:dyDescent="0.2">
      <c r="A5509" s="5">
        <v>5448</v>
      </c>
      <c r="B5509" s="138">
        <f>'Revenues 9-14'!E5</f>
        <v>860700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860700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9715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9715</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870415</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870415</v>
      </c>
      <c r="C5552" s="2" t="s">
        <v>573</v>
      </c>
      <c r="D5552" s="2" t="str">
        <f t="shared" si="85"/>
        <v>Error?</v>
      </c>
    </row>
    <row r="5553" spans="1:4" x14ac:dyDescent="0.2">
      <c r="A5553" s="5">
        <v>5492</v>
      </c>
      <c r="B5553" s="138">
        <f>'Revenues 9-14'!F5</f>
        <v>237864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237864</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6402</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6402</v>
      </c>
      <c r="C5579" s="2" t="s">
        <v>573</v>
      </c>
      <c r="D5579" s="2" t="str">
        <f t="shared" si="86"/>
        <v>Error?</v>
      </c>
    </row>
    <row r="5580" spans="1:4" x14ac:dyDescent="0.2">
      <c r="A5580" s="5">
        <v>5519</v>
      </c>
      <c r="B5580" s="138">
        <f>'Revenues 9-14'!F65</f>
        <v>5603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5603</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249869</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49000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49000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107001</v>
      </c>
      <c r="D5615" s="2" t="str">
        <f t="shared" si="86"/>
        <v>Error?</v>
      </c>
    </row>
    <row r="5616" spans="1:4" x14ac:dyDescent="0.2">
      <c r="A5616" s="10">
        <v>5555</v>
      </c>
      <c r="D5616" s="2" t="str">
        <f t="shared" si="86"/>
        <v>OK</v>
      </c>
    </row>
    <row r="5617" spans="1:5" x14ac:dyDescent="0.2">
      <c r="A5617" s="5">
        <v>5556</v>
      </c>
      <c r="B5617" s="138">
        <f>'Revenues 9-14'!F153</f>
        <v>122890</v>
      </c>
      <c r="D5617" s="2" t="str">
        <f t="shared" si="86"/>
        <v>Error?</v>
      </c>
    </row>
    <row r="5618" spans="1:5" x14ac:dyDescent="0.2">
      <c r="A5618" s="5">
        <v>5557</v>
      </c>
      <c r="B5618" s="138">
        <f>'Revenues 9-14'!F155</f>
        <v>229891</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229891</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278891</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528760</v>
      </c>
      <c r="C5720" s="2" t="s">
        <v>573</v>
      </c>
      <c r="D5720" s="2" t="str">
        <f t="shared" si="88"/>
        <v>Error?</v>
      </c>
    </row>
    <row r="5721" spans="1:4" x14ac:dyDescent="0.2">
      <c r="A5721" s="5">
        <v>5660</v>
      </c>
      <c r="B5721" s="138">
        <f>'Revenues 9-14'!G5</f>
        <v>130146</v>
      </c>
      <c r="D5721" s="2" t="str">
        <f t="shared" si="88"/>
        <v>Error?</v>
      </c>
    </row>
    <row r="5722" spans="1:4" x14ac:dyDescent="0.2">
      <c r="A5722" s="5">
        <v>5661</v>
      </c>
      <c r="B5722" s="138">
        <f>'Revenues 9-14'!G7</f>
        <v>0</v>
      </c>
      <c r="D5722" s="2" t="str">
        <f t="shared" si="88"/>
        <v>Error?</v>
      </c>
    </row>
    <row r="5723" spans="1:4" x14ac:dyDescent="0.2">
      <c r="A5723" s="5">
        <v>5662</v>
      </c>
      <c r="B5723" s="138">
        <f>'Revenues 9-14'!G8</f>
        <v>220243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350389</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4509</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4509</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354898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11946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11946</v>
      </c>
      <c r="C5881" s="2" t="s">
        <v>573</v>
      </c>
      <c r="D5881" s="2" t="str">
        <f t="shared" si="90"/>
        <v>Error?</v>
      </c>
    </row>
    <row r="5882" spans="1:4" x14ac:dyDescent="0.2">
      <c r="A5882" s="5">
        <v>5821</v>
      </c>
      <c r="B5882" s="138">
        <f>'Revenues 9-14'!H96</f>
        <v>10250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15685</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27631</v>
      </c>
      <c r="C5915" s="2" t="s">
        <v>573</v>
      </c>
      <c r="D5915" s="2" t="str">
        <f t="shared" si="91"/>
        <v>Error?</v>
      </c>
    </row>
    <row r="5916" spans="1:4" x14ac:dyDescent="0.2">
      <c r="A5916" s="5">
        <v>5855</v>
      </c>
      <c r="B5916" s="138">
        <f>'Revenues 9-14'!I5</f>
        <v>59467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59467</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16765</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16765</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76232</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59466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59466</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4475</v>
      </c>
      <c r="D5993" s="2" t="str">
        <f t="shared" si="92"/>
        <v>Error?</v>
      </c>
    </row>
    <row r="5994" spans="1:4" x14ac:dyDescent="0.2">
      <c r="A5994" s="5">
        <v>5933</v>
      </c>
      <c r="B5994" s="138">
        <f>'Revenues 9-14'!K66</f>
        <v>0</v>
      </c>
      <c r="D5994" s="2" t="str">
        <f t="shared" si="92"/>
        <v>Error?</v>
      </c>
    </row>
    <row r="5995" spans="1:4" x14ac:dyDescent="0.2">
      <c r="A5995" s="5">
        <v>5934</v>
      </c>
      <c r="B5995" s="138">
        <f>'Revenues 9-14'!K67</f>
        <v>4475</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63941</v>
      </c>
      <c r="C6023" s="2" t="s">
        <v>573</v>
      </c>
      <c r="D6023" s="2" t="str">
        <f t="shared" si="93"/>
        <v>Error?</v>
      </c>
    </row>
    <row r="6024" spans="1:5" x14ac:dyDescent="0.2">
      <c r="A6024" s="5">
        <v>5963</v>
      </c>
      <c r="B6024" s="138">
        <f>'Revenues 9-14'!G109</f>
        <v>354898</v>
      </c>
      <c r="C6024" s="2" t="s">
        <v>573</v>
      </c>
      <c r="D6024" s="2" t="str">
        <f t="shared" si="93"/>
        <v>Error?</v>
      </c>
    </row>
    <row r="6025" spans="1:5" x14ac:dyDescent="0.2">
      <c r="A6025" s="5">
        <v>5964</v>
      </c>
      <c r="B6025" s="138">
        <f>'Revenues 9-14'!H109</f>
        <v>27631</v>
      </c>
      <c r="C6025" s="2" t="s">
        <v>573</v>
      </c>
      <c r="D6025" s="2" t="str">
        <f t="shared" si="93"/>
        <v>Error?</v>
      </c>
    </row>
    <row r="6026" spans="1:5" x14ac:dyDescent="0.2">
      <c r="A6026" s="5">
        <v>5965</v>
      </c>
      <c r="B6026" s="138">
        <f>'Revenues 9-14'!I109</f>
        <v>76232</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63941</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129193</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32903</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951.8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215791</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215791</v>
      </c>
      <c r="D6215" s="2" t="str">
        <f t="shared" si="96"/>
        <v>Error?</v>
      </c>
      <c r="E6215" s="2" t="s">
        <v>190</v>
      </c>
    </row>
    <row r="6216" spans="1:5" x14ac:dyDescent="0.2">
      <c r="A6216">
        <v>6155</v>
      </c>
      <c r="B6216" s="138">
        <f>'Assets-Liab 5-6'!J41</f>
        <v>215791</v>
      </c>
      <c r="D6216" s="2" t="str">
        <f t="shared" si="96"/>
        <v>Error?</v>
      </c>
      <c r="E6216" s="2" t="s">
        <v>190</v>
      </c>
    </row>
    <row r="6217" spans="1:5" x14ac:dyDescent="0.2">
      <c r="A6217">
        <v>6156</v>
      </c>
      <c r="B6217" s="138">
        <f>'Assets-Liab 5-6'!J4</f>
        <v>13399</v>
      </c>
      <c r="D6217" s="2" t="str">
        <f t="shared" si="96"/>
        <v>Error?</v>
      </c>
      <c r="E6217" s="2" t="s">
        <v>190</v>
      </c>
    </row>
    <row r="6218" spans="1:5" x14ac:dyDescent="0.2">
      <c r="A6218">
        <v>6157</v>
      </c>
      <c r="B6218" s="138">
        <f>'Assets-Liab 5-6'!J5</f>
        <v>202392</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334391</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334391</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334391</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330991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330991</v>
      </c>
      <c r="D6229" s="2" t="str">
        <f t="shared" si="96"/>
        <v>Error?</v>
      </c>
      <c r="E6229" s="2" t="s">
        <v>190</v>
      </c>
    </row>
    <row r="6230" spans="1:5" x14ac:dyDescent="0.2">
      <c r="A6230">
        <v>6169</v>
      </c>
      <c r="B6230" s="138">
        <f>'Acct Summary 7-8'!J20</f>
        <v>3400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3400</v>
      </c>
      <c r="D6263" s="2" t="str">
        <f t="shared" si="96"/>
        <v>Error?</v>
      </c>
      <c r="E6263" s="2" t="s">
        <v>190</v>
      </c>
    </row>
    <row r="6264" spans="1:5" x14ac:dyDescent="0.2">
      <c r="A6264">
        <v>6203</v>
      </c>
      <c r="B6264" s="138">
        <f>'Acct Summary 7-8'!J79</f>
        <v>212391</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215791</v>
      </c>
      <c r="D6266" s="2" t="str">
        <f t="shared" si="96"/>
        <v>Error?</v>
      </c>
      <c r="E6266" s="2" t="s">
        <v>190</v>
      </c>
    </row>
    <row r="6267" spans="1:5" x14ac:dyDescent="0.2">
      <c r="A6267">
        <v>6206</v>
      </c>
      <c r="B6267" s="138">
        <f>'Acct Summary 7-8'!C82</f>
        <v>553922</v>
      </c>
      <c r="D6267" s="2" t="str">
        <f t="shared" si="96"/>
        <v>Error?</v>
      </c>
      <c r="E6267" s="2" t="s">
        <v>190</v>
      </c>
    </row>
    <row r="6268" spans="1:5" x14ac:dyDescent="0.2">
      <c r="A6268">
        <v>6207</v>
      </c>
      <c r="B6268" s="138">
        <f>'Acct Summary 7-8'!D82</f>
        <v>-74801</v>
      </c>
      <c r="D6268" s="2" t="str">
        <f t="shared" si="96"/>
        <v>Error?</v>
      </c>
      <c r="E6268" s="2" t="s">
        <v>190</v>
      </c>
    </row>
    <row r="6269" spans="1:5" x14ac:dyDescent="0.2">
      <c r="A6269">
        <v>6208</v>
      </c>
      <c r="B6269" s="138">
        <f>'Acct Summary 7-8'!E82</f>
        <v>-564313</v>
      </c>
      <c r="D6269" s="2" t="str">
        <f t="shared" si="96"/>
        <v>Error?</v>
      </c>
      <c r="E6269" s="2" t="s">
        <v>190</v>
      </c>
    </row>
    <row r="6270" spans="1:5" x14ac:dyDescent="0.2">
      <c r="A6270">
        <v>6209</v>
      </c>
      <c r="B6270" s="138">
        <f>'Acct Summary 7-8'!F82</f>
        <v>-53469</v>
      </c>
      <c r="D6270" s="2" t="str">
        <f t="shared" si="96"/>
        <v>Error?</v>
      </c>
      <c r="E6270" s="2" t="s">
        <v>190</v>
      </c>
    </row>
    <row r="6271" spans="1:5" x14ac:dyDescent="0.2">
      <c r="A6271">
        <v>6210</v>
      </c>
      <c r="B6271" s="138">
        <f>'Acct Summary 7-8'!G82</f>
        <v>-1386</v>
      </c>
      <c r="D6271" s="2" t="str">
        <f t="shared" ref="D6271:D6334" si="97">IF(ISBLANK(B6271),"OK",IF(A6271-B6271=0,"OK","Error?"))</f>
        <v>Error?</v>
      </c>
      <c r="E6271" s="2" t="s">
        <v>190</v>
      </c>
    </row>
    <row r="6272" spans="1:5" x14ac:dyDescent="0.2">
      <c r="A6272">
        <v>6211</v>
      </c>
      <c r="B6272" s="138">
        <f>'Acct Summary 7-8'!H82</f>
        <v>-3285363</v>
      </c>
      <c r="D6272" s="2" t="str">
        <f t="shared" si="97"/>
        <v>Error?</v>
      </c>
      <c r="E6272" s="2" t="s">
        <v>190</v>
      </c>
    </row>
    <row r="6273" spans="1:5" x14ac:dyDescent="0.2">
      <c r="A6273">
        <v>6212</v>
      </c>
      <c r="B6273" s="138">
        <f>'Acct Summary 7-8'!I82</f>
        <v>76232</v>
      </c>
      <c r="D6273" s="2" t="str">
        <f t="shared" si="97"/>
        <v>Error?</v>
      </c>
      <c r="E6273" s="2" t="s">
        <v>190</v>
      </c>
    </row>
    <row r="6274" spans="1:5" x14ac:dyDescent="0.2">
      <c r="A6274">
        <v>6213</v>
      </c>
      <c r="B6274" s="138">
        <f>'Acct Summary 7-8'!J82</f>
        <v>3400</v>
      </c>
      <c r="D6274" s="2" t="str">
        <f t="shared" si="97"/>
        <v>Error?</v>
      </c>
      <c r="E6274" s="2" t="s">
        <v>190</v>
      </c>
    </row>
    <row r="6275" spans="1:5" x14ac:dyDescent="0.2">
      <c r="A6275">
        <v>6214</v>
      </c>
      <c r="B6275" s="138">
        <f>'Acct Summary 7-8'!K82</f>
        <v>-134674</v>
      </c>
      <c r="D6275" s="2" t="str">
        <f t="shared" si="97"/>
        <v>Error?</v>
      </c>
      <c r="E6275" s="2" t="s">
        <v>190</v>
      </c>
    </row>
    <row r="6276" spans="1:5" x14ac:dyDescent="0.2">
      <c r="A6276">
        <v>6215</v>
      </c>
      <c r="B6276" s="138">
        <f>'Acct Summary 7-8'!C83</f>
        <v>0.29527766405676953</v>
      </c>
      <c r="D6276" s="2" t="str">
        <f t="shared" si="97"/>
        <v>Error?</v>
      </c>
      <c r="E6276" s="2" t="s">
        <v>190</v>
      </c>
    </row>
    <row r="6277" spans="1:5" x14ac:dyDescent="0.2">
      <c r="A6277">
        <v>6216</v>
      </c>
      <c r="B6277" s="138">
        <f>'Acct Summary 7-8'!D83</f>
        <v>-0.19725169824058056</v>
      </c>
      <c r="D6277" s="2" t="str">
        <f t="shared" si="97"/>
        <v>Error?</v>
      </c>
      <c r="E6277" s="2" t="s">
        <v>190</v>
      </c>
    </row>
    <row r="6278" spans="1:5" x14ac:dyDescent="0.2">
      <c r="A6278">
        <v>6217</v>
      </c>
      <c r="B6278" s="138">
        <f>'Acct Summary 7-8'!E83</f>
        <v>-3.8889440206192671</v>
      </c>
      <c r="D6278" s="2" t="str">
        <f t="shared" si="97"/>
        <v>Error?</v>
      </c>
      <c r="E6278" s="2" t="s">
        <v>190</v>
      </c>
    </row>
    <row r="6279" spans="1:5" x14ac:dyDescent="0.2">
      <c r="A6279">
        <v>6218</v>
      </c>
      <c r="B6279" s="138">
        <f>'Acct Summary 7-8'!F83</f>
        <v>-0.20491074508120702</v>
      </c>
      <c r="D6279" s="2" t="str">
        <f t="shared" si="97"/>
        <v>Error?</v>
      </c>
      <c r="E6279" s="2" t="s">
        <v>190</v>
      </c>
    </row>
    <row r="6280" spans="1:5" x14ac:dyDescent="0.2">
      <c r="A6280">
        <v>6219</v>
      </c>
      <c r="B6280" s="138">
        <f>'Acct Summary 7-8'!G83</f>
        <v>-1.03763485135469E-2</v>
      </c>
      <c r="D6280" s="2" t="str">
        <f t="shared" si="97"/>
        <v>Error?</v>
      </c>
      <c r="E6280" s="2" t="s">
        <v>190</v>
      </c>
    </row>
    <row r="6281" spans="1:5" x14ac:dyDescent="0.2">
      <c r="A6281">
        <v>6220</v>
      </c>
      <c r="B6281" s="138">
        <f>'Acct Summary 7-8'!H83</f>
        <v>-14.814146961744495</v>
      </c>
      <c r="D6281" s="2" t="str">
        <f t="shared" si="97"/>
        <v>Error?</v>
      </c>
      <c r="E6281" s="2" t="s">
        <v>190</v>
      </c>
    </row>
    <row r="6282" spans="1:5" x14ac:dyDescent="0.2">
      <c r="A6282">
        <v>6221</v>
      </c>
      <c r="B6282" s="138">
        <f>'Acct Summary 7-8'!I83</f>
        <v>7.3242955006197097E-2</v>
      </c>
      <c r="D6282" s="2" t="str">
        <f t="shared" si="97"/>
        <v>Error?</v>
      </c>
      <c r="E6282" s="2" t="s">
        <v>190</v>
      </c>
    </row>
    <row r="6283" spans="1:5" x14ac:dyDescent="0.2">
      <c r="A6283">
        <v>6222</v>
      </c>
      <c r="B6283" s="138">
        <f>'Acct Summary 7-8'!J83</f>
        <v>1.5755986116195764E-2</v>
      </c>
      <c r="D6283" s="2" t="str">
        <f t="shared" si="97"/>
        <v>Error?</v>
      </c>
      <c r="E6283" s="2" t="s">
        <v>190</v>
      </c>
    </row>
    <row r="6284" spans="1:5" x14ac:dyDescent="0.2">
      <c r="A6284">
        <v>6223</v>
      </c>
      <c r="B6284" s="138">
        <f>'Acct Summary 7-8'!K83</f>
        <v>-0.71874049366244164</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328992</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328992</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5399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5399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96294</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15277</v>
      </c>
      <c r="D6339" s="2" t="str">
        <f t="shared" si="98"/>
        <v>Error?</v>
      </c>
      <c r="E6339" s="2" t="s">
        <v>190</v>
      </c>
    </row>
    <row r="6340" spans="1:5" x14ac:dyDescent="0.2">
      <c r="A6340">
        <v>6279</v>
      </c>
      <c r="B6340" s="138">
        <f>'Revenues 9-14'!C102</f>
        <v>4176</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334391</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73414</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96400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51613</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210460</v>
      </c>
      <c r="D6880" s="2" t="str">
        <f t="shared" si="106"/>
        <v>Error?</v>
      </c>
    </row>
    <row r="6881" spans="1:4" x14ac:dyDescent="0.2">
      <c r="A6881">
        <v>6820</v>
      </c>
      <c r="B6881" s="138">
        <f>'Expenditures 15-22'!K22</f>
        <v>210460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330991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334391</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3831</v>
      </c>
      <c r="D7073" s="2" t="str">
        <f t="shared" si="109"/>
        <v>Error?</v>
      </c>
    </row>
    <row r="7074" spans="1:4" x14ac:dyDescent="0.2">
      <c r="A7074">
        <v>7013</v>
      </c>
      <c r="B7074" s="138">
        <f>'Expenditures 15-22'!K216</f>
        <v>3831</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561</v>
      </c>
      <c r="D7079" s="2" t="str">
        <f t="shared" si="109"/>
        <v>Error?</v>
      </c>
    </row>
    <row r="7080" spans="1:4" x14ac:dyDescent="0.2">
      <c r="A7080">
        <v>7019</v>
      </c>
      <c r="B7080" s="138">
        <f>'Expenditures 15-22'!K226</f>
        <v>561</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13320</v>
      </c>
      <c r="D7093" s="2" t="str">
        <f t="shared" si="109"/>
        <v>Error?</v>
      </c>
    </row>
    <row r="7094" spans="1:4" x14ac:dyDescent="0.2">
      <c r="A7094">
        <v>7033</v>
      </c>
      <c r="B7094" s="138">
        <f>'Expenditures 15-22'!K254</f>
        <v>13320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110871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110871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165246</v>
      </c>
      <c r="D7172" s="2" t="str">
        <f t="shared" si="111"/>
        <v>Error?</v>
      </c>
    </row>
    <row r="7173" spans="1:4" x14ac:dyDescent="0.2">
      <c r="A7173">
        <v>7112</v>
      </c>
      <c r="B7173" s="138">
        <f>'Expenditures 15-22'!D325</f>
        <v>12170</v>
      </c>
      <c r="D7173" s="2" t="str">
        <f t="shared" si="111"/>
        <v>Error?</v>
      </c>
    </row>
    <row r="7174" spans="1:4" x14ac:dyDescent="0.2">
      <c r="A7174">
        <v>7113</v>
      </c>
      <c r="B7174" s="138">
        <f>'Expenditures 15-22'!E325</f>
        <v>3000</v>
      </c>
      <c r="D7174" s="2" t="str">
        <f t="shared" si="111"/>
        <v>Error?</v>
      </c>
    </row>
    <row r="7175" spans="1:4" x14ac:dyDescent="0.2">
      <c r="A7175">
        <v>7114</v>
      </c>
      <c r="B7175" s="138">
        <f>'Expenditures 15-22'!F325</f>
        <v>1525</v>
      </c>
      <c r="D7175" s="2" t="str">
        <f t="shared" si="111"/>
        <v>Error?</v>
      </c>
    </row>
    <row r="7176" spans="1:4" x14ac:dyDescent="0.2">
      <c r="A7176">
        <v>7115</v>
      </c>
      <c r="B7176" s="138">
        <f>'Expenditures 15-22'!G325</f>
        <v>27417</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209358</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10762</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10762</v>
      </c>
      <c r="D7198" s="2" t="str">
        <f t="shared" si="111"/>
        <v>Error?</v>
      </c>
    </row>
    <row r="7199" spans="1:4" x14ac:dyDescent="0.2">
      <c r="A7199">
        <v>7138</v>
      </c>
      <c r="B7199" s="138">
        <f>'Expenditures 15-22'!C330</f>
        <v>165246</v>
      </c>
      <c r="D7199" s="2" t="str">
        <f t="shared" si="111"/>
        <v>Error?</v>
      </c>
    </row>
    <row r="7200" spans="1:4" x14ac:dyDescent="0.2">
      <c r="A7200">
        <v>7139</v>
      </c>
      <c r="B7200" s="138">
        <f>'Expenditures 15-22'!D330</f>
        <v>12170</v>
      </c>
      <c r="D7200" s="2" t="str">
        <f t="shared" si="111"/>
        <v>Error?</v>
      </c>
    </row>
    <row r="7201" spans="1:4" x14ac:dyDescent="0.2">
      <c r="A7201">
        <v>7140</v>
      </c>
      <c r="B7201" s="138">
        <f>'Expenditures 15-22'!E330</f>
        <v>124633</v>
      </c>
      <c r="D7201" s="2" t="str">
        <f t="shared" si="111"/>
        <v>Error?</v>
      </c>
    </row>
    <row r="7202" spans="1:4" x14ac:dyDescent="0.2">
      <c r="A7202">
        <v>7141</v>
      </c>
      <c r="B7202" s="138">
        <f>'Expenditures 15-22'!F330</f>
        <v>1525</v>
      </c>
      <c r="D7202" s="2" t="str">
        <f t="shared" si="111"/>
        <v>Error?</v>
      </c>
    </row>
    <row r="7203" spans="1:4" x14ac:dyDescent="0.2">
      <c r="A7203">
        <v>7142</v>
      </c>
      <c r="B7203" s="138">
        <f>'Expenditures 15-22'!G330</f>
        <v>27417</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330991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165246</v>
      </c>
      <c r="D7216" s="2" t="str">
        <f t="shared" si="111"/>
        <v>Error?</v>
      </c>
    </row>
    <row r="7217" spans="1:4" x14ac:dyDescent="0.2">
      <c r="A7217">
        <v>7156</v>
      </c>
      <c r="B7217" s="138">
        <f>'Expenditures 15-22'!D342</f>
        <v>12170</v>
      </c>
      <c r="D7217" s="2" t="str">
        <f t="shared" si="111"/>
        <v>Error?</v>
      </c>
    </row>
    <row r="7218" spans="1:4" x14ac:dyDescent="0.2">
      <c r="A7218">
        <v>7157</v>
      </c>
      <c r="B7218" s="138">
        <f>'Expenditures 15-22'!E342</f>
        <v>124633</v>
      </c>
      <c r="D7218" s="2" t="str">
        <f t="shared" si="111"/>
        <v>Error?</v>
      </c>
    </row>
    <row r="7219" spans="1:4" x14ac:dyDescent="0.2">
      <c r="A7219">
        <v>7158</v>
      </c>
      <c r="B7219" s="138">
        <f>'Expenditures 15-22'!F342</f>
        <v>1525</v>
      </c>
      <c r="D7219" s="2" t="str">
        <f t="shared" si="111"/>
        <v>Error?</v>
      </c>
    </row>
    <row r="7220" spans="1:4" x14ac:dyDescent="0.2">
      <c r="A7220">
        <v>7159</v>
      </c>
      <c r="B7220" s="138">
        <f>'Expenditures 15-22'!G342</f>
        <v>27417</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330991</v>
      </c>
      <c r="D7224" s="2" t="str">
        <f t="shared" si="111"/>
        <v>Error?</v>
      </c>
    </row>
    <row r="7225" spans="1:4" x14ac:dyDescent="0.2">
      <c r="A7225">
        <v>7164</v>
      </c>
      <c r="B7225" s="138">
        <f>'Expenditures 15-22'!K343</f>
        <v>3400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17996</v>
      </c>
      <c r="D7246" s="2" t="str">
        <f t="shared" si="112"/>
        <v>Error?</v>
      </c>
    </row>
    <row r="7247" spans="1:4" x14ac:dyDescent="0.2">
      <c r="A7247">
        <f t="shared" si="113"/>
        <v>7186</v>
      </c>
      <c r="B7247" s="138">
        <f>'Expenditures 15-22'!E7</f>
        <v>1000</v>
      </c>
      <c r="D7247" s="2" t="str">
        <f t="shared" si="112"/>
        <v>Error?</v>
      </c>
    </row>
    <row r="7248" spans="1:4" x14ac:dyDescent="0.2">
      <c r="A7248">
        <f t="shared" si="113"/>
        <v>7187</v>
      </c>
      <c r="B7248" s="138">
        <f>'Expenditures 15-22'!F7</f>
        <v>3990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39984</v>
      </c>
      <c r="D7263" s="2" t="str">
        <f t="shared" si="112"/>
        <v>Error?</v>
      </c>
    </row>
    <row r="7264" spans="1:4" x14ac:dyDescent="0.2">
      <c r="A7264">
        <f t="shared" si="113"/>
        <v>7203</v>
      </c>
      <c r="B7264" s="138">
        <f>'Expenditures 15-22'!D17</f>
        <v>11250</v>
      </c>
      <c r="D7264" s="2" t="str">
        <f t="shared" si="112"/>
        <v>Error?</v>
      </c>
    </row>
    <row r="7265" spans="1:5" x14ac:dyDescent="0.2">
      <c r="A7265">
        <f t="shared" si="113"/>
        <v>7204</v>
      </c>
      <c r="B7265" s="138">
        <f>'Expenditures 15-22'!E17</f>
        <v>372</v>
      </c>
      <c r="D7265" s="2" t="str">
        <f t="shared" si="112"/>
        <v>Error?</v>
      </c>
    </row>
    <row r="7266" spans="1:5" x14ac:dyDescent="0.2">
      <c r="A7266">
        <f t="shared" si="113"/>
        <v>7205</v>
      </c>
      <c r="B7266" s="138">
        <f>'Expenditures 15-22'!F17</f>
        <v>7</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33428</v>
      </c>
      <c r="D7615" s="2" t="str">
        <f t="shared" ref="D7615:D7678" si="124">IF(ISBLANK(B7615),"OK",IF(A7615-B7615=0,"OK","Error?"))</f>
        <v>Error?</v>
      </c>
      <c r="E7615" s="2" t="s">
        <v>19</v>
      </c>
    </row>
    <row r="7616" spans="1:5" x14ac:dyDescent="0.2">
      <c r="A7616">
        <f t="shared" si="123"/>
        <v>7555</v>
      </c>
      <c r="B7616" s="138">
        <f>'Cap Outlay Deprec 26'!D14</f>
        <v>14214</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47642</v>
      </c>
      <c r="D7618" s="2" t="str">
        <f t="shared" si="124"/>
        <v>Error?</v>
      </c>
      <c r="E7618" s="2" t="s">
        <v>19</v>
      </c>
    </row>
    <row r="7619" spans="1:5" x14ac:dyDescent="0.2">
      <c r="A7619">
        <f t="shared" si="123"/>
        <v>7558</v>
      </c>
      <c r="B7619" s="138">
        <f>'Cap Outlay Deprec 26'!H14</f>
        <v>26372</v>
      </c>
      <c r="D7619" s="2" t="str">
        <f t="shared" si="124"/>
        <v>Error?</v>
      </c>
      <c r="E7619" s="2" t="s">
        <v>19</v>
      </c>
    </row>
    <row r="7620" spans="1:5" x14ac:dyDescent="0.2">
      <c r="A7620">
        <f t="shared" si="123"/>
        <v>7559</v>
      </c>
      <c r="B7620" s="138">
        <f>'Cap Outlay Deprec 26'!I14</f>
        <v>5336</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31708</v>
      </c>
      <c r="D7622" s="2" t="str">
        <f t="shared" si="124"/>
        <v>Error?</v>
      </c>
      <c r="E7622" s="2" t="s">
        <v>19</v>
      </c>
    </row>
    <row r="7623" spans="1:5" x14ac:dyDescent="0.2">
      <c r="A7623">
        <f t="shared" si="123"/>
        <v>7562</v>
      </c>
      <c r="B7623" s="138">
        <f>'Cap Outlay Deprec 26'!L14</f>
        <v>15934</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691809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15277</v>
      </c>
      <c r="D7712" s="2" t="str">
        <f t="shared" si="126"/>
        <v>Error?</v>
      </c>
      <c r="E7712" s="2" t="s">
        <v>827</v>
      </c>
    </row>
    <row r="7713" spans="1:6" x14ac:dyDescent="0.2">
      <c r="A7713">
        <v>7652</v>
      </c>
      <c r="B7713" s="138">
        <f>'Rest Tax Levies-Tort Im 25'!J8</f>
        <v>5435</v>
      </c>
      <c r="D7713" s="2" t="str">
        <f t="shared" si="126"/>
        <v>Error?</v>
      </c>
      <c r="E7713" s="2" t="s">
        <v>827</v>
      </c>
    </row>
    <row r="7714" spans="1:6" x14ac:dyDescent="0.2">
      <c r="A7714">
        <v>7653</v>
      </c>
      <c r="B7714" s="138">
        <f>'Rest Tax Levies-Tort Im 25'!K9</f>
        <v>13203</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5435</v>
      </c>
      <c r="D7718" s="2" t="str">
        <f t="shared" si="126"/>
        <v>Error?</v>
      </c>
      <c r="E7718" s="2" t="s">
        <v>827</v>
      </c>
    </row>
    <row r="7719" spans="1:6" x14ac:dyDescent="0.2">
      <c r="A7719">
        <v>7658</v>
      </c>
      <c r="B7719" s="138">
        <f>'Rest Tax Levies-Tort Im 25'!K12</f>
        <v>28480</v>
      </c>
      <c r="D7719" s="2" t="str">
        <f t="shared" si="126"/>
        <v>Error?</v>
      </c>
      <c r="E7719" s="2" t="s">
        <v>827</v>
      </c>
    </row>
    <row r="7720" spans="1:6" x14ac:dyDescent="0.2">
      <c r="A7720">
        <v>7659</v>
      </c>
      <c r="B7720" s="138">
        <f>'Rest Tax Levies-Tort Im 25'!H14</f>
        <v>47573</v>
      </c>
      <c r="D7720" s="2" t="str">
        <f t="shared" si="126"/>
        <v>Error?</v>
      </c>
      <c r="E7720" s="2" t="s">
        <v>827</v>
      </c>
    </row>
    <row r="7721" spans="1:6" x14ac:dyDescent="0.2">
      <c r="A7721">
        <v>7660</v>
      </c>
      <c r="B7721" s="138">
        <f>'Rest Tax Levies-Tort Im 25'!K14</f>
        <v>28480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5435</v>
      </c>
      <c r="D7731" s="2" t="str">
        <f t="shared" si="126"/>
        <v>Error?</v>
      </c>
      <c r="E7731" s="2" t="s">
        <v>827</v>
      </c>
    </row>
    <row r="7732" spans="1:6" x14ac:dyDescent="0.2">
      <c r="A7732">
        <v>7671</v>
      </c>
      <c r="B7732" s="138">
        <f>'Rest Tax Levies-Tort Im 25'!J24</f>
        <v>5435</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5435</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433339</v>
      </c>
      <c r="D7797" s="2" t="str">
        <f t="shared" si="127"/>
        <v>Error?</v>
      </c>
      <c r="E7797" s="4" t="s">
        <v>1904</v>
      </c>
    </row>
    <row r="7798" spans="1:5" x14ac:dyDescent="0.2">
      <c r="A7798">
        <v>7737</v>
      </c>
      <c r="B7798" s="138">
        <f>'Contracts Paid in CY 29'!F141</f>
        <v>184544</v>
      </c>
      <c r="D7798" s="2" t="str">
        <f t="shared" si="127"/>
        <v>Error?</v>
      </c>
      <c r="E7798" s="4" t="s">
        <v>1904</v>
      </c>
    </row>
    <row r="7799" spans="1:5" x14ac:dyDescent="0.2">
      <c r="A7799">
        <v>7738</v>
      </c>
      <c r="B7799" s="138">
        <f>'Contracts Paid in CY 29'!G141</f>
        <v>248795</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1191</v>
      </c>
      <c r="B2" s="2408"/>
      <c r="C2" s="2408"/>
      <c r="D2" s="2408"/>
      <c r="E2" s="2408"/>
      <c r="F2" s="2408"/>
      <c r="G2" s="2408"/>
      <c r="H2" s="2408"/>
      <c r="I2" s="2408"/>
      <c r="J2" s="2408"/>
      <c r="K2" s="2408"/>
      <c r="L2" s="2408"/>
    </row>
    <row r="3" spans="1:29" ht="13.5" customHeight="1" x14ac:dyDescent="0.2">
      <c r="A3" s="2394" t="s">
        <v>1190</v>
      </c>
      <c r="B3" s="2394"/>
      <c r="C3" s="2394"/>
      <c r="D3" s="2394"/>
      <c r="E3" s="2394"/>
      <c r="F3" s="2394"/>
      <c r="G3" s="2394"/>
      <c r="H3" s="2394"/>
      <c r="I3" s="2394"/>
      <c r="J3" s="2394"/>
      <c r="K3" s="2394"/>
      <c r="L3" s="2394"/>
    </row>
    <row r="4" spans="1:29" ht="13.5" customHeight="1" x14ac:dyDescent="0.2">
      <c r="A4" s="2408" t="s">
        <v>1989</v>
      </c>
      <c r="B4" s="2425"/>
      <c r="C4" s="2425"/>
      <c r="D4" s="2425"/>
      <c r="E4" s="2425"/>
      <c r="F4" s="2425"/>
      <c r="G4" s="2425"/>
      <c r="H4" s="2425"/>
      <c r="I4" s="2425"/>
      <c r="J4" s="2425"/>
      <c r="K4" s="2425"/>
      <c r="L4" s="242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8" t="str">
        <f>COVER!A17</f>
        <v>Deer Creek-Mackinaw CUSD 701</v>
      </c>
      <c r="B7" s="2389"/>
      <c r="C7" s="2389"/>
      <c r="D7" s="2426"/>
      <c r="E7" s="2427">
        <f>COVER!A13</f>
        <v>53090701026</v>
      </c>
      <c r="F7" s="2428"/>
      <c r="G7" s="2395" t="str">
        <f>COVER!T23</f>
        <v>066-004355</v>
      </c>
      <c r="H7" s="2396"/>
      <c r="I7" s="2396"/>
      <c r="J7" s="2396"/>
      <c r="K7" s="2396"/>
      <c r="L7" s="239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8"/>
      <c r="B9" s="2399"/>
      <c r="C9" s="2399"/>
      <c r="D9" s="2399"/>
      <c r="E9" s="2399"/>
      <c r="F9" s="2400"/>
      <c r="G9" s="2401" t="str">
        <f>COVER!T13</f>
        <v>Phillips, Salmi &amp; Associates, LLC</v>
      </c>
      <c r="H9" s="2402"/>
      <c r="I9" s="2402"/>
      <c r="J9" s="2402"/>
      <c r="K9" s="2402"/>
      <c r="L9" s="2403"/>
    </row>
    <row r="10" spans="1:29" ht="13.5" customHeight="1" x14ac:dyDescent="0.2">
      <c r="A10" s="2385" t="str">
        <f>COVER!A38</f>
        <v>Mrs. Michele Jacobs</v>
      </c>
      <c r="B10" s="2386"/>
      <c r="C10" s="2386"/>
      <c r="D10" s="2386"/>
      <c r="E10" s="2386"/>
      <c r="F10" s="2387"/>
      <c r="G10" s="2401" t="str">
        <f>COVER!T17</f>
        <v>112 S Main Street</v>
      </c>
      <c r="H10" s="2414"/>
      <c r="I10" s="2414"/>
      <c r="J10" s="2414"/>
      <c r="K10" s="2414"/>
      <c r="L10" s="2415"/>
    </row>
    <row r="11" spans="1:29" ht="13.5" customHeight="1" x14ac:dyDescent="0.2">
      <c r="A11" s="1184" t="s">
        <v>1519</v>
      </c>
      <c r="B11" s="1185"/>
      <c r="C11" s="1186"/>
      <c r="D11" s="1191"/>
      <c r="E11" s="1186"/>
      <c r="F11" s="1190"/>
      <c r="G11" s="2401" t="str">
        <f>COVER!T19</f>
        <v>Washington</v>
      </c>
      <c r="H11" s="2414"/>
      <c r="I11" s="2414"/>
      <c r="J11" s="2414"/>
      <c r="K11" s="2414"/>
      <c r="L11" s="2415"/>
    </row>
    <row r="12" spans="1:29" ht="13.5" customHeight="1" x14ac:dyDescent="0.2">
      <c r="A12" s="2419" t="s">
        <v>1518</v>
      </c>
      <c r="B12" s="2420"/>
      <c r="C12" s="2420"/>
      <c r="D12" s="2420"/>
      <c r="E12" s="2420"/>
      <c r="F12" s="2421"/>
      <c r="G12" s="2416"/>
      <c r="H12" s="2417"/>
      <c r="I12" s="2417"/>
      <c r="J12" s="2417"/>
      <c r="K12" s="2417"/>
      <c r="L12" s="2418"/>
    </row>
    <row r="13" spans="1:29" ht="13.5" customHeight="1" x14ac:dyDescent="0.2">
      <c r="A13" s="2401"/>
      <c r="B13" s="2414"/>
      <c r="C13" s="2414"/>
      <c r="D13" s="2414"/>
      <c r="E13" s="2414"/>
      <c r="F13" s="2415"/>
      <c r="G13" s="2409" t="s">
        <v>1520</v>
      </c>
      <c r="H13" s="2410"/>
      <c r="I13" s="2422" t="str">
        <f>COVER!T25</f>
        <v>lsalmi@psa-cpa.com</v>
      </c>
      <c r="J13" s="2423"/>
      <c r="K13" s="2423"/>
      <c r="L13" s="2424"/>
    </row>
    <row r="14" spans="1:29" ht="13.5" customHeight="1" x14ac:dyDescent="0.2">
      <c r="A14" s="2401" t="str">
        <f>COVER!A19</f>
        <v>401 East Fifth Street</v>
      </c>
      <c r="B14" s="2414"/>
      <c r="C14" s="2414"/>
      <c r="D14" s="2414"/>
      <c r="E14" s="2414"/>
      <c r="F14" s="2415"/>
      <c r="G14" s="1195" t="s">
        <v>1185</v>
      </c>
      <c r="H14" s="1193"/>
      <c r="I14" s="1193"/>
      <c r="J14" s="1193"/>
      <c r="K14" s="1193"/>
      <c r="L14" s="1194"/>
    </row>
    <row r="15" spans="1:29" ht="13.5" customHeight="1" x14ac:dyDescent="0.2">
      <c r="A15" s="2401" t="str">
        <f>COVER!A21</f>
        <v>Mackinaw</v>
      </c>
      <c r="B15" s="2414"/>
      <c r="C15" s="2414"/>
      <c r="D15" s="2414"/>
      <c r="E15" s="2414"/>
      <c r="F15" s="2415"/>
      <c r="G15" s="2411" t="str">
        <f>COVER!T15</f>
        <v>Lori Salmi</v>
      </c>
      <c r="H15" s="2412"/>
      <c r="I15" s="2412"/>
      <c r="J15" s="2412"/>
      <c r="K15" s="2412"/>
      <c r="L15" s="2413"/>
    </row>
    <row r="16" spans="1:29" ht="12.2" customHeight="1" x14ac:dyDescent="0.2">
      <c r="A16" s="2391">
        <f>COVER!A25</f>
        <v>61755</v>
      </c>
      <c r="B16" s="2392"/>
      <c r="C16" s="2392"/>
      <c r="D16" s="2392"/>
      <c r="E16" s="2392"/>
      <c r="F16" s="2393"/>
      <c r="G16" s="2404"/>
      <c r="H16" s="2405"/>
      <c r="I16" s="2405"/>
      <c r="J16" s="2405"/>
      <c r="K16" s="2405"/>
      <c r="L16" s="2406"/>
    </row>
    <row r="17" spans="1:13" ht="12.2" customHeight="1" x14ac:dyDescent="0.2">
      <c r="A17" s="2407"/>
      <c r="B17" s="2392"/>
      <c r="C17" s="2392"/>
      <c r="D17" s="2392"/>
      <c r="E17" s="2392"/>
      <c r="F17" s="2393"/>
      <c r="G17" s="1195" t="s">
        <v>1184</v>
      </c>
      <c r="H17" s="1193"/>
      <c r="I17" s="1193"/>
      <c r="J17" s="1193"/>
      <c r="K17" s="1197" t="s">
        <v>1183</v>
      </c>
      <c r="L17" s="1190"/>
      <c r="M17" s="1183"/>
    </row>
    <row r="18" spans="1:13" ht="12.2" customHeight="1" x14ac:dyDescent="0.2">
      <c r="A18" s="2385"/>
      <c r="B18" s="2386"/>
      <c r="C18" s="2386"/>
      <c r="D18" s="2386"/>
      <c r="E18" s="2386"/>
      <c r="F18" s="2387"/>
      <c r="G18" s="2388" t="str">
        <f>COVER!T21</f>
        <v>(309) 444-4909</v>
      </c>
      <c r="H18" s="2389"/>
      <c r="I18" s="2389"/>
      <c r="J18" s="2389"/>
      <c r="K18" s="2388" t="str">
        <f>COVER!X21</f>
        <v>(309) 444-8580</v>
      </c>
      <c r="L18" s="239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topLeftCell="A4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Deer Creek-Mackinaw CUSD 701</v>
      </c>
      <c r="B1" s="2425"/>
      <c r="C1" s="2425"/>
      <c r="D1" s="2425"/>
    </row>
    <row r="2" spans="1:11" s="1212" customFormat="1" ht="12.75" x14ac:dyDescent="0.2">
      <c r="A2" s="2430">
        <f>'Single Audit Cover'!E7</f>
        <v>53090701026</v>
      </c>
      <c r="B2" s="2431"/>
      <c r="C2" s="2431"/>
      <c r="D2" s="2431"/>
    </row>
    <row r="3" spans="1:11" s="1212" customFormat="1" ht="12.75" x14ac:dyDescent="0.2">
      <c r="A3" s="2429" t="s">
        <v>1513</v>
      </c>
      <c r="B3" s="2425"/>
      <c r="C3" s="2425"/>
      <c r="D3" s="2425"/>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Deer Creek-Mackinaw CUSD 701</v>
      </c>
      <c r="B1" s="2433"/>
      <c r="C1" s="2433"/>
      <c r="D1" s="2433"/>
      <c r="E1" s="2433"/>
    </row>
    <row r="2" spans="1:5" x14ac:dyDescent="0.2">
      <c r="A2" s="2434">
        <f>'Single Audit Cover'!E7</f>
        <v>53090701026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375747</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32903</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-63110</v>
      </c>
    </row>
    <row r="19" spans="1:4" ht="13.5" thickBot="1" x14ac:dyDescent="0.25">
      <c r="A19" s="1262" t="s">
        <v>1235</v>
      </c>
      <c r="D19" s="1263">
        <f>SUM(D10:D17)</f>
        <v>345540</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345540</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345540</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4" t="str">
        <f>'Single Audit Cover'!A7</f>
        <v>Deer Creek-Mackinaw CUSD 701</v>
      </c>
      <c r="C1" s="2437"/>
      <c r="D1" s="2437"/>
      <c r="E1" s="2437"/>
      <c r="F1" s="2437"/>
      <c r="G1" s="2437"/>
      <c r="H1" s="2437"/>
      <c r="I1" s="2437"/>
      <c r="J1" s="2437"/>
      <c r="K1" s="2437"/>
      <c r="L1" s="2437"/>
      <c r="M1" s="2437"/>
    </row>
    <row r="2" spans="2:14" ht="15" x14ac:dyDescent="0.2">
      <c r="B2" s="2438">
        <f>'Single Audit Cover'!E7</f>
        <v>53090701026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28"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Deer Creek-Mackinaw CUSD 701</v>
      </c>
      <c r="B1" s="2442"/>
      <c r="C1" s="2442"/>
      <c r="D1" s="2442"/>
      <c r="E1" s="2442"/>
      <c r="F1" s="2442"/>
    </row>
    <row r="2" spans="1:7" ht="13.5" customHeight="1" x14ac:dyDescent="0.2">
      <c r="A2" s="2438">
        <f>'Single Audit Cover'!E7</f>
        <v>53090701026</v>
      </c>
      <c r="B2" s="2438"/>
      <c r="C2" s="2438"/>
      <c r="D2" s="2438"/>
      <c r="E2" s="2438"/>
      <c r="F2" s="2438"/>
      <c r="G2" s="1272"/>
    </row>
    <row r="3" spans="1:7" ht="15.75" customHeight="1" x14ac:dyDescent="0.2">
      <c r="A3" s="2443" t="s">
        <v>1271</v>
      </c>
      <c r="B3" s="2443"/>
      <c r="C3" s="2443"/>
      <c r="D3" s="2443"/>
      <c r="E3" s="2443"/>
      <c r="F3" s="2443"/>
    </row>
    <row r="4" spans="1:7" ht="13.5" customHeight="1" x14ac:dyDescent="0.2">
      <c r="A4" s="2444" t="str">
        <f>'Single Audit Cover'!A4</f>
        <v>Year Ending June 30, 2019</v>
      </c>
      <c r="B4" s="2444"/>
      <c r="C4" s="2444"/>
      <c r="D4" s="2444"/>
      <c r="E4" s="2444"/>
      <c r="F4" s="2444"/>
    </row>
    <row r="5" spans="1:7" ht="8.25" customHeight="1" x14ac:dyDescent="0.2">
      <c r="C5" s="317"/>
      <c r="D5" s="317"/>
    </row>
    <row r="6" spans="1:7" ht="13.5" customHeight="1" x14ac:dyDescent="0.2">
      <c r="A6" s="1273" t="s">
        <v>1728</v>
      </c>
      <c r="C6" s="317"/>
      <c r="D6" s="317"/>
    </row>
    <row r="7" spans="1:7" ht="60.95" customHeight="1" x14ac:dyDescent="0.2">
      <c r="A7" s="2441" t="s">
        <v>1729</v>
      </c>
      <c r="B7" s="2441"/>
      <c r="C7" s="2441"/>
      <c r="D7" s="2441"/>
      <c r="E7" s="2441"/>
      <c r="F7" s="2441"/>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1" t="s">
        <v>1731</v>
      </c>
      <c r="B13" s="2441"/>
      <c r="C13" s="2441"/>
      <c r="D13" s="2441"/>
      <c r="E13" s="2441"/>
      <c r="F13" s="2441"/>
    </row>
    <row r="14" spans="1:7" ht="9.75" customHeight="1" x14ac:dyDescent="0.2">
      <c r="C14" s="1257"/>
      <c r="D14" s="1257"/>
    </row>
    <row r="15" spans="1:7" ht="13.5" customHeight="1" x14ac:dyDescent="0.2">
      <c r="C15" s="1846" t="s">
        <v>1270</v>
      </c>
      <c r="D15" s="2446" t="s">
        <v>1269</v>
      </c>
      <c r="E15" s="2446"/>
      <c r="F15" s="2446"/>
    </row>
    <row r="16" spans="1:7" ht="13.5" customHeight="1" x14ac:dyDescent="0.2">
      <c r="A16" s="1279"/>
      <c r="B16" s="1273" t="s">
        <v>1268</v>
      </c>
      <c r="C16" s="1846" t="s">
        <v>1267</v>
      </c>
      <c r="D16" s="2447" t="s">
        <v>1588</v>
      </c>
      <c r="E16" s="2447"/>
      <c r="F16" s="2447"/>
    </row>
    <row r="17" spans="1:6" ht="20.45" customHeight="1" x14ac:dyDescent="0.2">
      <c r="A17" s="1280"/>
      <c r="B17" s="1281"/>
      <c r="C17" s="1282"/>
      <c r="D17" s="2445"/>
      <c r="E17" s="2445"/>
      <c r="F17" s="2445"/>
    </row>
    <row r="18" spans="1:6" ht="20.65" customHeight="1" x14ac:dyDescent="0.2">
      <c r="A18" s="1280"/>
      <c r="B18" s="1281"/>
      <c r="C18" s="1282"/>
      <c r="D18" s="2445"/>
      <c r="E18" s="2445"/>
      <c r="F18" s="2445"/>
    </row>
    <row r="19" spans="1:6" ht="20.65" customHeight="1" x14ac:dyDescent="0.2">
      <c r="A19" s="1280"/>
      <c r="B19" s="1281"/>
      <c r="C19" s="1282"/>
      <c r="D19" s="2445"/>
      <c r="E19" s="2445"/>
      <c r="F19" s="2445"/>
    </row>
    <row r="20" spans="1:6" ht="20.65" customHeight="1" x14ac:dyDescent="0.2">
      <c r="A20" s="1280"/>
      <c r="B20" s="1281"/>
      <c r="C20" s="1282"/>
      <c r="D20" s="2445"/>
      <c r="E20" s="2445"/>
      <c r="F20" s="2445"/>
    </row>
    <row r="21" spans="1:6" ht="20.65" customHeight="1" x14ac:dyDescent="0.2">
      <c r="A21" s="1280"/>
      <c r="B21" s="1281"/>
      <c r="C21" s="1282"/>
      <c r="D21" s="2445"/>
      <c r="E21" s="2445"/>
      <c r="F21" s="2445"/>
    </row>
    <row r="22" spans="1:6" ht="20.65" customHeight="1" x14ac:dyDescent="0.2">
      <c r="A22" s="1280"/>
      <c r="B22" s="1281"/>
      <c r="C22" s="1282"/>
      <c r="D22" s="2445"/>
      <c r="E22" s="2445"/>
      <c r="F22" s="2445"/>
    </row>
    <row r="23" spans="1:6" ht="20.65" customHeight="1" x14ac:dyDescent="0.2">
      <c r="A23" s="1280"/>
      <c r="B23" s="1281"/>
      <c r="C23" s="1282"/>
      <c r="D23" s="2445"/>
      <c r="E23" s="2445"/>
      <c r="F23" s="2445"/>
    </row>
    <row r="24" spans="1:6" ht="20.65" customHeight="1" x14ac:dyDescent="0.2">
      <c r="A24" s="1280"/>
      <c r="B24" s="1281"/>
      <c r="C24" s="1282"/>
      <c r="D24" s="2445"/>
      <c r="E24" s="2445"/>
      <c r="F24" s="2445"/>
    </row>
    <row r="25" spans="1:6" ht="20.65" customHeight="1" x14ac:dyDescent="0.2">
      <c r="A25" s="1280"/>
      <c r="B25" s="1281"/>
      <c r="C25" s="1282"/>
      <c r="D25" s="2445"/>
      <c r="E25" s="2445"/>
      <c r="F25" s="2445"/>
    </row>
    <row r="26" spans="1:6" ht="20.65" customHeight="1" x14ac:dyDescent="0.2">
      <c r="A26" s="1280"/>
      <c r="B26" s="1281"/>
      <c r="C26" s="1282"/>
      <c r="D26" s="2445"/>
      <c r="E26" s="2445"/>
      <c r="F26" s="2445"/>
    </row>
    <row r="27" spans="1:6" ht="20.65" customHeight="1" x14ac:dyDescent="0.2">
      <c r="A27" s="1280"/>
      <c r="B27" s="1281"/>
      <c r="C27" s="1282"/>
      <c r="D27" s="2445"/>
      <c r="E27" s="2445"/>
      <c r="F27" s="2445"/>
    </row>
    <row r="28" spans="1:6" ht="20.65" customHeight="1" x14ac:dyDescent="0.2">
      <c r="A28" s="1280"/>
      <c r="B28" s="1281"/>
      <c r="C28" s="1282"/>
      <c r="D28" s="2445"/>
      <c r="E28" s="2445"/>
      <c r="F28" s="2445"/>
    </row>
    <row r="29" spans="1:6" ht="20.65" customHeight="1" x14ac:dyDescent="0.2">
      <c r="A29" s="1280"/>
      <c r="B29" s="1281"/>
      <c r="C29" s="1282"/>
      <c r="D29" s="2445"/>
      <c r="E29" s="2445"/>
      <c r="F29" s="2445"/>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9" t="s">
        <v>1732</v>
      </c>
      <c r="B32" s="2449"/>
      <c r="C32" s="2449"/>
      <c r="D32" s="2449"/>
      <c r="E32" s="2449"/>
      <c r="F32" s="2449"/>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50">
        <f>+C33+C34</f>
        <v>0</v>
      </c>
      <c r="F34" s="2451"/>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2" t="s">
        <v>1590</v>
      </c>
      <c r="C49" s="2452"/>
      <c r="D49" s="2452"/>
      <c r="E49" s="1396"/>
    </row>
    <row r="50" spans="1:5" s="1297" customFormat="1" ht="3.75" customHeight="1" x14ac:dyDescent="0.2">
      <c r="A50" s="1296"/>
      <c r="B50" s="1845"/>
      <c r="C50" s="1845"/>
      <c r="D50" s="1845"/>
      <c r="E50" s="1396"/>
    </row>
    <row r="51" spans="1:5" s="1297" customFormat="1" ht="20.25" customHeight="1" x14ac:dyDescent="0.2">
      <c r="A51" s="1298">
        <v>6</v>
      </c>
      <c r="B51" s="2448" t="s">
        <v>1551</v>
      </c>
      <c r="C51" s="2448"/>
      <c r="D51" s="2448"/>
    </row>
    <row r="52" spans="1:5" ht="14.25" customHeight="1" x14ac:dyDescent="0.2">
      <c r="A52" s="1298"/>
      <c r="B52" s="2448"/>
      <c r="C52" s="2448"/>
      <c r="D52" s="2448"/>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5"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143"/>
  <sheetViews>
    <sheetView showGridLines="0" defaultGridColor="0" topLeftCell="A101" colorId="8" zoomScale="110" zoomScaleNormal="110" workbookViewId="0">
      <selection activeCell="G118" sqref="G11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2064</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t="s">
        <v>2142</v>
      </c>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50"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3" zoomScale="110" zoomScaleNormal="110" workbookViewId="0">
      <selection activeCell="M37" sqref="M3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Deer Creek-Mackinaw CUSD 701</v>
      </c>
      <c r="C1" s="2458"/>
      <c r="D1" s="2458"/>
      <c r="E1" s="2458"/>
      <c r="F1" s="2458"/>
      <c r="G1" s="2458"/>
      <c r="H1" s="2458"/>
      <c r="I1" s="2458"/>
      <c r="J1" s="1406"/>
    </row>
    <row r="2" spans="2:10" s="317" customFormat="1" ht="12.75" customHeight="1" x14ac:dyDescent="0.2">
      <c r="B2" s="2459">
        <f>'Single Audit Cover'!E7</f>
        <v>53090701026</v>
      </c>
      <c r="C2" s="2460"/>
      <c r="D2" s="2460"/>
      <c r="E2" s="2460"/>
      <c r="F2" s="2460"/>
      <c r="G2" s="2460"/>
      <c r="H2" s="2460"/>
      <c r="I2" s="2460"/>
      <c r="J2" s="1406"/>
    </row>
    <row r="3" spans="2:10" s="317" customFormat="1" ht="12.75" customHeight="1" x14ac:dyDescent="0.2">
      <c r="B3" s="2461" t="s">
        <v>1285</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1284</v>
      </c>
      <c r="C7" s="2462"/>
      <c r="D7" s="2462"/>
      <c r="E7" s="2462"/>
      <c r="F7" s="2462"/>
      <c r="G7" s="2462"/>
      <c r="H7" s="2462"/>
      <c r="I7" s="2462"/>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3"/>
      <c r="D11" s="2463"/>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4"/>
      <c r="E29" s="2464"/>
      <c r="F29" s="2464"/>
      <c r="G29" s="2464"/>
      <c r="H29" s="2464"/>
      <c r="I29" s="2464"/>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5" t="s">
        <v>1751</v>
      </c>
      <c r="D37" s="2466"/>
      <c r="E37" s="2466"/>
      <c r="F37" s="2467"/>
      <c r="G37" s="2465" t="s">
        <v>1592</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71" t="s">
        <v>1593</v>
      </c>
      <c r="D43" s="2472"/>
      <c r="E43" s="2472"/>
      <c r="F43" s="2473"/>
      <c r="G43" s="2474">
        <f>SUM(G38:I42)</f>
        <v>0</v>
      </c>
      <c r="H43" s="2474"/>
      <c r="I43" s="2474"/>
    </row>
    <row r="44" spans="2:9" ht="12.75" customHeight="1" x14ac:dyDescent="0.2"/>
    <row r="45" spans="2:9" ht="12.75" customHeight="1" x14ac:dyDescent="0.2">
      <c r="B45" s="1419" t="s">
        <v>1841</v>
      </c>
      <c r="D45" s="2475">
        <v>0</v>
      </c>
      <c r="E45" s="247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7"/>
      <c r="F49" s="2477"/>
      <c r="G49" s="247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B29" sqref="B29:K2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Deer Creek-Mackinaw CUSD 701</v>
      </c>
      <c r="C1" s="2457"/>
      <c r="D1" s="2457"/>
      <c r="E1" s="2457"/>
      <c r="F1" s="2457"/>
      <c r="G1" s="2457"/>
      <c r="H1" s="2457"/>
      <c r="I1" s="2457"/>
      <c r="J1" s="2457"/>
      <c r="K1" s="2457"/>
      <c r="L1" s="1371"/>
      <c r="M1" s="1371"/>
    </row>
    <row r="2" spans="1:13" ht="12" customHeight="1" x14ac:dyDescent="0.2">
      <c r="B2" s="2459">
        <f>'Single Audit Cover'!E7</f>
        <v>53090701026</v>
      </c>
      <c r="C2" s="2459"/>
      <c r="D2" s="2459"/>
      <c r="E2" s="2459"/>
      <c r="F2" s="2459"/>
      <c r="G2" s="2459"/>
      <c r="H2" s="2459"/>
      <c r="I2" s="2459"/>
      <c r="J2" s="2459"/>
      <c r="K2" s="2459"/>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t="s">
        <v>2137</v>
      </c>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4" t="str">
        <f>'Single Audit Cover'!A7</f>
        <v>Deer Creek-Mackinaw CUSD 701</v>
      </c>
      <c r="C1" s="2484"/>
      <c r="D1" s="2484"/>
      <c r="E1" s="2484"/>
      <c r="F1" s="2484"/>
      <c r="G1" s="2484"/>
      <c r="H1" s="2484"/>
      <c r="I1" s="2484"/>
      <c r="J1" s="2484"/>
      <c r="K1" s="2484"/>
      <c r="L1" s="1449"/>
    </row>
    <row r="2" spans="1:12" ht="12.75" customHeight="1" x14ac:dyDescent="0.2">
      <c r="B2" s="2485">
        <f>'Single Audit Cover'!E7</f>
        <v>53090701026</v>
      </c>
      <c r="C2" s="2485"/>
      <c r="D2" s="2485"/>
      <c r="E2" s="2485"/>
      <c r="F2" s="2485"/>
      <c r="G2" s="2485"/>
      <c r="H2" s="2485"/>
      <c r="I2" s="2485"/>
      <c r="J2" s="2485"/>
      <c r="K2" s="2485"/>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6" t="s">
        <v>1308</v>
      </c>
      <c r="C6" s="2486"/>
      <c r="D6" s="2486"/>
      <c r="E6" s="2486"/>
      <c r="F6" s="2486"/>
      <c r="G6" s="2486"/>
      <c r="H6" s="2486"/>
      <c r="I6" s="2486"/>
      <c r="J6" s="2486"/>
      <c r="K6" s="2486"/>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7"/>
      <c r="E14" s="2487"/>
      <c r="F14" s="2487"/>
      <c r="H14" s="1459" t="s">
        <v>1303</v>
      </c>
      <c r="I14" s="2488"/>
      <c r="J14" s="2488"/>
      <c r="K14" s="248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8"/>
      <c r="E16" s="2488"/>
      <c r="F16" s="2488"/>
      <c r="G16" s="2488"/>
      <c r="H16" s="2488"/>
      <c r="I16" s="2488"/>
      <c r="J16" s="2488"/>
      <c r="K16" s="2488"/>
      <c r="L16" s="322"/>
    </row>
    <row r="17" spans="2:12" ht="13.5" customHeight="1" x14ac:dyDescent="0.2">
      <c r="B17" s="1384" t="s">
        <v>1301</v>
      </c>
      <c r="C17" s="1384"/>
      <c r="D17" s="2489"/>
      <c r="E17" s="2489"/>
      <c r="F17" s="2489"/>
      <c r="G17" s="2489"/>
      <c r="H17" s="2489"/>
      <c r="I17" s="2489"/>
      <c r="J17" s="2489"/>
      <c r="K17" s="248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Deer Creek-Mackinaw CUSD 701</v>
      </c>
      <c r="C1" s="2457"/>
      <c r="D1" s="2457"/>
      <c r="E1" s="1469"/>
    </row>
    <row r="2" spans="2:5" s="1279" customFormat="1" ht="12.75" customHeight="1" x14ac:dyDescent="0.2">
      <c r="B2" s="2459">
        <f>'Single Audit Cover'!E7</f>
        <v>53090701026</v>
      </c>
      <c r="C2" s="2459"/>
      <c r="D2" s="2459"/>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N72"/>
  <sheetViews>
    <sheetView showGridLines="0" defaultGridColor="0" colorId="8" zoomScale="110" zoomScaleNormal="110" workbookViewId="0">
      <selection activeCell="J31" sqref="J3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120246601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3.15E-2</v>
      </c>
      <c r="E10" s="356" t="s">
        <v>1005</v>
      </c>
      <c r="F10" s="355">
        <v>5.0000000000000001E-3</v>
      </c>
      <c r="G10" s="356" t="s">
        <v>1005</v>
      </c>
      <c r="H10" s="355">
        <v>2E-3</v>
      </c>
      <c r="I10" s="356" t="s">
        <v>1006</v>
      </c>
      <c r="J10" s="1732">
        <f>ROUND(D10+F10+H10,5)</f>
        <v>3.85E-2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10106534</v>
      </c>
      <c r="E16" s="356"/>
      <c r="F16" s="1733">
        <f>SUM('Acct Summary 7-8'!C17,'Acct Summary 7-8'!D17,'Acct Summary 7-8'!F17)</f>
        <v>9605701</v>
      </c>
      <c r="G16" s="356"/>
      <c r="H16" s="1733">
        <f>SUM(D16-F16)</f>
        <v>500833</v>
      </c>
      <c r="I16" s="222"/>
      <c r="J16" s="1733">
        <f>SUM('Acct Summary 7-8'!C81,'Acct Summary 7-8'!D81,'Acct Summary 7-8'!F81,'Acct Summary 7-8'!I81)</f>
        <v>3556900</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16594030.938000001</v>
      </c>
      <c r="I31" s="368"/>
      <c r="J31" s="222"/>
      <c r="K31" s="222"/>
      <c r="L31" s="222"/>
      <c r="M31" s="222"/>
    </row>
    <row r="32" spans="1:13" ht="13.35" customHeight="1" x14ac:dyDescent="0.2">
      <c r="B32" s="369" t="s">
        <v>2073</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9635141</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7"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7" zoomScale="110" zoomScaleNormal="110" workbookViewId="0">
      <selection activeCell="J31" sqref="J3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Deer Creek-Mackinaw CUSD 701</v>
      </c>
      <c r="E7" s="391"/>
      <c r="G7" s="252"/>
      <c r="H7" s="387"/>
      <c r="I7" s="387"/>
      <c r="J7" s="387"/>
      <c r="K7" s="387"/>
      <c r="L7" s="329"/>
      <c r="M7" s="329"/>
      <c r="N7" s="329"/>
      <c r="O7" s="329"/>
      <c r="P7" s="329"/>
    </row>
    <row r="8" spans="1:18" ht="12.75" x14ac:dyDescent="0.2">
      <c r="A8" s="329"/>
      <c r="B8" s="329"/>
      <c r="C8" s="389" t="s">
        <v>1125</v>
      </c>
      <c r="D8" s="392">
        <f>COVER!A13</f>
        <v>53090701026</v>
      </c>
      <c r="E8" s="393"/>
      <c r="G8" s="329"/>
      <c r="H8" s="329"/>
      <c r="I8" s="329"/>
      <c r="J8" s="329"/>
      <c r="K8" s="329"/>
      <c r="L8" s="329"/>
      <c r="M8" s="329"/>
      <c r="N8" s="329"/>
      <c r="O8" s="329"/>
      <c r="P8" s="329"/>
    </row>
    <row r="9" spans="1:18" ht="12.75" x14ac:dyDescent="0.2">
      <c r="A9" s="329"/>
      <c r="B9" s="329"/>
      <c r="C9" s="389" t="s">
        <v>713</v>
      </c>
      <c r="D9" s="394" t="str">
        <f>COVER!A15</f>
        <v>Tazewell &amp; Woodford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3556900</v>
      </c>
      <c r="I12" s="404"/>
      <c r="J12" s="404"/>
      <c r="K12" s="405">
        <f>TRUNC((H12/H13*100000),5)/100000</f>
        <v>0.3519406356</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10106534</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9605701</v>
      </c>
      <c r="I17" s="404"/>
      <c r="J17" s="416"/>
      <c r="K17" s="405">
        <f>TRUNC((H17/H18*100000),5)/100000</f>
        <v>0.95044463310000005</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10106534</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3556900</v>
      </c>
      <c r="I24" s="422"/>
      <c r="J24" s="422"/>
      <c r="K24" s="423">
        <f>TRUNC(((H24/H25*100000)/100000),2)</f>
        <v>133.30000000000001</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26682.502779999999</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3935070.01773</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2</v>
      </c>
      <c r="P31" s="216"/>
    </row>
    <row r="32" spans="1:18" s="408" customFormat="1" ht="11.25" x14ac:dyDescent="0.2">
      <c r="A32" s="218"/>
      <c r="B32" s="401"/>
      <c r="C32" s="218" t="s">
        <v>847</v>
      </c>
      <c r="D32" s="218"/>
      <c r="E32" s="218"/>
      <c r="F32" s="218"/>
      <c r="G32" s="402"/>
      <c r="H32" s="403">
        <f>'FP Info 3'!H37</f>
        <v>9635141</v>
      </c>
      <c r="I32" s="420"/>
      <c r="J32" s="420"/>
      <c r="K32" s="423">
        <f>TRUNC(100-((((H32/H33*100))*100)/100),2)</f>
        <v>41.93</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16594030.938000001</v>
      </c>
      <c r="I33" s="420"/>
      <c r="J33" s="420"/>
      <c r="K33" s="403"/>
      <c r="L33" s="218"/>
      <c r="M33" s="435" t="s">
        <v>1145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3.6999999999999997</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90" zoomScaleNormal="90" workbookViewId="0">
      <pane ySplit="2" topLeftCell="A27" activePane="bottomLeft" state="frozen"/>
      <selection activeCell="J31" sqref="J31"/>
      <selection pane="bottomLeft" activeCell="J31" sqref="J3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828840</v>
      </c>
      <c r="D4" s="466">
        <v>38547</v>
      </c>
      <c r="E4" s="466">
        <v>630</v>
      </c>
      <c r="F4" s="466">
        <v>34289</v>
      </c>
      <c r="G4" s="466">
        <v>8984</v>
      </c>
      <c r="H4" s="466">
        <v>221273</v>
      </c>
      <c r="I4" s="466">
        <v>829</v>
      </c>
      <c r="J4" s="467">
        <v>13399</v>
      </c>
      <c r="K4" s="466">
        <v>101229</v>
      </c>
      <c r="L4" s="466">
        <v>146794</v>
      </c>
      <c r="M4" s="468"/>
      <c r="N4" s="469"/>
    </row>
    <row r="5" spans="1:14" x14ac:dyDescent="0.2">
      <c r="A5" s="463" t="s">
        <v>992</v>
      </c>
      <c r="B5" s="470">
        <v>120</v>
      </c>
      <c r="C5" s="465">
        <v>1047096</v>
      </c>
      <c r="D5" s="466">
        <v>340669</v>
      </c>
      <c r="E5" s="466">
        <v>144477</v>
      </c>
      <c r="F5" s="466">
        <v>226649</v>
      </c>
      <c r="G5" s="466">
        <v>124589</v>
      </c>
      <c r="H5" s="466">
        <v>499</v>
      </c>
      <c r="I5" s="466">
        <v>1039981</v>
      </c>
      <c r="J5" s="467">
        <v>202392</v>
      </c>
      <c r="K5" s="471">
        <v>86146</v>
      </c>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1875936</v>
      </c>
      <c r="D13" s="1737">
        <f t="shared" ref="D13:L13" si="0">SUM(D4:D12)</f>
        <v>379216</v>
      </c>
      <c r="E13" s="1737">
        <f t="shared" si="0"/>
        <v>145107</v>
      </c>
      <c r="F13" s="1737">
        <f t="shared" si="0"/>
        <v>260938</v>
      </c>
      <c r="G13" s="1737">
        <f t="shared" si="0"/>
        <v>133573</v>
      </c>
      <c r="H13" s="1737">
        <f t="shared" si="0"/>
        <v>221772</v>
      </c>
      <c r="I13" s="1737">
        <f t="shared" si="0"/>
        <v>1040810</v>
      </c>
      <c r="J13" s="1737">
        <f t="shared" si="0"/>
        <v>215791</v>
      </c>
      <c r="K13" s="1737">
        <f t="shared" si="0"/>
        <v>187375</v>
      </c>
      <c r="L13" s="1737">
        <f t="shared" si="0"/>
        <v>146794</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f>'Cap Outlay Deprec 26'!F5</f>
        <v>298234</v>
      </c>
      <c r="N16" s="484"/>
    </row>
    <row r="17" spans="1:14" s="485" customFormat="1" ht="12.75" customHeight="1" x14ac:dyDescent="0.2">
      <c r="A17" s="482" t="s">
        <v>1403</v>
      </c>
      <c r="B17" s="483">
        <v>230</v>
      </c>
      <c r="C17" s="477"/>
      <c r="D17" s="477"/>
      <c r="E17" s="477"/>
      <c r="F17" s="477"/>
      <c r="G17" s="477"/>
      <c r="H17" s="477"/>
      <c r="I17" s="477"/>
      <c r="J17" s="477"/>
      <c r="K17" s="477"/>
      <c r="L17" s="477"/>
      <c r="M17" s="467">
        <f>'Cap Outlay Deprec 26'!F8</f>
        <v>22407162</v>
      </c>
      <c r="N17" s="484"/>
    </row>
    <row r="18" spans="1:14" s="485" customFormat="1" ht="12.75" customHeight="1" x14ac:dyDescent="0.2">
      <c r="A18" s="482" t="s">
        <v>1404</v>
      </c>
      <c r="B18" s="483">
        <v>240</v>
      </c>
      <c r="C18" s="477"/>
      <c r="D18" s="477"/>
      <c r="E18" s="477"/>
      <c r="F18" s="477"/>
      <c r="G18" s="477"/>
      <c r="H18" s="477"/>
      <c r="I18" s="477"/>
      <c r="J18" s="477"/>
      <c r="K18" s="477"/>
      <c r="L18" s="477"/>
      <c r="M18" s="467">
        <f>'Cap Outlay Deprec 26'!F10</f>
        <v>3897007</v>
      </c>
      <c r="N18" s="484"/>
    </row>
    <row r="19" spans="1:14" s="485" customFormat="1" ht="12.75" customHeight="1" x14ac:dyDescent="0.2">
      <c r="A19" s="482" t="s">
        <v>1405</v>
      </c>
      <c r="B19" s="483">
        <v>250</v>
      </c>
      <c r="C19" s="477"/>
      <c r="D19" s="477"/>
      <c r="E19" s="477"/>
      <c r="F19" s="477"/>
      <c r="G19" s="477"/>
      <c r="H19" s="477"/>
      <c r="I19" s="477"/>
      <c r="J19" s="477"/>
      <c r="K19" s="477"/>
      <c r="L19" s="477"/>
      <c r="M19" s="467">
        <f>'Cap Outlay Deprec 26'!F12+'Cap Outlay Deprec 26'!F13+'Cap Outlay Deprec 26'!F14</f>
        <v>2410840</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f>E13</f>
        <v>145107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9490034</v>
      </c>
    </row>
    <row r="23" spans="1:14" ht="13.5" customHeight="1" thickBot="1" x14ac:dyDescent="0.25">
      <c r="A23" s="1736" t="s">
        <v>643</v>
      </c>
      <c r="B23" s="1741"/>
      <c r="C23" s="468"/>
      <c r="D23" s="468"/>
      <c r="E23" s="468"/>
      <c r="F23" s="468"/>
      <c r="G23" s="468"/>
      <c r="H23" s="468"/>
      <c r="I23" s="468"/>
      <c r="J23" s="468"/>
      <c r="K23" s="468"/>
      <c r="L23" s="468"/>
      <c r="M23" s="1688">
        <f>SUM(M15:M22)</f>
        <v>29013243</v>
      </c>
      <c r="N23" s="1688">
        <f>SUM(N21:N22)</f>
        <v>9635141</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146794</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146794</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9635141</v>
      </c>
    </row>
    <row r="37" spans="1:14" ht="13.5" thickBot="1" x14ac:dyDescent="0.25">
      <c r="A37" s="1736" t="s">
        <v>653</v>
      </c>
      <c r="B37" s="1741"/>
      <c r="C37" s="477"/>
      <c r="D37" s="477"/>
      <c r="E37" s="477"/>
      <c r="F37" s="477"/>
      <c r="G37" s="477"/>
      <c r="H37" s="477"/>
      <c r="I37" s="477"/>
      <c r="J37" s="477"/>
      <c r="K37" s="477"/>
      <c r="L37" s="480"/>
      <c r="M37" s="468"/>
      <c r="N37" s="1688">
        <f>SUM(N36:N36)</f>
        <v>9635141</v>
      </c>
    </row>
    <row r="38" spans="1:14" s="329" customFormat="1" ht="13.5" customHeight="1" thickTop="1" x14ac:dyDescent="0.2">
      <c r="A38" s="496" t="s">
        <v>420</v>
      </c>
      <c r="B38" s="483">
        <v>714</v>
      </c>
      <c r="C38" s="466">
        <v>94716</v>
      </c>
      <c r="D38" s="466">
        <v>3391</v>
      </c>
      <c r="E38" s="466"/>
      <c r="F38" s="466"/>
      <c r="G38" s="466"/>
      <c r="H38" s="466">
        <v>5435</v>
      </c>
      <c r="I38" s="466"/>
      <c r="J38" s="467"/>
      <c r="K38" s="466"/>
      <c r="L38" s="481"/>
      <c r="M38" s="497"/>
      <c r="N38" s="497"/>
    </row>
    <row r="39" spans="1:14" s="329" customFormat="1" ht="13.5" customHeight="1" x14ac:dyDescent="0.2">
      <c r="A39" s="496" t="s">
        <v>342</v>
      </c>
      <c r="B39" s="483">
        <v>730</v>
      </c>
      <c r="C39" s="466">
        <v>1781220</v>
      </c>
      <c r="D39" s="466">
        <v>375825</v>
      </c>
      <c r="E39" s="466">
        <f>+'Acct Summary 7-8'!E81</f>
        <v>145107</v>
      </c>
      <c r="F39" s="466">
        <f>+'Acct Summary 7-8'!F81</f>
        <v>260938</v>
      </c>
      <c r="G39" s="466">
        <f>+'Acct Summary 7-8'!G81</f>
        <v>133573</v>
      </c>
      <c r="H39" s="466">
        <v>216337</v>
      </c>
      <c r="I39" s="466">
        <f>+'Acct Summary 7-8'!I81</f>
        <v>1040810</v>
      </c>
      <c r="J39" s="466">
        <f>+'Acct Summary 7-8'!J81</f>
        <v>215791</v>
      </c>
      <c r="K39" s="466">
        <f>+'Acct Summary 7-8'!K81</f>
        <v>187375</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f>'Cap Outlay Deprec 26'!F16</f>
        <v>29013243</v>
      </c>
      <c r="N40" s="497"/>
    </row>
    <row r="41" spans="1:14" ht="13.5" customHeight="1" thickBot="1" x14ac:dyDescent="0.25">
      <c r="A41" s="1736" t="s">
        <v>655</v>
      </c>
      <c r="B41" s="1706"/>
      <c r="C41" s="1688">
        <f>(SUM(C34,C37,C38,C39))</f>
        <v>1875936</v>
      </c>
      <c r="D41" s="1688">
        <f t="shared" ref="D41:L41" si="2">SUM(D34,D37,D38:D39)</f>
        <v>379216</v>
      </c>
      <c r="E41" s="1688">
        <f t="shared" si="2"/>
        <v>145107</v>
      </c>
      <c r="F41" s="1688">
        <f t="shared" si="2"/>
        <v>260938</v>
      </c>
      <c r="G41" s="1688">
        <f t="shared" si="2"/>
        <v>133573</v>
      </c>
      <c r="H41" s="1688">
        <f t="shared" si="2"/>
        <v>221772</v>
      </c>
      <c r="I41" s="1688">
        <f t="shared" si="2"/>
        <v>1040810</v>
      </c>
      <c r="J41" s="1688">
        <f t="shared" si="2"/>
        <v>215791</v>
      </c>
      <c r="K41" s="1688">
        <f t="shared" si="2"/>
        <v>187375</v>
      </c>
      <c r="L41" s="1688">
        <f t="shared" si="2"/>
        <v>146794</v>
      </c>
      <c r="M41" s="1688">
        <f>SUM(M40)</f>
        <v>29013243</v>
      </c>
      <c r="N41" s="1688">
        <f>SUM(N37)</f>
        <v>9635141</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69" activePane="bottomLeft" state="frozen"/>
      <selection activeCell="J31" sqref="J31"/>
      <selection pane="bottomLeft" activeCell="J31" sqref="J3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4723471</v>
      </c>
      <c r="D4" s="1742">
        <f>'Revenues 9-14'!D109</f>
        <v>607436</v>
      </c>
      <c r="E4" s="1742">
        <f>'Revenues 9-14'!E109</f>
        <v>870415</v>
      </c>
      <c r="F4" s="1742">
        <f>'Revenues 9-14'!F109</f>
        <v>249869</v>
      </c>
      <c r="G4" s="1742">
        <f>'Revenues 9-14'!G109</f>
        <v>354898</v>
      </c>
      <c r="H4" s="1742">
        <f>'Revenues 9-14'!H109</f>
        <v>27631</v>
      </c>
      <c r="I4" s="1742">
        <f>'Revenues 9-14'!I109</f>
        <v>76232</v>
      </c>
      <c r="J4" s="1742">
        <f>'Revenues 9-14'!J109</f>
        <v>334391</v>
      </c>
      <c r="K4" s="1742">
        <f>'Revenues 9-14'!K109</f>
        <v>63941</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3640888</v>
      </c>
      <c r="D6" s="1743">
        <f>'Revenues 9-14'!D170</f>
        <v>154000</v>
      </c>
      <c r="E6" s="1743">
        <f>'Revenues 9-14'!E170</f>
        <v>0</v>
      </c>
      <c r="F6" s="1743">
        <f>'Revenues 9-14'!F170</f>
        <v>278891</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375747</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8740106</v>
      </c>
      <c r="D8" s="1688">
        <f t="shared" ref="D8:K8" si="0">SUM(D4:D7)</f>
        <v>761436</v>
      </c>
      <c r="E8" s="1688">
        <f t="shared" si="0"/>
        <v>870415</v>
      </c>
      <c r="F8" s="1688">
        <f t="shared" si="0"/>
        <v>528760</v>
      </c>
      <c r="G8" s="1688">
        <f t="shared" si="0"/>
        <v>354898</v>
      </c>
      <c r="H8" s="1688">
        <f t="shared" si="0"/>
        <v>27631</v>
      </c>
      <c r="I8" s="1688">
        <f t="shared" si="0"/>
        <v>76232</v>
      </c>
      <c r="J8" s="1688">
        <f t="shared" si="0"/>
        <v>334391</v>
      </c>
      <c r="K8" s="1688">
        <f t="shared" si="0"/>
        <v>63941</v>
      </c>
      <c r="L8" s="347"/>
    </row>
    <row r="9" spans="1:13" ht="15.75" thickTop="1" x14ac:dyDescent="0.2">
      <c r="A9" s="514" t="s">
        <v>1653</v>
      </c>
      <c r="B9" s="515">
        <v>3998</v>
      </c>
      <c r="C9" s="481">
        <f>3344947+62578</f>
        <v>3407525</v>
      </c>
      <c r="D9" s="516"/>
      <c r="E9" s="481"/>
      <c r="F9" s="481"/>
      <c r="G9" s="517"/>
      <c r="H9" s="481"/>
      <c r="I9" s="509" t="s">
        <v>1169</v>
      </c>
      <c r="J9" s="478"/>
      <c r="K9" s="481"/>
      <c r="L9" s="347"/>
    </row>
    <row r="10" spans="1:13" s="519" customFormat="1" ht="13.5" thickBot="1" x14ac:dyDescent="0.25">
      <c r="A10" s="1736" t="s">
        <v>1173</v>
      </c>
      <c r="B10" s="1709"/>
      <c r="C10" s="1688">
        <f>SUM(C8:C9)</f>
        <v>12147631</v>
      </c>
      <c r="D10" s="1688">
        <f t="shared" ref="D10:K10" si="1">SUM(D8:D9)</f>
        <v>761436</v>
      </c>
      <c r="E10" s="1688">
        <f t="shared" si="1"/>
        <v>870415</v>
      </c>
      <c r="F10" s="1688">
        <f t="shared" si="1"/>
        <v>528760</v>
      </c>
      <c r="G10" s="1688">
        <f t="shared" si="1"/>
        <v>354898</v>
      </c>
      <c r="H10" s="1688">
        <f t="shared" si="1"/>
        <v>27631</v>
      </c>
      <c r="I10" s="1688">
        <f t="shared" si="1"/>
        <v>76232</v>
      </c>
      <c r="J10" s="1688">
        <f t="shared" si="1"/>
        <v>334391</v>
      </c>
      <c r="K10" s="1688">
        <f t="shared" si="1"/>
        <v>63941</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5849066</v>
      </c>
      <c r="D12" s="520" t="s">
        <v>1169</v>
      </c>
      <c r="E12" s="468" t="s">
        <v>1169</v>
      </c>
      <c r="F12" s="468" t="s">
        <v>1169</v>
      </c>
      <c r="G12" s="1742">
        <f>'Expenditures 15-22'!K229</f>
        <v>151026</v>
      </c>
      <c r="H12" s="521"/>
      <c r="I12" s="468" t="s">
        <v>1169</v>
      </c>
      <c r="J12" s="468" t="s">
        <v>1169</v>
      </c>
      <c r="K12" s="521" t="s">
        <v>1169</v>
      </c>
      <c r="L12" s="347"/>
    </row>
    <row r="13" spans="1:13" ht="15.75" customHeight="1" x14ac:dyDescent="0.2">
      <c r="A13" s="1576" t="s">
        <v>457</v>
      </c>
      <c r="B13" s="1578">
        <v>2000</v>
      </c>
      <c r="C13" s="1743">
        <f>'Expenditures 15-22'!K74</f>
        <v>2142649</v>
      </c>
      <c r="D13" s="1743">
        <f>'Expenditures 15-22'!K129</f>
        <v>837288</v>
      </c>
      <c r="E13" s="469" t="s">
        <v>1169</v>
      </c>
      <c r="F13" s="1743">
        <f>'Expenditures 15-22'!K184</f>
        <v>582229</v>
      </c>
      <c r="G13" s="1743">
        <f>'Expenditures 15-22'!K279</f>
        <v>199259</v>
      </c>
      <c r="H13" s="1743">
        <f>'Expenditures 15-22'!K303</f>
        <v>3312994</v>
      </c>
      <c r="I13" s="468" t="s">
        <v>1169</v>
      </c>
      <c r="J13" s="1743">
        <f>'Expenditures 15-22'!K330</f>
        <v>330991</v>
      </c>
      <c r="K13" s="1747">
        <f>'Expenditures 15-22'!K352</f>
        <v>198615</v>
      </c>
      <c r="L13" s="347"/>
    </row>
    <row r="14" spans="1:13" ht="15.75" customHeight="1" x14ac:dyDescent="0.2">
      <c r="A14" s="1576" t="s">
        <v>449</v>
      </c>
      <c r="B14" s="1578">
        <v>3000</v>
      </c>
      <c r="C14" s="1743">
        <f>'Expenditures 15-22'!K75</f>
        <v>46200</v>
      </c>
      <c r="D14" s="1743">
        <f>'Expenditures 15-22'!K130</f>
        <v>0</v>
      </c>
      <c r="E14" s="520" t="s">
        <v>1169</v>
      </c>
      <c r="F14" s="1743">
        <f>'Expenditures 15-22'!K185</f>
        <v>0</v>
      </c>
      <c r="G14" s="1743">
        <f>'Expenditures 15-22'!K280</f>
        <v>5999</v>
      </c>
      <c r="H14" s="512"/>
      <c r="I14" s="468" t="s">
        <v>1169</v>
      </c>
      <c r="J14" s="468" t="s">
        <v>1169</v>
      </c>
      <c r="K14" s="512" t="s">
        <v>1169</v>
      </c>
      <c r="L14" s="347"/>
    </row>
    <row r="15" spans="1:13" ht="15.75" customHeight="1" x14ac:dyDescent="0.2">
      <c r="A15" s="1576" t="s">
        <v>107</v>
      </c>
      <c r="B15" s="1578">
        <v>4000</v>
      </c>
      <c r="C15" s="1743">
        <f>'Expenditures 15-22'!K102</f>
        <v>148269</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1434728</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8186184</v>
      </c>
      <c r="D17" s="1688">
        <f t="shared" si="2"/>
        <v>837288</v>
      </c>
      <c r="E17" s="1688">
        <f t="shared" si="2"/>
        <v>1434728</v>
      </c>
      <c r="F17" s="1688">
        <f t="shared" si="2"/>
        <v>582229</v>
      </c>
      <c r="G17" s="1688">
        <f t="shared" si="2"/>
        <v>356284</v>
      </c>
      <c r="H17" s="1688">
        <f t="shared" si="2"/>
        <v>3312994</v>
      </c>
      <c r="I17" s="468"/>
      <c r="J17" s="1688">
        <f>SUM(J12:J16)</f>
        <v>330991</v>
      </c>
      <c r="K17" s="1688">
        <f>SUM(K12:K16)</f>
        <v>198615</v>
      </c>
      <c r="L17" s="347"/>
    </row>
    <row r="18" spans="1:12" ht="15" customHeight="1" thickTop="1" x14ac:dyDescent="0.2">
      <c r="A18" s="1744" t="s">
        <v>1654</v>
      </c>
      <c r="B18" s="1745">
        <v>4180</v>
      </c>
      <c r="C18" s="1742">
        <f t="shared" ref="C18:H18" si="3">C9</f>
        <v>3407525</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11593709</v>
      </c>
      <c r="D19" s="1688">
        <f t="shared" si="4"/>
        <v>837288</v>
      </c>
      <c r="E19" s="1688">
        <f t="shared" si="4"/>
        <v>1434728</v>
      </c>
      <c r="F19" s="1688">
        <f t="shared" si="4"/>
        <v>582229</v>
      </c>
      <c r="G19" s="1688">
        <f t="shared" si="4"/>
        <v>356284</v>
      </c>
      <c r="H19" s="1688">
        <f t="shared" si="4"/>
        <v>3312994</v>
      </c>
      <c r="I19" s="468"/>
      <c r="J19" s="1688">
        <f>SUM(J17:J18)</f>
        <v>330991</v>
      </c>
      <c r="K19" s="1688">
        <f>SUM(K17:K18)</f>
        <v>198615</v>
      </c>
      <c r="L19" s="347"/>
    </row>
    <row r="20" spans="1:12" ht="16.5" thickTop="1" thickBot="1" x14ac:dyDescent="0.25">
      <c r="A20" s="2130" t="s">
        <v>1655</v>
      </c>
      <c r="B20" s="2131"/>
      <c r="C20" s="1746">
        <f>C8-C17</f>
        <v>553922</v>
      </c>
      <c r="D20" s="1746">
        <f t="shared" ref="D20:K20" si="5">D8-D17</f>
        <v>-75852</v>
      </c>
      <c r="E20" s="1746">
        <f t="shared" si="5"/>
        <v>-564313</v>
      </c>
      <c r="F20" s="1746">
        <f t="shared" si="5"/>
        <v>-53469</v>
      </c>
      <c r="G20" s="1746">
        <f t="shared" si="5"/>
        <v>-1386</v>
      </c>
      <c r="H20" s="1746">
        <f t="shared" si="5"/>
        <v>-3285363</v>
      </c>
      <c r="I20" s="1746">
        <f t="shared" si="5"/>
        <v>76232</v>
      </c>
      <c r="J20" s="1746">
        <f t="shared" si="5"/>
        <v>3400</v>
      </c>
      <c r="K20" s="1746">
        <f t="shared" si="5"/>
        <v>-134674</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v>1051</v>
      </c>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1051</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2" t="s">
        <v>1177</v>
      </c>
      <c r="B77" s="2123"/>
      <c r="C77" s="1703">
        <f t="shared" ref="C77:K77" si="8">C44-C76</f>
        <v>0</v>
      </c>
      <c r="D77" s="1703">
        <f t="shared" si="8"/>
        <v>1051</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6" t="s">
        <v>597</v>
      </c>
      <c r="B78" s="2127"/>
      <c r="C78" s="1702">
        <f t="shared" ref="C78:K78" si="9">C20+C77</f>
        <v>553922</v>
      </c>
      <c r="D78" s="1702">
        <f t="shared" si="9"/>
        <v>-74801</v>
      </c>
      <c r="E78" s="1702">
        <f t="shared" si="9"/>
        <v>-564313</v>
      </c>
      <c r="F78" s="1702">
        <f t="shared" si="9"/>
        <v>-53469</v>
      </c>
      <c r="G78" s="1702">
        <f t="shared" si="9"/>
        <v>-1386</v>
      </c>
      <c r="H78" s="1702">
        <f t="shared" si="9"/>
        <v>-3285363</v>
      </c>
      <c r="I78" s="1702">
        <f t="shared" si="9"/>
        <v>76232</v>
      </c>
      <c r="J78" s="1702">
        <f t="shared" si="9"/>
        <v>3400</v>
      </c>
      <c r="K78" s="1702">
        <f t="shared" si="9"/>
        <v>-134674</v>
      </c>
      <c r="L78" s="533"/>
    </row>
    <row r="79" spans="1:12" ht="13.5" thickTop="1" x14ac:dyDescent="0.2">
      <c r="A79" s="1494" t="s">
        <v>1949</v>
      </c>
      <c r="B79" s="534"/>
      <c r="C79" s="478">
        <v>1322014</v>
      </c>
      <c r="D79" s="535">
        <v>454017</v>
      </c>
      <c r="E79" s="535">
        <v>709420</v>
      </c>
      <c r="F79" s="535">
        <v>314407</v>
      </c>
      <c r="G79" s="535">
        <v>134959</v>
      </c>
      <c r="H79" s="535">
        <v>3507135</v>
      </c>
      <c r="I79" s="535">
        <v>964578</v>
      </c>
      <c r="J79" s="535">
        <v>212391</v>
      </c>
      <c r="K79" s="535">
        <v>322049</v>
      </c>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1950</v>
      </c>
      <c r="B81" s="2125"/>
      <c r="C81" s="1688">
        <f>(SUM(C78:C80))</f>
        <v>1875936</v>
      </c>
      <c r="D81" s="1688">
        <f>SUM(D78:D80)</f>
        <v>379216</v>
      </c>
      <c r="E81" s="1688">
        <f t="shared" ref="E81:K81" si="10">SUM(E78:E80)</f>
        <v>145107</v>
      </c>
      <c r="F81" s="1688">
        <f t="shared" si="10"/>
        <v>260938</v>
      </c>
      <c r="G81" s="1688">
        <f t="shared" si="10"/>
        <v>133573</v>
      </c>
      <c r="H81" s="1688">
        <f t="shared" si="10"/>
        <v>221772</v>
      </c>
      <c r="I81" s="1688">
        <f t="shared" si="10"/>
        <v>1040810</v>
      </c>
      <c r="J81" s="1688">
        <f t="shared" si="10"/>
        <v>215791</v>
      </c>
      <c r="K81" s="1688">
        <f t="shared" si="10"/>
        <v>187375</v>
      </c>
      <c r="L81" s="347"/>
    </row>
    <row r="82" spans="1:12" ht="0.75" customHeight="1" thickTop="1" thickBot="1" x14ac:dyDescent="0.25">
      <c r="A82" s="536" t="s">
        <v>343</v>
      </c>
      <c r="B82" s="537"/>
      <c r="C82" s="538">
        <f>(C81-C79)</f>
        <v>553922</v>
      </c>
      <c r="D82" s="538">
        <f t="shared" ref="D82:K82" si="11">(D81-D79)</f>
        <v>-74801</v>
      </c>
      <c r="E82" s="538">
        <f t="shared" si="11"/>
        <v>-564313</v>
      </c>
      <c r="F82" s="538">
        <f t="shared" si="11"/>
        <v>-53469</v>
      </c>
      <c r="G82" s="538">
        <f t="shared" si="11"/>
        <v>-1386</v>
      </c>
      <c r="H82" s="538">
        <f t="shared" si="11"/>
        <v>-3285363</v>
      </c>
      <c r="I82" s="538">
        <f t="shared" si="11"/>
        <v>76232</v>
      </c>
      <c r="J82" s="538">
        <f t="shared" si="11"/>
        <v>3400</v>
      </c>
      <c r="K82" s="538">
        <f t="shared" si="11"/>
        <v>-134674</v>
      </c>
    </row>
    <row r="83" spans="1:12" ht="14.25" hidden="1" thickTop="1" thickBot="1" x14ac:dyDescent="0.25">
      <c r="A83" s="539" t="s">
        <v>344</v>
      </c>
      <c r="B83" s="464"/>
      <c r="C83" s="540">
        <f>C82/C81</f>
        <v>0.29527766405676953</v>
      </c>
      <c r="D83" s="540">
        <f t="shared" ref="D83:K83" si="12">D82/D81</f>
        <v>-0.19725169824058056</v>
      </c>
      <c r="E83" s="540">
        <f t="shared" si="12"/>
        <v>-3.8889440206192671</v>
      </c>
      <c r="F83" s="540">
        <f t="shared" si="12"/>
        <v>-0.20491074508120702</v>
      </c>
      <c r="G83" s="540">
        <f t="shared" si="12"/>
        <v>-1.03763485135469E-2</v>
      </c>
      <c r="H83" s="540">
        <f t="shared" si="12"/>
        <v>-14.814146961744495</v>
      </c>
      <c r="I83" s="540">
        <f t="shared" si="12"/>
        <v>7.3242955006197097E-2</v>
      </c>
      <c r="J83" s="540">
        <f t="shared" si="12"/>
        <v>1.5755986116195764E-2</v>
      </c>
      <c r="K83" s="540">
        <f t="shared" si="12"/>
        <v>-0.71874049366244164</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activeCell="J31" sqref="J31"/>
      <selection pane="bottomLeft" activeCell="C5" sqref="C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3746369</v>
      </c>
      <c r="D5" s="481">
        <v>594661</v>
      </c>
      <c r="E5" s="466">
        <v>860700</v>
      </c>
      <c r="F5" s="548">
        <v>237864</v>
      </c>
      <c r="G5" s="466">
        <v>130146</v>
      </c>
      <c r="H5" s="466"/>
      <c r="I5" s="466">
        <v>59467</v>
      </c>
      <c r="J5" s="467">
        <v>328992</v>
      </c>
      <c r="K5" s="466">
        <v>59466</v>
      </c>
    </row>
    <row r="6" spans="1:12" ht="15" x14ac:dyDescent="0.2">
      <c r="A6" s="463" t="s">
        <v>1662</v>
      </c>
      <c r="B6" s="470">
        <v>1130</v>
      </c>
      <c r="C6" s="466">
        <v>59466</v>
      </c>
      <c r="D6" s="466"/>
      <c r="E6" s="475"/>
      <c r="F6" s="475"/>
      <c r="G6" s="468"/>
      <c r="H6" s="468"/>
      <c r="I6" s="468"/>
      <c r="J6" s="468"/>
      <c r="K6" s="468"/>
    </row>
    <row r="7" spans="1:12" x14ac:dyDescent="0.2">
      <c r="A7" s="463" t="s">
        <v>110</v>
      </c>
      <c r="B7" s="549">
        <v>1140</v>
      </c>
      <c r="C7" s="466">
        <v>47573</v>
      </c>
      <c r="D7" s="466"/>
      <c r="E7" s="468"/>
      <c r="F7" s="467"/>
      <c r="G7" s="467"/>
      <c r="H7" s="467"/>
      <c r="I7" s="468"/>
      <c r="J7" s="468"/>
      <c r="K7" s="468"/>
    </row>
    <row r="8" spans="1:12" x14ac:dyDescent="0.2">
      <c r="A8" s="463" t="s">
        <v>413</v>
      </c>
      <c r="B8" s="470">
        <v>1150</v>
      </c>
      <c r="C8" s="475"/>
      <c r="D8" s="475"/>
      <c r="E8" s="477"/>
      <c r="F8" s="477"/>
      <c r="G8" s="481">
        <v>220243</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3853408</v>
      </c>
      <c r="D12" s="1707">
        <f t="shared" si="0"/>
        <v>594661</v>
      </c>
      <c r="E12" s="1707">
        <f t="shared" si="0"/>
        <v>860700</v>
      </c>
      <c r="F12" s="1707">
        <f t="shared" si="0"/>
        <v>237864</v>
      </c>
      <c r="G12" s="1707">
        <f t="shared" si="0"/>
        <v>350389</v>
      </c>
      <c r="H12" s="1707">
        <f t="shared" si="0"/>
        <v>0</v>
      </c>
      <c r="I12" s="1707">
        <f t="shared" si="0"/>
        <v>59467</v>
      </c>
      <c r="J12" s="1707">
        <f t="shared" si="0"/>
        <v>328992</v>
      </c>
      <c r="K12" s="1688">
        <f t="shared" si="0"/>
        <v>59466</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107063</v>
      </c>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107063</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v>19834</v>
      </c>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19834</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v>6402</v>
      </c>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6402</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44791</v>
      </c>
      <c r="D65" s="466">
        <v>9384</v>
      </c>
      <c r="E65" s="466">
        <v>9715</v>
      </c>
      <c r="F65" s="467">
        <v>5603</v>
      </c>
      <c r="G65" s="466">
        <v>4509</v>
      </c>
      <c r="H65" s="466">
        <v>11946</v>
      </c>
      <c r="I65" s="466">
        <v>16765</v>
      </c>
      <c r="J65" s="467">
        <v>5399</v>
      </c>
      <c r="K65" s="466">
        <v>4475</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44791</v>
      </c>
      <c r="D67" s="1688">
        <f t="shared" ref="D67:K67" si="2">SUM(D65:D66)</f>
        <v>9384</v>
      </c>
      <c r="E67" s="1688">
        <f t="shared" si="2"/>
        <v>9715</v>
      </c>
      <c r="F67" s="1688">
        <f t="shared" si="2"/>
        <v>5603</v>
      </c>
      <c r="G67" s="1688">
        <f t="shared" si="2"/>
        <v>4509</v>
      </c>
      <c r="H67" s="1688">
        <f t="shared" si="2"/>
        <v>11946</v>
      </c>
      <c r="I67" s="1688">
        <f t="shared" si="2"/>
        <v>16765</v>
      </c>
      <c r="J67" s="1688">
        <f t="shared" si="2"/>
        <v>5399</v>
      </c>
      <c r="K67" s="1688">
        <f t="shared" si="2"/>
        <v>4475</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129193</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104059</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233252</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23704</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37029</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34658</v>
      </c>
      <c r="D81" s="466"/>
      <c r="E81" s="468"/>
      <c r="F81" s="468"/>
      <c r="G81" s="468"/>
      <c r="H81" s="468"/>
      <c r="I81" s="468"/>
      <c r="J81" s="468"/>
      <c r="K81" s="468"/>
    </row>
    <row r="82" spans="1:11" ht="12.75" customHeight="1" thickBot="1" x14ac:dyDescent="0.25">
      <c r="A82" s="1708" t="s">
        <v>241</v>
      </c>
      <c r="B82" s="1709"/>
      <c r="C82" s="1707">
        <f>SUM(C77:C81)</f>
        <v>95391</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79553</v>
      </c>
      <c r="D84" s="468"/>
      <c r="E84" s="468"/>
      <c r="F84" s="468"/>
      <c r="G84" s="468"/>
      <c r="H84" s="468"/>
      <c r="I84" s="468"/>
      <c r="J84" s="468"/>
      <c r="K84" s="468"/>
    </row>
    <row r="85" spans="1:11" ht="12.75" customHeight="1" x14ac:dyDescent="0.2">
      <c r="A85" s="463" t="s">
        <v>553</v>
      </c>
      <c r="B85" s="470">
        <v>1812</v>
      </c>
      <c r="C85" s="551">
        <v>745</v>
      </c>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80298</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v>425</v>
      </c>
      <c r="D95" s="551"/>
      <c r="E95" s="521"/>
      <c r="F95" s="521"/>
      <c r="G95" s="521"/>
      <c r="H95" s="521"/>
      <c r="I95" s="521"/>
      <c r="J95" s="521"/>
      <c r="K95" s="521"/>
    </row>
    <row r="96" spans="1:11" ht="12.75" customHeight="1" x14ac:dyDescent="0.2">
      <c r="A96" s="463" t="s">
        <v>391</v>
      </c>
      <c r="B96" s="470">
        <v>1920</v>
      </c>
      <c r="C96" s="551">
        <v>72422</v>
      </c>
      <c r="D96" s="551">
        <v>3391</v>
      </c>
      <c r="E96" s="479"/>
      <c r="F96" s="478"/>
      <c r="G96" s="478"/>
      <c r="H96" s="478">
        <v>10250</v>
      </c>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32184</v>
      </c>
      <c r="D98" s="466"/>
      <c r="E98" s="512"/>
      <c r="F98" s="466"/>
      <c r="G98" s="512"/>
      <c r="H98" s="512"/>
      <c r="I98" s="510"/>
      <c r="J98" s="512"/>
      <c r="K98" s="512"/>
    </row>
    <row r="99" spans="1:12" ht="12.75" customHeight="1" x14ac:dyDescent="0.2">
      <c r="A99" s="463" t="s">
        <v>821</v>
      </c>
      <c r="B99" s="470">
        <v>1950</v>
      </c>
      <c r="C99" s="489">
        <v>68656</v>
      </c>
      <c r="D99" s="466"/>
      <c r="E99" s="466"/>
      <c r="F99" s="466"/>
      <c r="G99" s="466"/>
      <c r="H99" s="466"/>
      <c r="I99" s="468"/>
      <c r="J99" s="467"/>
      <c r="K99" s="466"/>
    </row>
    <row r="100" spans="1:12" ht="12.75" customHeight="1" x14ac:dyDescent="0.2">
      <c r="A100" s="463" t="s">
        <v>245</v>
      </c>
      <c r="B100" s="470">
        <v>1960</v>
      </c>
      <c r="C100" s="489">
        <v>96294</v>
      </c>
      <c r="D100" s="489"/>
      <c r="E100" s="489"/>
      <c r="F100" s="489"/>
      <c r="G100" s="489"/>
      <c r="H100" s="489"/>
      <c r="I100" s="467"/>
      <c r="J100" s="489"/>
      <c r="K100" s="467"/>
    </row>
    <row r="101" spans="1:12" ht="12.75" customHeight="1" x14ac:dyDescent="0.2">
      <c r="A101" s="463" t="s">
        <v>246</v>
      </c>
      <c r="B101" s="470">
        <v>1970</v>
      </c>
      <c r="C101" s="489">
        <v>15277</v>
      </c>
      <c r="D101" s="526"/>
      <c r="E101" s="480"/>
      <c r="F101" s="526"/>
      <c r="G101" s="475"/>
      <c r="H101" s="526"/>
      <c r="I101" s="468"/>
      <c r="J101" s="475"/>
      <c r="K101" s="475"/>
    </row>
    <row r="102" spans="1:12" ht="12.75" customHeight="1" x14ac:dyDescent="0.2">
      <c r="A102" s="463" t="s">
        <v>247</v>
      </c>
      <c r="B102" s="470">
        <v>1980</v>
      </c>
      <c r="C102" s="489">
        <v>4176</v>
      </c>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5435</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c r="D107" s="466"/>
      <c r="E107" s="466"/>
      <c r="F107" s="466"/>
      <c r="G107" s="466"/>
      <c r="H107" s="466"/>
      <c r="I107" s="466"/>
      <c r="J107" s="467"/>
      <c r="K107" s="466"/>
    </row>
    <row r="108" spans="1:12" ht="12.75" customHeight="1" thickBot="1" x14ac:dyDescent="0.25">
      <c r="A108" s="1708" t="s">
        <v>487</v>
      </c>
      <c r="B108" s="1712"/>
      <c r="C108" s="1707">
        <f>SUM(C95:C107)</f>
        <v>289434</v>
      </c>
      <c r="D108" s="1707">
        <f t="shared" ref="D108:K108" si="3">SUM(D95:D107)</f>
        <v>3391</v>
      </c>
      <c r="E108" s="1707">
        <f t="shared" si="3"/>
        <v>0</v>
      </c>
      <c r="F108" s="1707">
        <f t="shared" si="3"/>
        <v>0</v>
      </c>
      <c r="G108" s="1707">
        <f t="shared" si="3"/>
        <v>0</v>
      </c>
      <c r="H108" s="1707">
        <f t="shared" si="3"/>
        <v>15685</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4723471</v>
      </c>
      <c r="D109" s="1715">
        <f t="shared" si="4"/>
        <v>607436</v>
      </c>
      <c r="E109" s="1715">
        <f t="shared" si="4"/>
        <v>870415</v>
      </c>
      <c r="F109" s="1715">
        <f t="shared" si="4"/>
        <v>249869</v>
      </c>
      <c r="G109" s="1715">
        <f t="shared" si="4"/>
        <v>354898</v>
      </c>
      <c r="H109" s="1715">
        <f t="shared" si="4"/>
        <v>27631</v>
      </c>
      <c r="I109" s="1715">
        <f t="shared" si="4"/>
        <v>76232</v>
      </c>
      <c r="J109" s="1715">
        <f t="shared" si="4"/>
        <v>334391</v>
      </c>
      <c r="K109" s="1702">
        <f t="shared" si="4"/>
        <v>63941</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3342449</v>
      </c>
      <c r="D117" s="481">
        <v>154000</v>
      </c>
      <c r="E117" s="466"/>
      <c r="F117" s="481">
        <v>49000</v>
      </c>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3342449</v>
      </c>
      <c r="D122" s="1707">
        <f t="shared" si="5"/>
        <v>154000</v>
      </c>
      <c r="E122" s="1707">
        <f t="shared" si="5"/>
        <v>0</v>
      </c>
      <c r="F122" s="1707">
        <f t="shared" si="5"/>
        <v>49000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93666</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34311</v>
      </c>
      <c r="D128" s="561"/>
      <c r="E128" s="468"/>
      <c r="F128" s="466"/>
      <c r="G128" s="468"/>
      <c r="H128" s="468"/>
      <c r="I128" s="468"/>
      <c r="J128" s="468"/>
      <c r="K128" s="468"/>
    </row>
    <row r="129" spans="1:11" ht="12.75" customHeight="1" x14ac:dyDescent="0.2">
      <c r="A129" s="463" t="s">
        <v>1447</v>
      </c>
      <c r="B129" s="562">
        <v>3130</v>
      </c>
      <c r="C129" s="466">
        <v>1408</v>
      </c>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129385</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27348</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27348</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1446</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13203</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107001</v>
      </c>
      <c r="G152" s="467"/>
      <c r="H152" s="468"/>
      <c r="I152" s="468"/>
      <c r="J152" s="468"/>
      <c r="K152" s="468"/>
    </row>
    <row r="153" spans="1:11" ht="12.75" customHeight="1" x14ac:dyDescent="0.2">
      <c r="A153" s="463" t="s">
        <v>1057</v>
      </c>
      <c r="B153" s="562">
        <v>3510</v>
      </c>
      <c r="C153" s="551"/>
      <c r="D153" s="466"/>
      <c r="E153" s="561"/>
      <c r="F153" s="466">
        <v>122890</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229891</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124497</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2560</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298439</v>
      </c>
      <c r="D169" s="1722">
        <f t="shared" si="6"/>
        <v>0</v>
      </c>
      <c r="E169" s="1722">
        <f t="shared" si="6"/>
        <v>0</v>
      </c>
      <c r="F169" s="1722">
        <f t="shared" si="6"/>
        <v>229891</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3640888</v>
      </c>
      <c r="D170" s="1715">
        <f t="shared" si="7"/>
        <v>154000</v>
      </c>
      <c r="E170" s="1715">
        <f t="shared" si="7"/>
        <v>0</v>
      </c>
      <c r="F170" s="1715">
        <f t="shared" si="7"/>
        <v>278891</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117283</v>
      </c>
      <c r="D191" s="468"/>
      <c r="E191" s="561"/>
      <c r="F191" s="468"/>
      <c r="G191" s="585"/>
      <c r="H191" s="468"/>
      <c r="I191" s="468"/>
      <c r="J191" s="468"/>
      <c r="K191" s="468"/>
    </row>
    <row r="192" spans="1:11" ht="12.75" customHeight="1" x14ac:dyDescent="0.2">
      <c r="A192" s="463" t="s">
        <v>1047</v>
      </c>
      <c r="B192" s="470">
        <v>4215</v>
      </c>
      <c r="C192" s="551">
        <v>250</v>
      </c>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117533</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48147</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48147</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908</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111456</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112364</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v>14346</v>
      </c>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16917</v>
      </c>
      <c r="D263" s="576"/>
      <c r="E263" s="468"/>
      <c r="F263" s="576"/>
      <c r="G263" s="576"/>
      <c r="H263" s="468"/>
      <c r="I263" s="468"/>
      <c r="J263" s="468"/>
      <c r="K263" s="468"/>
    </row>
    <row r="264" spans="1:11" ht="12.75" customHeight="1" thickTop="1" thickBot="1" x14ac:dyDescent="0.25">
      <c r="A264" s="463" t="s">
        <v>377</v>
      </c>
      <c r="B264" s="470">
        <v>4992</v>
      </c>
      <c r="C264" s="575">
        <v>63110</v>
      </c>
      <c r="D264" s="576"/>
      <c r="E264" s="468"/>
      <c r="F264" s="576"/>
      <c r="G264" s="576"/>
      <c r="H264" s="468"/>
      <c r="I264" s="468"/>
      <c r="J264" s="468"/>
      <c r="K264" s="468"/>
    </row>
    <row r="265" spans="1:11" s="593" customFormat="1" ht="12.75" customHeight="1" thickTop="1" thickBot="1" x14ac:dyDescent="0.25">
      <c r="A265" s="563" t="s">
        <v>75</v>
      </c>
      <c r="B265" s="557">
        <v>4999</v>
      </c>
      <c r="C265" s="575">
        <v>3330</v>
      </c>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375747</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375747</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8740106</v>
      </c>
      <c r="D268" s="1715">
        <f t="shared" si="12"/>
        <v>761436</v>
      </c>
      <c r="E268" s="1715">
        <f t="shared" si="12"/>
        <v>870415</v>
      </c>
      <c r="F268" s="1715">
        <f t="shared" si="12"/>
        <v>528760</v>
      </c>
      <c r="G268" s="1715">
        <f t="shared" si="12"/>
        <v>354898</v>
      </c>
      <c r="H268" s="1715">
        <f t="shared" si="12"/>
        <v>27631</v>
      </c>
      <c r="I268" s="1715">
        <f t="shared" si="12"/>
        <v>76232</v>
      </c>
      <c r="J268" s="1715">
        <f t="shared" si="12"/>
        <v>334391</v>
      </c>
      <c r="K268" s="1702">
        <f t="shared" si="12"/>
        <v>63941</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0" firstPageNumber="9" fitToHeight="0"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Normal="100" workbookViewId="0">
      <pane ySplit="2" topLeftCell="A141" activePane="bottomLeft" state="frozen"/>
      <selection activeCell="J31" sqref="J31"/>
      <selection pane="bottomLeft" activeCell="H170" sqref="H170"/>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2"/>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8" t="s">
        <v>297</v>
      </c>
      <c r="B3" s="2169"/>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2836994</v>
      </c>
      <c r="D5" s="466">
        <v>673603</v>
      </c>
      <c r="E5" s="466">
        <v>32070</v>
      </c>
      <c r="F5" s="466">
        <v>131992</v>
      </c>
      <c r="G5" s="466">
        <v>38000</v>
      </c>
      <c r="H5" s="466"/>
      <c r="I5" s="467"/>
      <c r="J5" s="467"/>
      <c r="K5" s="1671">
        <f>SUM(C5:J5)</f>
        <v>3712659</v>
      </c>
      <c r="L5" s="466">
        <v>3714504</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73414</v>
      </c>
      <c r="D7" s="467">
        <v>17996</v>
      </c>
      <c r="E7" s="467">
        <v>1000</v>
      </c>
      <c r="F7" s="467">
        <v>3990</v>
      </c>
      <c r="G7" s="467"/>
      <c r="H7" s="467"/>
      <c r="I7" s="467"/>
      <c r="J7" s="467"/>
      <c r="K7" s="1671">
        <f t="shared" ref="K7:K32" si="0">SUM(C7:J7)</f>
        <v>96400</v>
      </c>
      <c r="L7" s="466">
        <v>96924</v>
      </c>
    </row>
    <row r="8" spans="1:14" x14ac:dyDescent="0.2">
      <c r="A8" s="1504" t="s">
        <v>164</v>
      </c>
      <c r="B8" s="614">
        <v>1200</v>
      </c>
      <c r="C8" s="466">
        <v>972077</v>
      </c>
      <c r="D8" s="466">
        <v>181380</v>
      </c>
      <c r="E8" s="466">
        <v>10221</v>
      </c>
      <c r="F8" s="466">
        <v>4074</v>
      </c>
      <c r="G8" s="466"/>
      <c r="H8" s="466"/>
      <c r="I8" s="467"/>
      <c r="J8" s="467"/>
      <c r="K8" s="1671">
        <f t="shared" si="0"/>
        <v>1167752</v>
      </c>
      <c r="L8" s="466">
        <v>1176961</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184868</v>
      </c>
      <c r="D13" s="466">
        <v>46745</v>
      </c>
      <c r="E13" s="466">
        <v>8890</v>
      </c>
      <c r="F13" s="466">
        <v>10834</v>
      </c>
      <c r="G13" s="466">
        <v>2026</v>
      </c>
      <c r="H13" s="466"/>
      <c r="I13" s="467"/>
      <c r="J13" s="467"/>
      <c r="K13" s="1671">
        <f t="shared" si="0"/>
        <v>253363</v>
      </c>
      <c r="L13" s="466">
        <v>256578</v>
      </c>
    </row>
    <row r="14" spans="1:14" x14ac:dyDescent="0.2">
      <c r="A14" s="1504" t="s">
        <v>963</v>
      </c>
      <c r="B14" s="614">
        <v>1500</v>
      </c>
      <c r="C14" s="466">
        <v>238933</v>
      </c>
      <c r="D14" s="466">
        <v>30272</v>
      </c>
      <c r="E14" s="466">
        <v>51374</v>
      </c>
      <c r="F14" s="466">
        <v>17440</v>
      </c>
      <c r="G14" s="466">
        <v>11409</v>
      </c>
      <c r="H14" s="466"/>
      <c r="I14" s="467"/>
      <c r="J14" s="467"/>
      <c r="K14" s="1671">
        <f t="shared" si="0"/>
        <v>349428</v>
      </c>
      <c r="L14" s="466">
        <v>350311</v>
      </c>
    </row>
    <row r="15" spans="1:14" x14ac:dyDescent="0.2">
      <c r="A15" s="1504" t="s">
        <v>964</v>
      </c>
      <c r="B15" s="614">
        <v>1600</v>
      </c>
      <c r="C15" s="466">
        <v>6148</v>
      </c>
      <c r="D15" s="466">
        <v>596</v>
      </c>
      <c r="E15" s="466">
        <v>597</v>
      </c>
      <c r="F15" s="466"/>
      <c r="G15" s="466"/>
      <c r="H15" s="466">
        <v>50</v>
      </c>
      <c r="I15" s="467"/>
      <c r="J15" s="467"/>
      <c r="K15" s="1671">
        <f t="shared" si="0"/>
        <v>7391</v>
      </c>
      <c r="L15" s="466">
        <v>11097</v>
      </c>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39984</v>
      </c>
      <c r="D17" s="467">
        <v>11250</v>
      </c>
      <c r="E17" s="467">
        <v>372</v>
      </c>
      <c r="F17" s="467">
        <v>7</v>
      </c>
      <c r="G17" s="467"/>
      <c r="H17" s="467"/>
      <c r="I17" s="467"/>
      <c r="J17" s="467"/>
      <c r="K17" s="1671">
        <f t="shared" si="0"/>
        <v>51613</v>
      </c>
      <c r="L17" s="466">
        <v>51713</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v>210460</v>
      </c>
      <c r="I22" s="616"/>
      <c r="J22" s="477"/>
      <c r="K22" s="1671">
        <f t="shared" si="0"/>
        <v>210460</v>
      </c>
      <c r="L22" s="471">
        <v>215000</v>
      </c>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4352418</v>
      </c>
      <c r="D33" s="1670">
        <f t="shared" ref="D33:L33" si="1">SUM(D5:D32)</f>
        <v>961842</v>
      </c>
      <c r="E33" s="1670">
        <f t="shared" si="1"/>
        <v>104524</v>
      </c>
      <c r="F33" s="1670">
        <f t="shared" si="1"/>
        <v>168337</v>
      </c>
      <c r="G33" s="1670">
        <f t="shared" si="1"/>
        <v>51435</v>
      </c>
      <c r="H33" s="1670">
        <f t="shared" si="1"/>
        <v>210510</v>
      </c>
      <c r="I33" s="1670">
        <f t="shared" si="1"/>
        <v>0</v>
      </c>
      <c r="J33" s="1670">
        <f t="shared" si="1"/>
        <v>0</v>
      </c>
      <c r="K33" s="1670">
        <f t="shared" si="1"/>
        <v>5849066</v>
      </c>
      <c r="L33" s="1670">
        <f t="shared" si="1"/>
        <v>5873088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85390</v>
      </c>
      <c r="D36" s="481">
        <v>20579</v>
      </c>
      <c r="E36" s="481"/>
      <c r="F36" s="481"/>
      <c r="G36" s="481"/>
      <c r="H36" s="481"/>
      <c r="I36" s="467"/>
      <c r="J36" s="467"/>
      <c r="K36" s="1671">
        <f t="shared" ref="K36:K41" si="2">SUM(C36:J36)</f>
        <v>105969</v>
      </c>
      <c r="L36" s="466">
        <v>107836</v>
      </c>
    </row>
    <row r="37" spans="1:14" x14ac:dyDescent="0.2">
      <c r="A37" s="1504" t="s">
        <v>1090</v>
      </c>
      <c r="B37" s="614">
        <v>2120</v>
      </c>
      <c r="C37" s="466">
        <v>46763</v>
      </c>
      <c r="D37" s="466">
        <v>6893</v>
      </c>
      <c r="E37" s="466">
        <v>431</v>
      </c>
      <c r="F37" s="466"/>
      <c r="G37" s="466"/>
      <c r="H37" s="466"/>
      <c r="I37" s="467"/>
      <c r="J37" s="467"/>
      <c r="K37" s="1671">
        <f t="shared" si="2"/>
        <v>54087</v>
      </c>
      <c r="L37" s="466">
        <v>54332</v>
      </c>
    </row>
    <row r="38" spans="1:14" x14ac:dyDescent="0.2">
      <c r="A38" s="1504" t="s">
        <v>198</v>
      </c>
      <c r="B38" s="614">
        <v>2130</v>
      </c>
      <c r="C38" s="466"/>
      <c r="D38" s="466"/>
      <c r="E38" s="466">
        <v>550</v>
      </c>
      <c r="F38" s="466">
        <v>616</v>
      </c>
      <c r="G38" s="466"/>
      <c r="H38" s="466"/>
      <c r="I38" s="467"/>
      <c r="J38" s="467"/>
      <c r="K38" s="1671">
        <f t="shared" si="2"/>
        <v>1166</v>
      </c>
      <c r="L38" s="466">
        <v>1179</v>
      </c>
    </row>
    <row r="39" spans="1:14" x14ac:dyDescent="0.2">
      <c r="A39" s="1504" t="s">
        <v>199</v>
      </c>
      <c r="B39" s="614">
        <v>2140</v>
      </c>
      <c r="C39" s="466">
        <v>50654</v>
      </c>
      <c r="D39" s="466">
        <v>12735</v>
      </c>
      <c r="E39" s="466"/>
      <c r="F39" s="466"/>
      <c r="G39" s="466"/>
      <c r="H39" s="466"/>
      <c r="I39" s="467"/>
      <c r="J39" s="467"/>
      <c r="K39" s="1671">
        <f t="shared" si="2"/>
        <v>63389</v>
      </c>
      <c r="L39" s="466">
        <v>63429</v>
      </c>
    </row>
    <row r="40" spans="1:14" x14ac:dyDescent="0.2">
      <c r="A40" s="1504" t="s">
        <v>200</v>
      </c>
      <c r="B40" s="614">
        <v>2150</v>
      </c>
      <c r="C40" s="466">
        <v>118827</v>
      </c>
      <c r="D40" s="466">
        <v>33517</v>
      </c>
      <c r="E40" s="466"/>
      <c r="F40" s="466"/>
      <c r="G40" s="466"/>
      <c r="H40" s="466"/>
      <c r="I40" s="467"/>
      <c r="J40" s="467"/>
      <c r="K40" s="1671">
        <f t="shared" si="2"/>
        <v>152344</v>
      </c>
      <c r="L40" s="466">
        <v>152521</v>
      </c>
    </row>
    <row r="41" spans="1:14" x14ac:dyDescent="0.2">
      <c r="A41" s="1504" t="s">
        <v>1669</v>
      </c>
      <c r="B41" s="614">
        <v>2190</v>
      </c>
      <c r="C41" s="466">
        <v>65151</v>
      </c>
      <c r="D41" s="466">
        <v>8459</v>
      </c>
      <c r="E41" s="466"/>
      <c r="F41" s="466"/>
      <c r="G41" s="466"/>
      <c r="H41" s="466"/>
      <c r="I41" s="467"/>
      <c r="J41" s="467"/>
      <c r="K41" s="1671">
        <f t="shared" si="2"/>
        <v>73610</v>
      </c>
      <c r="L41" s="466">
        <v>73765</v>
      </c>
    </row>
    <row r="42" spans="1:14" ht="12.75" customHeight="1" thickBot="1" x14ac:dyDescent="0.25">
      <c r="A42" s="1668" t="s">
        <v>560</v>
      </c>
      <c r="B42" s="1669" t="s">
        <v>716</v>
      </c>
      <c r="C42" s="1670">
        <f>SUM(C36:C41)</f>
        <v>366785</v>
      </c>
      <c r="D42" s="1670">
        <f t="shared" ref="D42:L42" si="3">SUM(D36:D41)</f>
        <v>82183</v>
      </c>
      <c r="E42" s="1670">
        <f t="shared" si="3"/>
        <v>981</v>
      </c>
      <c r="F42" s="1670">
        <f t="shared" si="3"/>
        <v>616</v>
      </c>
      <c r="G42" s="1670">
        <f t="shared" si="3"/>
        <v>0</v>
      </c>
      <c r="H42" s="1670">
        <f t="shared" si="3"/>
        <v>0</v>
      </c>
      <c r="I42" s="1670">
        <f t="shared" si="3"/>
        <v>0</v>
      </c>
      <c r="J42" s="1670">
        <f t="shared" si="3"/>
        <v>0</v>
      </c>
      <c r="K42" s="1670">
        <f t="shared" si="3"/>
        <v>450565</v>
      </c>
      <c r="L42" s="1670">
        <f t="shared" si="3"/>
        <v>453062</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4550</v>
      </c>
      <c r="D44" s="481">
        <v>587</v>
      </c>
      <c r="E44" s="481">
        <v>8172</v>
      </c>
      <c r="F44" s="481"/>
      <c r="G44" s="481"/>
      <c r="H44" s="481"/>
      <c r="I44" s="467"/>
      <c r="J44" s="467"/>
      <c r="K44" s="1672">
        <f>SUM(C44:J44)</f>
        <v>13309</v>
      </c>
      <c r="L44" s="481">
        <v>13129</v>
      </c>
    </row>
    <row r="45" spans="1:14" x14ac:dyDescent="0.2">
      <c r="A45" s="1504" t="s">
        <v>815</v>
      </c>
      <c r="B45" s="614">
        <v>2220</v>
      </c>
      <c r="C45" s="466">
        <v>151606</v>
      </c>
      <c r="D45" s="466">
        <v>39936</v>
      </c>
      <c r="E45" s="466">
        <v>7562</v>
      </c>
      <c r="F45" s="466">
        <v>1490</v>
      </c>
      <c r="G45" s="466"/>
      <c r="H45" s="466"/>
      <c r="I45" s="467"/>
      <c r="J45" s="467"/>
      <c r="K45" s="1672">
        <f>SUM(C45:J45)</f>
        <v>200594</v>
      </c>
      <c r="L45" s="466">
        <v>200889</v>
      </c>
    </row>
    <row r="46" spans="1:14" x14ac:dyDescent="0.2">
      <c r="A46" s="1504" t="s">
        <v>816</v>
      </c>
      <c r="B46" s="614">
        <v>2230</v>
      </c>
      <c r="C46" s="466"/>
      <c r="D46" s="466"/>
      <c r="E46" s="466">
        <v>152</v>
      </c>
      <c r="F46" s="466"/>
      <c r="G46" s="466"/>
      <c r="H46" s="466"/>
      <c r="I46" s="467"/>
      <c r="J46" s="467"/>
      <c r="K46" s="1672">
        <f>SUM(C46:J46)</f>
        <v>152</v>
      </c>
      <c r="L46" s="466"/>
    </row>
    <row r="47" spans="1:14" ht="12.75" customHeight="1" thickBot="1" x14ac:dyDescent="0.25">
      <c r="A47" s="1668" t="s">
        <v>561</v>
      </c>
      <c r="B47" s="1669" t="s">
        <v>32</v>
      </c>
      <c r="C47" s="1670">
        <f>SUM(C44:C46)</f>
        <v>156156</v>
      </c>
      <c r="D47" s="1670">
        <f t="shared" ref="D47:K47" si="4">SUM(D44:D46)</f>
        <v>40523</v>
      </c>
      <c r="E47" s="1670">
        <f t="shared" si="4"/>
        <v>15886</v>
      </c>
      <c r="F47" s="1670">
        <f t="shared" si="4"/>
        <v>1490</v>
      </c>
      <c r="G47" s="1670">
        <f t="shared" si="4"/>
        <v>0</v>
      </c>
      <c r="H47" s="1670">
        <f t="shared" si="4"/>
        <v>0</v>
      </c>
      <c r="I47" s="1670">
        <f t="shared" si="4"/>
        <v>0</v>
      </c>
      <c r="J47" s="1670">
        <f t="shared" si="4"/>
        <v>0</v>
      </c>
      <c r="K47" s="1670">
        <f t="shared" si="4"/>
        <v>214055</v>
      </c>
      <c r="L47" s="1670">
        <f>SUM(L44:L46)</f>
        <v>214018</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1212</v>
      </c>
      <c r="D49" s="481"/>
      <c r="E49" s="481">
        <v>34913</v>
      </c>
      <c r="F49" s="481">
        <v>835</v>
      </c>
      <c r="G49" s="481"/>
      <c r="H49" s="481">
        <v>342</v>
      </c>
      <c r="I49" s="467"/>
      <c r="J49" s="467"/>
      <c r="K49" s="1672">
        <f>SUM(C49:J49)</f>
        <v>37302</v>
      </c>
      <c r="L49" s="481">
        <v>36695</v>
      </c>
    </row>
    <row r="50" spans="1:14" x14ac:dyDescent="0.2">
      <c r="A50" s="1504" t="s">
        <v>818</v>
      </c>
      <c r="B50" s="614">
        <v>2320</v>
      </c>
      <c r="C50" s="466">
        <v>117996</v>
      </c>
      <c r="D50" s="466">
        <v>27078</v>
      </c>
      <c r="E50" s="466">
        <v>5952</v>
      </c>
      <c r="F50" s="466">
        <v>1414</v>
      </c>
      <c r="G50" s="466"/>
      <c r="H50" s="466">
        <v>1993</v>
      </c>
      <c r="I50" s="467"/>
      <c r="J50" s="467"/>
      <c r="K50" s="1672">
        <f>SUM(C50:J50)</f>
        <v>154433</v>
      </c>
      <c r="L50" s="466">
        <v>154436</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119208</v>
      </c>
      <c r="D53" s="1670">
        <f t="shared" ref="D53:L53" si="5">SUM(D49:D52)</f>
        <v>27078</v>
      </c>
      <c r="E53" s="1670">
        <f t="shared" si="5"/>
        <v>40865</v>
      </c>
      <c r="F53" s="1670">
        <f t="shared" si="5"/>
        <v>2249</v>
      </c>
      <c r="G53" s="1670">
        <f t="shared" si="5"/>
        <v>0</v>
      </c>
      <c r="H53" s="1670">
        <f t="shared" si="5"/>
        <v>2335</v>
      </c>
      <c r="I53" s="1670">
        <f t="shared" si="5"/>
        <v>0</v>
      </c>
      <c r="J53" s="1670">
        <f t="shared" si="5"/>
        <v>0</v>
      </c>
      <c r="K53" s="1670">
        <f t="shared" si="5"/>
        <v>191735</v>
      </c>
      <c r="L53" s="1670">
        <f t="shared" si="5"/>
        <v>191131</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416900</v>
      </c>
      <c r="D55" s="481">
        <v>92510</v>
      </c>
      <c r="E55" s="481">
        <v>9867</v>
      </c>
      <c r="F55" s="481">
        <v>7524</v>
      </c>
      <c r="G55" s="481"/>
      <c r="H55" s="481">
        <v>2291</v>
      </c>
      <c r="I55" s="467"/>
      <c r="J55" s="467"/>
      <c r="K55" s="1672">
        <f>SUM(C55:J55)</f>
        <v>529092</v>
      </c>
      <c r="L55" s="481">
        <v>528468</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416900</v>
      </c>
      <c r="D57" s="1674">
        <f t="shared" ref="D57:K57" si="6">SUM(D55:D56)</f>
        <v>92510</v>
      </c>
      <c r="E57" s="1674">
        <f t="shared" si="6"/>
        <v>9867</v>
      </c>
      <c r="F57" s="1674">
        <f t="shared" si="6"/>
        <v>7524</v>
      </c>
      <c r="G57" s="1674">
        <f t="shared" si="6"/>
        <v>0</v>
      </c>
      <c r="H57" s="1674">
        <f t="shared" si="6"/>
        <v>2291</v>
      </c>
      <c r="I57" s="1674">
        <f t="shared" si="6"/>
        <v>0</v>
      </c>
      <c r="J57" s="1674">
        <f t="shared" si="6"/>
        <v>0</v>
      </c>
      <c r="K57" s="1674">
        <f t="shared" si="6"/>
        <v>529092</v>
      </c>
      <c r="L57" s="1670">
        <f>SUM(L55:L56)</f>
        <v>528468</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58875</v>
      </c>
      <c r="D60" s="466">
        <v>5903</v>
      </c>
      <c r="E60" s="466"/>
      <c r="F60" s="466">
        <v>1648</v>
      </c>
      <c r="G60" s="466"/>
      <c r="H60" s="466"/>
      <c r="I60" s="467"/>
      <c r="J60" s="467"/>
      <c r="K60" s="1672">
        <f t="shared" si="7"/>
        <v>66426</v>
      </c>
      <c r="L60" s="466">
        <v>66853</v>
      </c>
      <c r="M60" s="609"/>
      <c r="N60" s="609"/>
    </row>
    <row r="61" spans="1:14" s="343" customFormat="1" x14ac:dyDescent="0.2">
      <c r="A61" s="1504" t="s">
        <v>197</v>
      </c>
      <c r="B61" s="614">
        <v>2540</v>
      </c>
      <c r="C61" s="466"/>
      <c r="D61" s="466"/>
      <c r="E61" s="466">
        <v>90061</v>
      </c>
      <c r="F61" s="466"/>
      <c r="G61" s="466"/>
      <c r="H61" s="466"/>
      <c r="I61" s="467"/>
      <c r="J61" s="467"/>
      <c r="K61" s="1672">
        <f t="shared" si="7"/>
        <v>90061</v>
      </c>
      <c r="L61" s="466">
        <v>90500</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143205</v>
      </c>
      <c r="D63" s="466">
        <v>24237</v>
      </c>
      <c r="E63" s="466">
        <v>1495</v>
      </c>
      <c r="F63" s="466">
        <v>195145</v>
      </c>
      <c r="G63" s="466">
        <v>6097</v>
      </c>
      <c r="H63" s="466"/>
      <c r="I63" s="467"/>
      <c r="J63" s="467"/>
      <c r="K63" s="1672">
        <f t="shared" si="7"/>
        <v>370179</v>
      </c>
      <c r="L63" s="466">
        <v>383568</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202080</v>
      </c>
      <c r="D65" s="1670">
        <f t="shared" ref="D65:L65" si="8">SUM(D59:D64)</f>
        <v>30140</v>
      </c>
      <c r="E65" s="1670">
        <f t="shared" si="8"/>
        <v>91556</v>
      </c>
      <c r="F65" s="1670">
        <f t="shared" si="8"/>
        <v>196793</v>
      </c>
      <c r="G65" s="1670">
        <f t="shared" si="8"/>
        <v>6097</v>
      </c>
      <c r="H65" s="1670">
        <f t="shared" si="8"/>
        <v>0</v>
      </c>
      <c r="I65" s="1670">
        <f t="shared" si="8"/>
        <v>0</v>
      </c>
      <c r="J65" s="1670">
        <f t="shared" si="8"/>
        <v>0</v>
      </c>
      <c r="K65" s="1670">
        <f t="shared" si="8"/>
        <v>526666</v>
      </c>
      <c r="L65" s="1670">
        <f t="shared" si="8"/>
        <v>540921</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v>182099</v>
      </c>
      <c r="F71" s="466">
        <v>41653</v>
      </c>
      <c r="G71" s="466">
        <v>6684</v>
      </c>
      <c r="H71" s="466"/>
      <c r="I71" s="467"/>
      <c r="J71" s="467"/>
      <c r="K71" s="1672">
        <f>SUM(C71:J71)</f>
        <v>230436</v>
      </c>
      <c r="L71" s="466">
        <v>238511</v>
      </c>
      <c r="M71" s="609"/>
      <c r="N71" s="609"/>
    </row>
    <row r="72" spans="1:14" s="343" customFormat="1" ht="12.75" customHeight="1" thickBot="1" x14ac:dyDescent="0.25">
      <c r="A72" s="1668" t="s">
        <v>37</v>
      </c>
      <c r="B72" s="1675" t="s">
        <v>36</v>
      </c>
      <c r="C72" s="1670">
        <f>SUM(C67:C71)</f>
        <v>0</v>
      </c>
      <c r="D72" s="1670">
        <f t="shared" ref="D72:K72" si="9">SUM(D67:D71)</f>
        <v>0</v>
      </c>
      <c r="E72" s="1670">
        <f t="shared" si="9"/>
        <v>182099</v>
      </c>
      <c r="F72" s="1670">
        <f t="shared" si="9"/>
        <v>41653</v>
      </c>
      <c r="G72" s="1670">
        <f t="shared" si="9"/>
        <v>6684</v>
      </c>
      <c r="H72" s="1670">
        <f t="shared" si="9"/>
        <v>0</v>
      </c>
      <c r="I72" s="1670">
        <f t="shared" si="9"/>
        <v>0</v>
      </c>
      <c r="J72" s="1670">
        <f t="shared" si="9"/>
        <v>0</v>
      </c>
      <c r="K72" s="1670">
        <f t="shared" si="9"/>
        <v>230436</v>
      </c>
      <c r="L72" s="1670">
        <f>SUM(L67:L71)</f>
        <v>238511</v>
      </c>
      <c r="M72" s="609"/>
      <c r="N72" s="609"/>
    </row>
    <row r="73" spans="1:14" s="343" customFormat="1" ht="14.25" thickTop="1" thickBot="1" x14ac:dyDescent="0.25">
      <c r="A73" s="1510" t="s">
        <v>980</v>
      </c>
      <c r="B73" s="632" t="s">
        <v>574</v>
      </c>
      <c r="C73" s="573"/>
      <c r="D73" s="573"/>
      <c r="E73" s="573"/>
      <c r="F73" s="573">
        <v>100</v>
      </c>
      <c r="G73" s="573"/>
      <c r="H73" s="573"/>
      <c r="I73" s="531"/>
      <c r="J73" s="531"/>
      <c r="K73" s="1670">
        <f>SUM(C73:J73)</f>
        <v>100</v>
      </c>
      <c r="L73" s="576">
        <v>50</v>
      </c>
      <c r="M73" s="609"/>
      <c r="N73" s="609"/>
    </row>
    <row r="74" spans="1:14" ht="12.75" customHeight="1" thickTop="1" thickBot="1" x14ac:dyDescent="0.25">
      <c r="A74" s="1668" t="s">
        <v>811</v>
      </c>
      <c r="B74" s="1676">
        <v>2000</v>
      </c>
      <c r="C74" s="1677">
        <f>SUM(C42,C47,C53,C57,C65,C72,C73)</f>
        <v>1261129</v>
      </c>
      <c r="D74" s="1677">
        <f t="shared" ref="D74:K74" si="10">SUM(D42,D47,D53,D57,D65,D72,D73)</f>
        <v>272434</v>
      </c>
      <c r="E74" s="1677">
        <f t="shared" si="10"/>
        <v>341254</v>
      </c>
      <c r="F74" s="1677">
        <f t="shared" si="10"/>
        <v>250425</v>
      </c>
      <c r="G74" s="1677">
        <f t="shared" si="10"/>
        <v>12781</v>
      </c>
      <c r="H74" s="1677">
        <f t="shared" si="10"/>
        <v>4626</v>
      </c>
      <c r="I74" s="1677">
        <f t="shared" si="10"/>
        <v>0</v>
      </c>
      <c r="J74" s="1677">
        <f t="shared" si="10"/>
        <v>0</v>
      </c>
      <c r="K74" s="1677">
        <f t="shared" si="10"/>
        <v>2142649</v>
      </c>
      <c r="L74" s="1677">
        <f>SUM(L42,L47,L53,L57,L65,L72,L73)</f>
        <v>2166161</v>
      </c>
    </row>
    <row r="75" spans="1:14" s="259" customFormat="1" ht="15.75" customHeight="1" thickTop="1" thickBot="1" x14ac:dyDescent="0.25">
      <c r="A75" s="1610" t="s">
        <v>47</v>
      </c>
      <c r="B75" s="1611" t="s">
        <v>575</v>
      </c>
      <c r="C75" s="573">
        <v>36203</v>
      </c>
      <c r="D75" s="573">
        <v>5532</v>
      </c>
      <c r="E75" s="573">
        <v>892</v>
      </c>
      <c r="F75" s="573">
        <v>3573</v>
      </c>
      <c r="G75" s="573"/>
      <c r="H75" s="573"/>
      <c r="I75" s="531"/>
      <c r="J75" s="531"/>
      <c r="K75" s="1670">
        <f>SUM(C75:J75)</f>
        <v>46200</v>
      </c>
      <c r="L75" s="576">
        <v>44760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39381</v>
      </c>
      <c r="F79" s="616"/>
      <c r="G79" s="616"/>
      <c r="H79" s="466">
        <v>108888</v>
      </c>
      <c r="I79" s="477"/>
      <c r="J79" s="477"/>
      <c r="K79" s="1671">
        <f t="shared" si="11"/>
        <v>148269</v>
      </c>
      <c r="L79" s="466">
        <v>170000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39381</v>
      </c>
      <c r="F84" s="616"/>
      <c r="G84" s="616"/>
      <c r="H84" s="1670">
        <f>SUM(H78:H83)</f>
        <v>108888</v>
      </c>
      <c r="I84" s="477"/>
      <c r="J84" s="477"/>
      <c r="K84" s="1670">
        <f>SUM(K78:K83)</f>
        <v>148269</v>
      </c>
      <c r="L84" s="1670">
        <f>SUM(L78:L83)</f>
        <v>170000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39381</v>
      </c>
      <c r="F102" s="616"/>
      <c r="G102" s="616"/>
      <c r="H102" s="1677">
        <f>SUM(H84,H92,H100,H101)</f>
        <v>108888</v>
      </c>
      <c r="I102" s="477"/>
      <c r="J102" s="477"/>
      <c r="K102" s="1677">
        <f>SUM(K84,K92,K100,K101)</f>
        <v>148269</v>
      </c>
      <c r="L102" s="1677">
        <f>SUM(L84,L92,L100,L101)</f>
        <v>170000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5649750</v>
      </c>
      <c r="D114" s="1670">
        <f t="shared" ref="D114:K114" si="13">SUM(D33,D74,D75,D102,D112,D113)</f>
        <v>1239808</v>
      </c>
      <c r="E114" s="1670">
        <f t="shared" si="13"/>
        <v>486051</v>
      </c>
      <c r="F114" s="1670">
        <f t="shared" si="13"/>
        <v>422335</v>
      </c>
      <c r="G114" s="1670">
        <f t="shared" si="13"/>
        <v>64216</v>
      </c>
      <c r="H114" s="1670">
        <f>SUM(H33,H74,H75,H102,H112,H113)</f>
        <v>324024</v>
      </c>
      <c r="I114" s="1670">
        <f t="shared" si="13"/>
        <v>0</v>
      </c>
      <c r="J114" s="1670">
        <f t="shared" si="13"/>
        <v>0</v>
      </c>
      <c r="K114" s="1670">
        <f t="shared" si="13"/>
        <v>8186184</v>
      </c>
      <c r="L114" s="1670">
        <f>SUM(L33,L74,L75,L102,L112,L113)</f>
        <v>8254009</v>
      </c>
    </row>
    <row r="115" spans="1:14" ht="13.5" thickTop="1" x14ac:dyDescent="0.2">
      <c r="A115" s="2160" t="s">
        <v>996</v>
      </c>
      <c r="B115" s="2161"/>
      <c r="C115" s="618"/>
      <c r="D115" s="618"/>
      <c r="E115" s="618"/>
      <c r="F115" s="618"/>
      <c r="G115" s="618"/>
      <c r="H115" s="618"/>
      <c r="I115" s="618"/>
      <c r="J115" s="618"/>
      <c r="K115" s="1684">
        <f>'Revenues 9-14'!C268-'Expenditures 15-22'!K114</f>
        <v>553922</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296</v>
      </c>
      <c r="B117" s="2166"/>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318210</v>
      </c>
      <c r="D124" s="466">
        <v>44009</v>
      </c>
      <c r="E124" s="466">
        <v>126418</v>
      </c>
      <c r="F124" s="466">
        <v>337372</v>
      </c>
      <c r="G124" s="466">
        <v>11279</v>
      </c>
      <c r="H124" s="466"/>
      <c r="I124" s="467"/>
      <c r="J124" s="467"/>
      <c r="K124" s="1670">
        <f>SUM(C124:J124)</f>
        <v>837288</v>
      </c>
      <c r="L124" s="466">
        <v>858906</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318210</v>
      </c>
      <c r="D127" s="1670">
        <f t="shared" ref="D127:L127" si="14">SUM(D122:D126)</f>
        <v>44009</v>
      </c>
      <c r="E127" s="1670">
        <f t="shared" si="14"/>
        <v>126418</v>
      </c>
      <c r="F127" s="1670">
        <f t="shared" si="14"/>
        <v>337372</v>
      </c>
      <c r="G127" s="1670">
        <f t="shared" si="14"/>
        <v>11279</v>
      </c>
      <c r="H127" s="1670">
        <f t="shared" si="14"/>
        <v>0</v>
      </c>
      <c r="I127" s="1670">
        <f t="shared" si="14"/>
        <v>0</v>
      </c>
      <c r="J127" s="1670">
        <f t="shared" si="14"/>
        <v>0</v>
      </c>
      <c r="K127" s="1670">
        <f t="shared" si="14"/>
        <v>837288</v>
      </c>
      <c r="L127" s="1670">
        <f t="shared" si="14"/>
        <v>858906</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318210</v>
      </c>
      <c r="D129" s="1677">
        <f t="shared" ref="D129:L129" si="15">SUM(D120,D127,D128)</f>
        <v>44009</v>
      </c>
      <c r="E129" s="1677">
        <f t="shared" si="15"/>
        <v>126418</v>
      </c>
      <c r="F129" s="1677">
        <f t="shared" si="15"/>
        <v>337372</v>
      </c>
      <c r="G129" s="1677">
        <f t="shared" si="15"/>
        <v>11279</v>
      </c>
      <c r="H129" s="1677">
        <f t="shared" si="15"/>
        <v>0</v>
      </c>
      <c r="I129" s="1677">
        <f t="shared" si="15"/>
        <v>0</v>
      </c>
      <c r="J129" s="1677">
        <f t="shared" si="15"/>
        <v>0</v>
      </c>
      <c r="K129" s="1677">
        <f t="shared" si="15"/>
        <v>837288</v>
      </c>
      <c r="L129" s="1677">
        <f t="shared" si="15"/>
        <v>858906</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7" t="s">
        <v>620</v>
      </c>
      <c r="B151" s="2157"/>
      <c r="C151" s="1670">
        <f>SUM(C129,C130,C139,C149,C150)</f>
        <v>318210</v>
      </c>
      <c r="D151" s="1670">
        <f t="shared" ref="D151:K151" si="16">SUM(D129,D130,D139,D149,D150)</f>
        <v>44009</v>
      </c>
      <c r="E151" s="1670">
        <f t="shared" si="16"/>
        <v>126418</v>
      </c>
      <c r="F151" s="1670">
        <f t="shared" si="16"/>
        <v>337372</v>
      </c>
      <c r="G151" s="1670">
        <f t="shared" si="16"/>
        <v>11279</v>
      </c>
      <c r="H151" s="1670">
        <f t="shared" si="16"/>
        <v>0</v>
      </c>
      <c r="I151" s="1670">
        <f t="shared" si="16"/>
        <v>0</v>
      </c>
      <c r="J151" s="1670">
        <f t="shared" si="16"/>
        <v>0</v>
      </c>
      <c r="K151" s="1670">
        <f t="shared" si="16"/>
        <v>837288</v>
      </c>
      <c r="L151" s="1670">
        <f>SUM(L129,L130,L139,L149,L150)</f>
        <v>858906</v>
      </c>
    </row>
    <row r="152" spans="1:14" ht="12.75" customHeight="1" thickTop="1" x14ac:dyDescent="0.2">
      <c r="A152" s="2180" t="s">
        <v>1178</v>
      </c>
      <c r="B152" s="2181"/>
      <c r="C152" s="618"/>
      <c r="D152" s="618"/>
      <c r="E152" s="618"/>
      <c r="F152" s="618"/>
      <c r="G152" s="618"/>
      <c r="H152" s="618"/>
      <c r="I152" s="618"/>
      <c r="J152" s="616"/>
      <c r="K152" s="1684">
        <f>'Revenues 9-14'!D268-'Expenditures 15-22'!K151</f>
        <v>-75852</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621</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578692</v>
      </c>
      <c r="I169" s="616"/>
      <c r="J169" s="616"/>
      <c r="K169" s="1671">
        <f>SUM(C169:H169)</f>
        <v>578692</v>
      </c>
      <c r="L169" s="656">
        <v>578692</v>
      </c>
    </row>
    <row r="170" spans="1:14" ht="33.75" customHeight="1" x14ac:dyDescent="0.2">
      <c r="A170" s="669" t="s">
        <v>1670</v>
      </c>
      <c r="B170" s="671" t="s">
        <v>31</v>
      </c>
      <c r="C170" s="616"/>
      <c r="D170" s="616"/>
      <c r="E170" s="616"/>
      <c r="F170" s="616"/>
      <c r="G170" s="616"/>
      <c r="H170" s="569">
        <v>855000</v>
      </c>
      <c r="I170" s="616"/>
      <c r="J170" s="616"/>
      <c r="K170" s="1671">
        <f>SUM(C170:J170)</f>
        <v>855000</v>
      </c>
      <c r="L170" s="569">
        <v>855000</v>
      </c>
    </row>
    <row r="171" spans="1:14" ht="15.75" customHeight="1" x14ac:dyDescent="0.2">
      <c r="A171" s="621" t="s">
        <v>766</v>
      </c>
      <c r="B171" s="672" t="s">
        <v>84</v>
      </c>
      <c r="C171" s="616"/>
      <c r="D171" s="616"/>
      <c r="E171" s="466">
        <v>1036</v>
      </c>
      <c r="F171" s="616"/>
      <c r="G171" s="616"/>
      <c r="H171" s="569"/>
      <c r="I171" s="477"/>
      <c r="J171" s="616"/>
      <c r="K171" s="1671">
        <f>SUM(C171:J171)</f>
        <v>1036</v>
      </c>
      <c r="L171" s="569">
        <v>1040</v>
      </c>
    </row>
    <row r="172" spans="1:14" ht="12.75" customHeight="1" thickBot="1" x14ac:dyDescent="0.25">
      <c r="A172" s="1668" t="s">
        <v>638</v>
      </c>
      <c r="B172" s="1669" t="s">
        <v>492</v>
      </c>
      <c r="C172" s="616"/>
      <c r="D172" s="616"/>
      <c r="E172" s="1677">
        <f>SUM(E168,E169,E170,E171)</f>
        <v>1036</v>
      </c>
      <c r="F172" s="616"/>
      <c r="G172" s="616"/>
      <c r="H172" s="1677">
        <f>SUM(H168,H169,H170,H171)</f>
        <v>1433692</v>
      </c>
      <c r="I172" s="638"/>
      <c r="J172" s="616"/>
      <c r="K172" s="1677">
        <f>SUM(K168,K169,K170,K171)</f>
        <v>1434728</v>
      </c>
      <c r="L172" s="1677">
        <f>SUM(L168,L169,L170,L171)</f>
        <v>1434732</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1036</v>
      </c>
      <c r="F174" s="616"/>
      <c r="G174" s="616"/>
      <c r="H174" s="1677">
        <f>SUM(H160,H172,H173)</f>
        <v>1433692</v>
      </c>
      <c r="I174" s="638"/>
      <c r="J174" s="616"/>
      <c r="K174" s="1677">
        <f>SUM(K160,K172,K173)</f>
        <v>1434728</v>
      </c>
      <c r="L174" s="1677">
        <f>SUM(L160,L172,L173)</f>
        <v>1434732</v>
      </c>
    </row>
    <row r="175" spans="1:14" ht="13.5" thickTop="1" x14ac:dyDescent="0.2">
      <c r="A175" s="2160" t="s">
        <v>996</v>
      </c>
      <c r="B175" s="2161"/>
      <c r="C175" s="616"/>
      <c r="D175" s="616"/>
      <c r="E175" s="616"/>
      <c r="F175" s="616"/>
      <c r="G175" s="616"/>
      <c r="H175" s="618"/>
      <c r="I175" s="616"/>
      <c r="J175" s="616"/>
      <c r="K175" s="1684">
        <f>'Revenues 9-14'!E268-'Expenditures 15-22'!K174</f>
        <v>-564313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342703</v>
      </c>
      <c r="D182" s="466">
        <v>29124</v>
      </c>
      <c r="E182" s="466">
        <v>40307</v>
      </c>
      <c r="F182" s="466">
        <v>113931</v>
      </c>
      <c r="G182" s="466">
        <v>52298</v>
      </c>
      <c r="H182" s="466">
        <v>3866</v>
      </c>
      <c r="I182" s="467"/>
      <c r="J182" s="467"/>
      <c r="K182" s="1671">
        <f>SUM(C182:J182)</f>
        <v>582229</v>
      </c>
      <c r="L182" s="466">
        <v>578421</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342703</v>
      </c>
      <c r="D184" s="1677">
        <f t="shared" ref="D184:J184" si="17">SUM(D180,D182,D183)</f>
        <v>29124</v>
      </c>
      <c r="E184" s="1677">
        <f t="shared" si="17"/>
        <v>40307</v>
      </c>
      <c r="F184" s="1677">
        <f t="shared" si="17"/>
        <v>113931</v>
      </c>
      <c r="G184" s="1677">
        <f t="shared" si="17"/>
        <v>52298</v>
      </c>
      <c r="H184" s="1677">
        <f t="shared" si="17"/>
        <v>3866</v>
      </c>
      <c r="I184" s="1677">
        <f t="shared" si="17"/>
        <v>0</v>
      </c>
      <c r="J184" s="1677">
        <f t="shared" si="17"/>
        <v>0</v>
      </c>
      <c r="K184" s="1677">
        <f>SUM(K180,K182,K183)</f>
        <v>582229</v>
      </c>
      <c r="L184" s="1677">
        <f>SUM(L180, L182:L183)</f>
        <v>578421</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342703</v>
      </c>
      <c r="D210" s="1670">
        <f>SUM(D184,D185)</f>
        <v>29124</v>
      </c>
      <c r="E210" s="1670">
        <f>SUM(E184,E185,E196)</f>
        <v>40307</v>
      </c>
      <c r="F210" s="1670">
        <f>SUM(F184,F185)</f>
        <v>113931</v>
      </c>
      <c r="G210" s="1670">
        <f>SUM(G184,G185)</f>
        <v>52298</v>
      </c>
      <c r="H210" s="1670">
        <f>SUM(H184,H185,H196,H208,H209)</f>
        <v>3866</v>
      </c>
      <c r="I210" s="1670">
        <f>SUM(I184,I185)</f>
        <v>0</v>
      </c>
      <c r="J210" s="1670">
        <f>SUM(J184,J185)</f>
        <v>0</v>
      </c>
      <c r="K210" s="1671">
        <f>SUM(K184,K185,K196,K208,K209)</f>
        <v>582229</v>
      </c>
      <c r="L210" s="1670">
        <f>SUM(L184,L185,L196,L208,L209)</f>
        <v>578421</v>
      </c>
    </row>
    <row r="211" spans="1:14" ht="13.5" thickTop="1" x14ac:dyDescent="0.2">
      <c r="A211" s="2160" t="s">
        <v>996</v>
      </c>
      <c r="B211" s="2161"/>
      <c r="C211" s="618"/>
      <c r="D211" s="618"/>
      <c r="E211" s="618"/>
      <c r="F211" s="618"/>
      <c r="G211" s="618"/>
      <c r="H211" s="618"/>
      <c r="I211" s="616"/>
      <c r="J211" s="616"/>
      <c r="K211" s="1684">
        <f>'Revenues 9-14'!F268-'Expenditures 15-22'!K210</f>
        <v>-53469</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965</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62779</v>
      </c>
      <c r="E215" s="616"/>
      <c r="F215" s="616"/>
      <c r="G215" s="616"/>
      <c r="H215" s="616"/>
      <c r="I215" s="616"/>
      <c r="J215" s="616"/>
      <c r="K215" s="1671">
        <f>D215</f>
        <v>62779</v>
      </c>
      <c r="L215" s="466">
        <v>63766</v>
      </c>
    </row>
    <row r="216" spans="1:14" x14ac:dyDescent="0.2">
      <c r="A216" s="1504" t="s">
        <v>163</v>
      </c>
      <c r="B216" s="614" t="s">
        <v>967</v>
      </c>
      <c r="C216" s="616"/>
      <c r="D216" s="467">
        <v>3831</v>
      </c>
      <c r="E216" s="616"/>
      <c r="F216" s="616"/>
      <c r="G216" s="616"/>
      <c r="H216" s="616"/>
      <c r="I216" s="616"/>
      <c r="J216" s="616"/>
      <c r="K216" s="1671">
        <f t="shared" ref="K216:K228" si="19">D216</f>
        <v>3831</v>
      </c>
      <c r="L216" s="466">
        <v>3599</v>
      </c>
    </row>
    <row r="217" spans="1:14" x14ac:dyDescent="0.2">
      <c r="A217" s="1504" t="s">
        <v>164</v>
      </c>
      <c r="B217" s="614">
        <v>1200</v>
      </c>
      <c r="C217" s="616"/>
      <c r="D217" s="466">
        <v>73142</v>
      </c>
      <c r="E217" s="616"/>
      <c r="F217" s="616"/>
      <c r="G217" s="616"/>
      <c r="H217" s="616"/>
      <c r="I217" s="616"/>
      <c r="J217" s="616"/>
      <c r="K217" s="1671">
        <f t="shared" si="19"/>
        <v>73142</v>
      </c>
      <c r="L217" s="466">
        <v>71955</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2482</v>
      </c>
      <c r="E222" s="616"/>
      <c r="F222" s="616"/>
      <c r="G222" s="616"/>
      <c r="H222" s="616"/>
      <c r="I222" s="616"/>
      <c r="J222" s="616"/>
      <c r="K222" s="1671">
        <f t="shared" si="19"/>
        <v>2482</v>
      </c>
      <c r="L222" s="466">
        <v>2505</v>
      </c>
    </row>
    <row r="223" spans="1:14" x14ac:dyDescent="0.2">
      <c r="A223" s="1504" t="s">
        <v>963</v>
      </c>
      <c r="B223" s="614">
        <v>1500</v>
      </c>
      <c r="C223" s="616"/>
      <c r="D223" s="466">
        <v>7919</v>
      </c>
      <c r="E223" s="616"/>
      <c r="F223" s="616"/>
      <c r="G223" s="616"/>
      <c r="H223" s="616"/>
      <c r="I223" s="616"/>
      <c r="J223" s="616"/>
      <c r="K223" s="1671">
        <f t="shared" si="19"/>
        <v>7919</v>
      </c>
      <c r="L223" s="466">
        <v>7888</v>
      </c>
    </row>
    <row r="224" spans="1:14" x14ac:dyDescent="0.2">
      <c r="A224" s="1504" t="s">
        <v>964</v>
      </c>
      <c r="B224" s="614">
        <v>1600</v>
      </c>
      <c r="C224" s="616"/>
      <c r="D224" s="466">
        <v>312</v>
      </c>
      <c r="E224" s="616"/>
      <c r="F224" s="616"/>
      <c r="G224" s="616"/>
      <c r="H224" s="616"/>
      <c r="I224" s="616"/>
      <c r="J224" s="616"/>
      <c r="K224" s="1671">
        <f t="shared" si="19"/>
        <v>312</v>
      </c>
      <c r="L224" s="466">
        <v>200</v>
      </c>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561</v>
      </c>
      <c r="E226" s="616"/>
      <c r="F226" s="616"/>
      <c r="G226" s="616"/>
      <c r="H226" s="616"/>
      <c r="I226" s="616"/>
      <c r="J226" s="616"/>
      <c r="K226" s="1671">
        <f t="shared" si="19"/>
        <v>561</v>
      </c>
      <c r="L226" s="466">
        <v>550</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151026</v>
      </c>
      <c r="E229" s="616"/>
      <c r="F229" s="616"/>
      <c r="G229" s="616"/>
      <c r="H229" s="616"/>
      <c r="I229" s="616"/>
      <c r="J229" s="616"/>
      <c r="K229" s="1670">
        <f>SUM(K215:K228)</f>
        <v>151026</v>
      </c>
      <c r="L229" s="1670">
        <f>SUM(L215:L228)</f>
        <v>150463</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1125</v>
      </c>
      <c r="E232" s="616"/>
      <c r="F232" s="616"/>
      <c r="G232" s="616"/>
      <c r="H232" s="616"/>
      <c r="I232" s="616"/>
      <c r="J232" s="616"/>
      <c r="K232" s="1671">
        <f t="shared" ref="K232:K237" si="20">D232</f>
        <v>1125</v>
      </c>
      <c r="L232" s="466">
        <v>1125</v>
      </c>
    </row>
    <row r="233" spans="1:12" x14ac:dyDescent="0.2">
      <c r="A233" s="1504" t="s">
        <v>1090</v>
      </c>
      <c r="B233" s="614">
        <v>2120</v>
      </c>
      <c r="C233" s="616"/>
      <c r="D233" s="466">
        <v>674</v>
      </c>
      <c r="E233" s="616"/>
      <c r="F233" s="616"/>
      <c r="G233" s="616"/>
      <c r="H233" s="616"/>
      <c r="I233" s="616"/>
      <c r="J233" s="616"/>
      <c r="K233" s="1671">
        <f t="shared" si="20"/>
        <v>674</v>
      </c>
      <c r="L233" s="466">
        <v>750</v>
      </c>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v>717</v>
      </c>
      <c r="E235" s="616"/>
      <c r="F235" s="616"/>
      <c r="G235" s="616"/>
      <c r="H235" s="616"/>
      <c r="I235" s="616"/>
      <c r="J235" s="616"/>
      <c r="K235" s="1671">
        <f t="shared" si="20"/>
        <v>717</v>
      </c>
      <c r="L235" s="466">
        <v>720</v>
      </c>
    </row>
    <row r="236" spans="1:12" x14ac:dyDescent="0.2">
      <c r="A236" s="1504" t="s">
        <v>200</v>
      </c>
      <c r="B236" s="614">
        <v>2150</v>
      </c>
      <c r="C236" s="616"/>
      <c r="D236" s="466">
        <v>1483</v>
      </c>
      <c r="E236" s="616"/>
      <c r="F236" s="616"/>
      <c r="G236" s="616"/>
      <c r="H236" s="616"/>
      <c r="I236" s="616"/>
      <c r="J236" s="616"/>
      <c r="K236" s="1671">
        <f t="shared" si="20"/>
        <v>1483</v>
      </c>
      <c r="L236" s="466">
        <v>1500</v>
      </c>
    </row>
    <row r="237" spans="1:12" x14ac:dyDescent="0.2">
      <c r="A237" s="1504" t="s">
        <v>165</v>
      </c>
      <c r="B237" s="614">
        <v>2190</v>
      </c>
      <c r="C237" s="616"/>
      <c r="D237" s="466">
        <v>10269</v>
      </c>
      <c r="E237" s="616"/>
      <c r="F237" s="616"/>
      <c r="G237" s="616"/>
      <c r="H237" s="616"/>
      <c r="I237" s="616"/>
      <c r="J237" s="616"/>
      <c r="K237" s="1671">
        <f t="shared" si="20"/>
        <v>10269</v>
      </c>
      <c r="L237" s="466">
        <v>10460</v>
      </c>
    </row>
    <row r="238" spans="1:12" ht="12.75" customHeight="1" thickBot="1" x14ac:dyDescent="0.25">
      <c r="A238" s="1668" t="s">
        <v>560</v>
      </c>
      <c r="B238" s="1675" t="s">
        <v>716</v>
      </c>
      <c r="C238" s="616"/>
      <c r="D238" s="1670">
        <f>SUM(D232:D237)</f>
        <v>14268</v>
      </c>
      <c r="E238" s="616"/>
      <c r="F238" s="616"/>
      <c r="G238" s="616"/>
      <c r="H238" s="616"/>
      <c r="I238" s="616"/>
      <c r="J238" s="616"/>
      <c r="K238" s="1670">
        <f>SUM(K232:K237)</f>
        <v>14268</v>
      </c>
      <c r="L238" s="1670">
        <f>SUM(L232:L237)</f>
        <v>14555</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66</v>
      </c>
      <c r="E240" s="616"/>
      <c r="F240" s="616"/>
      <c r="G240" s="616"/>
      <c r="H240" s="616"/>
      <c r="I240" s="616"/>
      <c r="J240" s="616"/>
      <c r="K240" s="1672">
        <f>D240</f>
        <v>66</v>
      </c>
      <c r="L240" s="481">
        <v>33</v>
      </c>
    </row>
    <row r="241" spans="1:12" x14ac:dyDescent="0.2">
      <c r="A241" s="1504" t="s">
        <v>815</v>
      </c>
      <c r="B241" s="614">
        <v>2220</v>
      </c>
      <c r="C241" s="616"/>
      <c r="D241" s="466">
        <v>5692</v>
      </c>
      <c r="E241" s="616"/>
      <c r="F241" s="616"/>
      <c r="G241" s="616"/>
      <c r="H241" s="616"/>
      <c r="I241" s="616"/>
      <c r="J241" s="616"/>
      <c r="K241" s="1672">
        <f>D241</f>
        <v>5692</v>
      </c>
      <c r="L241" s="466">
        <v>5790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5758</v>
      </c>
      <c r="E243" s="616"/>
      <c r="F243" s="616"/>
      <c r="G243" s="616"/>
      <c r="H243" s="616"/>
      <c r="I243" s="616"/>
      <c r="J243" s="616"/>
      <c r="K243" s="1670">
        <f>SUM(K240:K242)</f>
        <v>5758</v>
      </c>
      <c r="L243" s="1670">
        <f>SUM(L240:L242)</f>
        <v>5823</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205</v>
      </c>
      <c r="E245" s="616"/>
      <c r="F245" s="616"/>
      <c r="G245" s="616"/>
      <c r="H245" s="616"/>
      <c r="I245" s="616"/>
      <c r="J245" s="616"/>
      <c r="K245" s="1672">
        <f>D245</f>
        <v>205</v>
      </c>
      <c r="L245" s="481">
        <v>213</v>
      </c>
    </row>
    <row r="246" spans="1:12" x14ac:dyDescent="0.2">
      <c r="A246" s="1504" t="s">
        <v>818</v>
      </c>
      <c r="B246" s="614">
        <v>2320</v>
      </c>
      <c r="C246" s="616"/>
      <c r="D246" s="466">
        <v>5570</v>
      </c>
      <c r="E246" s="616"/>
      <c r="F246" s="616"/>
      <c r="G246" s="616"/>
      <c r="H246" s="616"/>
      <c r="I246" s="616"/>
      <c r="J246" s="616"/>
      <c r="K246" s="1672">
        <f t="shared" ref="K246:K256" si="21">D246</f>
        <v>5570</v>
      </c>
      <c r="L246" s="466">
        <v>5830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13320</v>
      </c>
      <c r="E254" s="616"/>
      <c r="F254" s="616"/>
      <c r="G254" s="616"/>
      <c r="H254" s="616"/>
      <c r="I254" s="616"/>
      <c r="J254" s="616"/>
      <c r="K254" s="1672">
        <f t="shared" si="21"/>
        <v>13320</v>
      </c>
      <c r="L254" s="466">
        <v>13320</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19095</v>
      </c>
      <c r="E257" s="616"/>
      <c r="F257" s="616"/>
      <c r="G257" s="616"/>
      <c r="H257" s="616"/>
      <c r="I257" s="616"/>
      <c r="J257" s="616"/>
      <c r="K257" s="1670">
        <f>SUM(K245:K256)</f>
        <v>19095</v>
      </c>
      <c r="L257" s="1670">
        <f>SUM(L245:L256)</f>
        <v>19363</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27621</v>
      </c>
      <c r="E259" s="616"/>
      <c r="F259" s="616"/>
      <c r="G259" s="616"/>
      <c r="H259" s="616"/>
      <c r="I259" s="616"/>
      <c r="J259" s="616"/>
      <c r="K259" s="1672">
        <f>D259</f>
        <v>27621</v>
      </c>
      <c r="L259" s="481">
        <v>28205</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27621</v>
      </c>
      <c r="E261" s="616"/>
      <c r="F261" s="616"/>
      <c r="G261" s="616"/>
      <c r="H261" s="616"/>
      <c r="I261" s="616"/>
      <c r="J261" s="616"/>
      <c r="K261" s="1670">
        <f>SUM(K259:K260)</f>
        <v>27621</v>
      </c>
      <c r="L261" s="1670">
        <f>SUM(L259:L260)</f>
        <v>28205</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9861</v>
      </c>
      <c r="E264" s="616"/>
      <c r="F264" s="616"/>
      <c r="G264" s="616"/>
      <c r="H264" s="616"/>
      <c r="I264" s="616"/>
      <c r="J264" s="616"/>
      <c r="K264" s="1672">
        <f t="shared" ref="K264:K269" si="22">D264</f>
        <v>9861</v>
      </c>
      <c r="L264" s="466">
        <v>9945</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52392</v>
      </c>
      <c r="E266" s="616"/>
      <c r="F266" s="616"/>
      <c r="G266" s="616"/>
      <c r="H266" s="616"/>
      <c r="I266" s="616"/>
      <c r="J266" s="616"/>
      <c r="K266" s="1672">
        <f t="shared" si="22"/>
        <v>52392</v>
      </c>
      <c r="L266" s="466">
        <v>54264</v>
      </c>
    </row>
    <row r="267" spans="1:14" x14ac:dyDescent="0.2">
      <c r="A267" s="1504" t="s">
        <v>953</v>
      </c>
      <c r="B267" s="614">
        <v>2550</v>
      </c>
      <c r="C267" s="616"/>
      <c r="D267" s="466">
        <v>47912</v>
      </c>
      <c r="E267" s="616"/>
      <c r="F267" s="616"/>
      <c r="G267" s="616"/>
      <c r="H267" s="616"/>
      <c r="I267" s="616"/>
      <c r="J267" s="616"/>
      <c r="K267" s="1672">
        <f t="shared" si="22"/>
        <v>47912</v>
      </c>
      <c r="L267" s="466">
        <v>48290</v>
      </c>
    </row>
    <row r="268" spans="1:14" x14ac:dyDescent="0.2">
      <c r="A268" s="1504" t="s">
        <v>100</v>
      </c>
      <c r="B268" s="614">
        <v>2560</v>
      </c>
      <c r="C268" s="616"/>
      <c r="D268" s="466">
        <v>22352</v>
      </c>
      <c r="E268" s="616"/>
      <c r="F268" s="616"/>
      <c r="G268" s="616"/>
      <c r="H268" s="616"/>
      <c r="I268" s="616"/>
      <c r="J268" s="616"/>
      <c r="K268" s="1672">
        <f t="shared" si="22"/>
        <v>22352</v>
      </c>
      <c r="L268" s="466">
        <v>23490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132517</v>
      </c>
      <c r="E270" s="616"/>
      <c r="F270" s="616"/>
      <c r="G270" s="616"/>
      <c r="H270" s="616"/>
      <c r="I270" s="616"/>
      <c r="J270" s="616"/>
      <c r="K270" s="1670">
        <f>SUM(K263:K269)</f>
        <v>132517</v>
      </c>
      <c r="L270" s="1670">
        <f>SUM(L263:L269)</f>
        <v>135989</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199259</v>
      </c>
      <c r="E279" s="616"/>
      <c r="F279" s="616"/>
      <c r="G279" s="616"/>
      <c r="H279" s="616"/>
      <c r="I279" s="616"/>
      <c r="J279" s="616"/>
      <c r="K279" s="1677">
        <f>SUM(K238,K243,K257,K261,K270,K277,K278)</f>
        <v>199259</v>
      </c>
      <c r="L279" s="1677">
        <f>SUM(L238,L243,L257,L261,L270,L277,L278)</f>
        <v>203935</v>
      </c>
    </row>
    <row r="280" spans="1:12" ht="15.75" customHeight="1" thickTop="1" thickBot="1" x14ac:dyDescent="0.25">
      <c r="A280" s="1624" t="s">
        <v>875</v>
      </c>
      <c r="B280" s="1613">
        <v>3000</v>
      </c>
      <c r="C280" s="616"/>
      <c r="D280" s="576">
        <v>5999</v>
      </c>
      <c r="E280" s="616"/>
      <c r="F280" s="616"/>
      <c r="G280" s="616"/>
      <c r="H280" s="616"/>
      <c r="I280" s="616"/>
      <c r="J280" s="616"/>
      <c r="K280" s="1679">
        <f>D280</f>
        <v>5999</v>
      </c>
      <c r="L280" s="576">
        <v>6664</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8" t="s">
        <v>505</v>
      </c>
      <c r="B295" s="2179"/>
      <c r="C295" s="616"/>
      <c r="D295" s="1670">
        <f>SUM(D229,D279,D280,D285)</f>
        <v>356284</v>
      </c>
      <c r="E295" s="616"/>
      <c r="F295" s="616"/>
      <c r="G295" s="616"/>
      <c r="H295" s="1670">
        <f>H293</f>
        <v>0</v>
      </c>
      <c r="I295" s="616"/>
      <c r="J295" s="616"/>
      <c r="K295" s="1670">
        <f>SUM(K229,K279,K280,K285,K293,K294)</f>
        <v>356284</v>
      </c>
      <c r="L295" s="1670">
        <f>SUM(L229,L279,L280,L285,L293,L294)</f>
        <v>361062</v>
      </c>
    </row>
    <row r="296" spans="1:14" ht="13.5" thickTop="1" x14ac:dyDescent="0.2">
      <c r="A296" s="2160" t="s">
        <v>996</v>
      </c>
      <c r="B296" s="2161"/>
      <c r="C296" s="616"/>
      <c r="D296" s="618"/>
      <c r="E296" s="616"/>
      <c r="F296" s="616"/>
      <c r="G296" s="616"/>
      <c r="H296" s="687"/>
      <c r="I296" s="616"/>
      <c r="J296" s="616"/>
      <c r="K296" s="1684">
        <f>'Revenues 9-14'!G268-'Expenditures 15-22'!K295</f>
        <v>-1386</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v>2192</v>
      </c>
      <c r="F301" s="466">
        <v>9988</v>
      </c>
      <c r="G301" s="466">
        <v>3298769</v>
      </c>
      <c r="H301" s="466">
        <v>2045</v>
      </c>
      <c r="I301" s="467"/>
      <c r="J301" s="467"/>
      <c r="K301" s="1671">
        <f>SUM(C301:J301)</f>
        <v>3312994</v>
      </c>
      <c r="L301" s="467">
        <v>3315232</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2192</v>
      </c>
      <c r="F303" s="1677">
        <f t="shared" si="23"/>
        <v>9988</v>
      </c>
      <c r="G303" s="1677">
        <f t="shared" si="23"/>
        <v>3298769</v>
      </c>
      <c r="H303" s="1677">
        <f t="shared" si="23"/>
        <v>2045</v>
      </c>
      <c r="I303" s="1677">
        <f t="shared" si="23"/>
        <v>0</v>
      </c>
      <c r="J303" s="1677">
        <f t="shared" si="23"/>
        <v>0</v>
      </c>
      <c r="K303" s="1677">
        <f t="shared" si="23"/>
        <v>3312994</v>
      </c>
      <c r="L303" s="1677">
        <f t="shared" si="23"/>
        <v>3315232</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5" t="s">
        <v>277</v>
      </c>
      <c r="B312" s="2176"/>
      <c r="C312" s="1670">
        <f>SUM(C303)</f>
        <v>0</v>
      </c>
      <c r="D312" s="1670">
        <f>SUM(D303)</f>
        <v>0</v>
      </c>
      <c r="E312" s="1670">
        <f>SUM(E303,E310)</f>
        <v>2192</v>
      </c>
      <c r="F312" s="1670">
        <f>SUM(F303)</f>
        <v>9988</v>
      </c>
      <c r="G312" s="1670">
        <f>SUM(G303)</f>
        <v>3298769</v>
      </c>
      <c r="H312" s="1670">
        <f>SUM(H303,H310)</f>
        <v>2045</v>
      </c>
      <c r="I312" s="1670">
        <f>SUM(I303)</f>
        <v>0</v>
      </c>
      <c r="J312" s="1670">
        <f>SUM(J303)</f>
        <v>0</v>
      </c>
      <c r="K312" s="1670">
        <f>SUM(K303,K310,K311)</f>
        <v>3312994</v>
      </c>
      <c r="L312" s="1670">
        <f>SUM(L303,L310,L311)</f>
        <v>3315232</v>
      </c>
      <c r="M312" s="665"/>
      <c r="N312" s="665"/>
    </row>
    <row r="313" spans="1:14" ht="13.5" thickTop="1" x14ac:dyDescent="0.2">
      <c r="A313" s="2171" t="s">
        <v>996</v>
      </c>
      <c r="B313" s="2172"/>
      <c r="C313" s="626"/>
      <c r="D313" s="626"/>
      <c r="E313" s="626"/>
      <c r="F313" s="626"/>
      <c r="G313" s="626"/>
      <c r="H313" s="626"/>
      <c r="I313" s="626"/>
      <c r="J313" s="626"/>
      <c r="K313" s="1685">
        <f>'Revenues 9-14'!H268-'Expenditures 15-22'!K312</f>
        <v>-3285363</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898</v>
      </c>
      <c r="B317" s="2185"/>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110871</v>
      </c>
      <c r="F322" s="467"/>
      <c r="G322" s="467"/>
      <c r="H322" s="467"/>
      <c r="I322" s="467"/>
      <c r="J322" s="467"/>
      <c r="K322" s="1671">
        <f t="shared" si="24"/>
        <v>110871</v>
      </c>
      <c r="L322" s="467">
        <v>111000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165246</v>
      </c>
      <c r="D325" s="467">
        <v>12170</v>
      </c>
      <c r="E325" s="467">
        <v>3000</v>
      </c>
      <c r="F325" s="467">
        <v>1525</v>
      </c>
      <c r="G325" s="467">
        <v>27417</v>
      </c>
      <c r="H325" s="467"/>
      <c r="I325" s="467"/>
      <c r="J325" s="467"/>
      <c r="K325" s="1671">
        <f t="shared" si="24"/>
        <v>209358</v>
      </c>
      <c r="L325" s="467">
        <v>210251</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10762</v>
      </c>
      <c r="F327" s="467"/>
      <c r="G327" s="467"/>
      <c r="H327" s="467"/>
      <c r="I327" s="467"/>
      <c r="J327" s="467"/>
      <c r="K327" s="1671">
        <f t="shared" si="24"/>
        <v>10762</v>
      </c>
      <c r="L327" s="467">
        <v>11000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165246</v>
      </c>
      <c r="D330" s="1670">
        <f t="shared" ref="D330:J330" si="25">SUM(D319:D329)</f>
        <v>12170</v>
      </c>
      <c r="E330" s="1670">
        <f t="shared" si="25"/>
        <v>124633</v>
      </c>
      <c r="F330" s="1670">
        <f t="shared" si="25"/>
        <v>1525</v>
      </c>
      <c r="G330" s="1670">
        <f t="shared" si="25"/>
        <v>27417</v>
      </c>
      <c r="H330" s="1670">
        <f t="shared" si="25"/>
        <v>0</v>
      </c>
      <c r="I330" s="1670">
        <f t="shared" si="25"/>
        <v>0</v>
      </c>
      <c r="J330" s="1670">
        <f t="shared" si="25"/>
        <v>0</v>
      </c>
      <c r="K330" s="1670">
        <f>SUM(K319:K329)</f>
        <v>330991</v>
      </c>
      <c r="L330" s="1670">
        <f>SUM(L319:L329)</f>
        <v>332251</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165246</v>
      </c>
      <c r="D342" s="1670">
        <f>SUM(D330)</f>
        <v>12170</v>
      </c>
      <c r="E342" s="1670">
        <f>SUM(E330)</f>
        <v>124633</v>
      </c>
      <c r="F342" s="1670">
        <f>SUM(F330)</f>
        <v>1525</v>
      </c>
      <c r="G342" s="1670">
        <f>SUM(G330)</f>
        <v>27417</v>
      </c>
      <c r="H342" s="1670">
        <f>SUM(H330,H334,H340)</f>
        <v>0</v>
      </c>
      <c r="I342" s="1670">
        <f>SUM(I330)</f>
        <v>0</v>
      </c>
      <c r="J342" s="1670">
        <f>SUM(J330)</f>
        <v>0</v>
      </c>
      <c r="K342" s="1670">
        <f>SUM(K330,K334,K340)</f>
        <v>330991</v>
      </c>
      <c r="L342" s="1677">
        <f>SUM(L330,L340,L341)</f>
        <v>332251</v>
      </c>
    </row>
    <row r="343" spans="1:14" ht="12.75" customHeight="1" thickTop="1" x14ac:dyDescent="0.2">
      <c r="A343" s="2173" t="s">
        <v>996</v>
      </c>
      <c r="B343" s="2174"/>
      <c r="C343" s="616"/>
      <c r="D343" s="616"/>
      <c r="E343" s="616"/>
      <c r="F343" s="616"/>
      <c r="G343" s="616"/>
      <c r="H343" s="616"/>
      <c r="I343" s="616"/>
      <c r="J343" s="616"/>
      <c r="K343" s="1684">
        <f>'Revenues 9-14'!J268-'Expenditures 15-22'!K342</f>
        <v>3400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966</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v>2</v>
      </c>
      <c r="F349" s="466"/>
      <c r="G349" s="466">
        <v>198613</v>
      </c>
      <c r="H349" s="466"/>
      <c r="I349" s="467"/>
      <c r="J349" s="467"/>
      <c r="K349" s="1671">
        <f>SUM(C349:J349)</f>
        <v>198615</v>
      </c>
      <c r="L349" s="466">
        <v>198615</v>
      </c>
    </row>
    <row r="350" spans="1:14" ht="12.75" customHeight="1" thickBot="1" x14ac:dyDescent="0.25">
      <c r="A350" s="1668" t="s">
        <v>719</v>
      </c>
      <c r="B350" s="1669" t="s">
        <v>35</v>
      </c>
      <c r="C350" s="1670">
        <f>SUM(C348:C349)</f>
        <v>0</v>
      </c>
      <c r="D350" s="1670">
        <f t="shared" ref="D350:L350" si="26">SUM(D348:D349)</f>
        <v>0</v>
      </c>
      <c r="E350" s="1670">
        <f t="shared" si="26"/>
        <v>2</v>
      </c>
      <c r="F350" s="1670">
        <f t="shared" si="26"/>
        <v>0</v>
      </c>
      <c r="G350" s="1670">
        <f t="shared" si="26"/>
        <v>198613</v>
      </c>
      <c r="H350" s="1670">
        <f t="shared" si="26"/>
        <v>0</v>
      </c>
      <c r="I350" s="1670">
        <f t="shared" si="26"/>
        <v>0</v>
      </c>
      <c r="J350" s="1670">
        <f t="shared" si="26"/>
        <v>0</v>
      </c>
      <c r="K350" s="1670">
        <f t="shared" si="26"/>
        <v>198615</v>
      </c>
      <c r="L350" s="1670">
        <f t="shared" si="26"/>
        <v>198615</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2</v>
      </c>
      <c r="F352" s="1670">
        <f t="shared" si="27"/>
        <v>0</v>
      </c>
      <c r="G352" s="1670">
        <f t="shared" si="27"/>
        <v>198613</v>
      </c>
      <c r="H352" s="1670">
        <f t="shared" si="27"/>
        <v>0</v>
      </c>
      <c r="I352" s="1670">
        <f t="shared" si="27"/>
        <v>0</v>
      </c>
      <c r="J352" s="1670">
        <f t="shared" si="27"/>
        <v>0</v>
      </c>
      <c r="K352" s="1670">
        <f t="shared" si="27"/>
        <v>198615</v>
      </c>
      <c r="L352" s="1670">
        <f t="shared" si="27"/>
        <v>198615</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2</v>
      </c>
      <c r="F367" s="1670">
        <f t="shared" si="28"/>
        <v>0</v>
      </c>
      <c r="G367" s="1670">
        <f t="shared" si="28"/>
        <v>198613</v>
      </c>
      <c r="H367" s="1670">
        <f t="shared" si="28"/>
        <v>0</v>
      </c>
      <c r="I367" s="1670">
        <f t="shared" si="28"/>
        <v>0</v>
      </c>
      <c r="J367" s="1670">
        <f t="shared" si="28"/>
        <v>0</v>
      </c>
      <c r="K367" s="1670">
        <f t="shared" si="28"/>
        <v>198615</v>
      </c>
      <c r="L367" s="1670">
        <f t="shared" si="28"/>
        <v>198615</v>
      </c>
    </row>
    <row r="368" spans="1:14" ht="13.5" thickTop="1" x14ac:dyDescent="0.2">
      <c r="A368" s="2160" t="s">
        <v>996</v>
      </c>
      <c r="B368" s="2161"/>
      <c r="C368" s="654"/>
      <c r="D368" s="654"/>
      <c r="E368" s="626"/>
      <c r="F368" s="626"/>
      <c r="G368" s="626"/>
      <c r="H368" s="626"/>
      <c r="I368" s="626"/>
      <c r="J368" s="623"/>
      <c r="K368" s="1671">
        <f>'Revenues 9-14'!K268-'Expenditures 15-22'!K367</f>
        <v>-134674</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purl.org/dc/dcmitype/"/>
    <ds:schemaRef ds:uri="6ce3111e-7420-4802-b50a-75d4e9a0b980"/>
    <ds:schemaRef ds:uri="http://purl.org/dc/terms/"/>
    <ds:schemaRef ds:uri="http://schemas.microsoft.com/sharepoint/v3"/>
    <ds:schemaRef ds:uri="http://www.w3.org/XML/1998/namespace"/>
    <ds:schemaRef ds:uri="http://schemas.microsoft.com/office/infopath/2007/PartnerControls"/>
    <ds:schemaRef ds:uri="4d435f69-8686-490b-bd6d-b153bf22ab50"/>
    <ds:schemaRef ds:uri="http://schemas.microsoft.com/office/2006/documentManagement/types"/>
    <ds:schemaRef ds:uri="http://schemas.openxmlformats.org/package/2006/metadata/core-properties"/>
    <ds:schemaRef ds:uri="d21dc803-237d-4c68-8692-8d731fd2911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2019-10-06T16:49:27Z</cp:lastPrinted>
  <dcterms:created xsi:type="dcterms:W3CDTF">2003-10-29T19:06:34Z</dcterms:created>
  <dcterms:modified xsi:type="dcterms:W3CDTF">2019-12-05T15:54:43Z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