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28012C9-08EA-4C11-BF37-3FF3EF66453A}"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heet1" sheetId="185" r:id="rId30"/>
    <sheet name=" SEFA (3)" sheetId="184"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30">' SEFA (3)'!$B$1:$M$46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7" i="5" l="1"/>
  <c r="G34" i="8" l="1"/>
  <c r="C34" i="173" l="1"/>
  <c r="C33" i="173"/>
  <c r="F22" i="184"/>
  <c r="G22" i="184"/>
  <c r="H22" i="184"/>
  <c r="I22" i="184"/>
  <c r="J22" i="184"/>
  <c r="K22" i="184"/>
  <c r="E22" i="184"/>
  <c r="F17" i="184" l="1"/>
  <c r="F24" i="184" s="1"/>
  <c r="F25" i="179" s="1"/>
  <c r="G17" i="184"/>
  <c r="G24" i="184" s="1"/>
  <c r="G25" i="179" s="1"/>
  <c r="H17" i="184"/>
  <c r="H24" i="184" s="1"/>
  <c r="H25" i="179" s="1"/>
  <c r="I17" i="184"/>
  <c r="I24" i="184" s="1"/>
  <c r="I25" i="179" s="1"/>
  <c r="J17" i="184"/>
  <c r="J24" i="184" s="1"/>
  <c r="J25" i="179" s="1"/>
  <c r="K17" i="184"/>
  <c r="K24" i="184" s="1"/>
  <c r="K25" i="179" s="1"/>
  <c r="E17" i="184"/>
  <c r="E24" i="184" s="1"/>
  <c r="E25" i="179" s="1"/>
  <c r="F23" i="183"/>
  <c r="G23" i="183"/>
  <c r="H23" i="183"/>
  <c r="I23" i="183"/>
  <c r="J23" i="183"/>
  <c r="K23" i="183"/>
  <c r="E23" i="183"/>
  <c r="F19" i="183"/>
  <c r="G19" i="183"/>
  <c r="H19" i="183"/>
  <c r="I19" i="183"/>
  <c r="J19" i="183"/>
  <c r="K19" i="183"/>
  <c r="E19" i="183"/>
  <c r="F15" i="183"/>
  <c r="G15" i="183"/>
  <c r="H15" i="183"/>
  <c r="I15" i="183"/>
  <c r="J15" i="183"/>
  <c r="K15" i="183"/>
  <c r="E15" i="183"/>
  <c r="F22" i="179"/>
  <c r="G22" i="179"/>
  <c r="H22" i="179"/>
  <c r="I22" i="179"/>
  <c r="J22" i="179"/>
  <c r="K22" i="179"/>
  <c r="E22" i="179"/>
  <c r="H26" i="183" l="1"/>
  <c r="G26" i="183"/>
  <c r="I26" i="183"/>
  <c r="G39" i="174"/>
  <c r="G38" i="174"/>
  <c r="E26" i="183"/>
  <c r="E24" i="179" s="1"/>
  <c r="E26" i="179" s="1"/>
  <c r="K26" i="183"/>
  <c r="J26" i="183"/>
  <c r="F26" i="183"/>
  <c r="F24" i="179" s="1"/>
  <c r="F26" i="179" s="1"/>
  <c r="D35" i="171" s="1"/>
  <c r="D60" i="127"/>
  <c r="D53" i="127"/>
  <c r="F11" i="184" l="1"/>
  <c r="J24" i="179"/>
  <c r="J26" i="179" s="1"/>
  <c r="G11" i="184"/>
  <c r="G24" i="179"/>
  <c r="G26" i="179" s="1"/>
  <c r="H24" i="179"/>
  <c r="H26" i="179" s="1"/>
  <c r="K24" i="179"/>
  <c r="K26" i="179" s="1"/>
  <c r="E11" i="184"/>
  <c r="I11" i="184"/>
  <c r="I24" i="179"/>
  <c r="I26" i="179" s="1"/>
  <c r="D45" i="174" s="1"/>
  <c r="D34" i="127"/>
  <c r="D29" i="127"/>
  <c r="C9" i="4" l="1"/>
  <c r="L24" i="184" l="1"/>
  <c r="L21" i="184"/>
  <c r="L20" i="184"/>
  <c r="L16" i="184"/>
  <c r="L15" i="184"/>
  <c r="B4" i="184"/>
  <c r="L22" i="183"/>
  <c r="L21" i="183"/>
  <c r="L18" i="183"/>
  <c r="L17" i="183"/>
  <c r="L19" i="183" s="1"/>
  <c r="L14" i="183"/>
  <c r="L13" i="183"/>
  <c r="B4" i="183"/>
  <c r="D16" i="127"/>
  <c r="L22" i="184" l="1"/>
  <c r="L17" i="184"/>
  <c r="L15" i="183"/>
  <c r="L23" i="183"/>
  <c r="J35" i="8"/>
  <c r="L26" i="183" l="1"/>
  <c r="C79" i="4" l="1"/>
  <c r="F40" i="181" l="1"/>
  <c r="F39" i="181"/>
  <c r="F38" i="181"/>
  <c r="F37" i="181"/>
  <c r="F36" i="181"/>
  <c r="F35" i="181"/>
  <c r="F34" i="181"/>
  <c r="F33" i="181"/>
  <c r="F3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9" i="181"/>
  <c r="E39" i="181"/>
  <c r="G38" i="181"/>
  <c r="E38" i="181"/>
  <c r="G37" i="181"/>
  <c r="E37" i="181"/>
  <c r="G36" i="181"/>
  <c r="E36" i="181"/>
  <c r="G35" i="181"/>
  <c r="E35" i="181"/>
  <c r="G34" i="181"/>
  <c r="E34" i="181"/>
  <c r="G33" i="181"/>
  <c r="E33" i="181"/>
  <c r="E32" i="181"/>
  <c r="G32" i="181" s="1"/>
  <c r="G40" i="181"/>
  <c r="E40" i="18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29" i="181" l="1"/>
  <c r="G29" i="181" s="1"/>
  <c r="F27" i="181"/>
  <c r="G27" i="181" s="1"/>
  <c r="F25" i="181"/>
  <c r="G25" i="181" s="1"/>
  <c r="F19" i="181"/>
  <c r="G19" i="181" s="1"/>
  <c r="F18" i="181"/>
  <c r="G18" i="181" s="1"/>
  <c r="D41" i="181"/>
  <c r="D80" i="36" l="1"/>
  <c r="B7797" i="106"/>
  <c r="E41" i="181"/>
  <c r="E17" i="181"/>
  <c r="F17" i="181" s="1"/>
  <c r="E16" i="181"/>
  <c r="F16" i="181" l="1"/>
  <c r="G16" i="181" s="1"/>
  <c r="G17" i="181"/>
  <c r="G41" i="181" s="1"/>
  <c r="G40" i="108" l="1"/>
  <c r="B7799" i="106"/>
  <c r="F41" i="181"/>
  <c r="B7798" i="106" s="1"/>
  <c r="E40" i="108"/>
  <c r="B4" i="179" l="1"/>
  <c r="D17" i="171" l="1"/>
  <c r="L25" i="179" l="1"/>
  <c r="L24" i="179"/>
  <c r="L20" i="179"/>
  <c r="L19" i="179"/>
  <c r="L18" i="179"/>
  <c r="L17" i="179"/>
  <c r="L16" i="179"/>
  <c r="L15" i="179"/>
  <c r="L14" i="179"/>
  <c r="L13" i="179"/>
  <c r="L22" i="179" l="1"/>
  <c r="L11" i="184"/>
  <c r="L26" i="179"/>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7761" i="106"/>
  <c r="D7761" i="106" s="1"/>
  <c r="L127" i="29"/>
  <c r="L129" i="29" s="1"/>
  <c r="L139" i="29"/>
  <c r="L149" i="29"/>
  <c r="I7" i="145"/>
  <c r="I6" i="145"/>
  <c r="D78" i="36"/>
  <c r="K75" i="29"/>
  <c r="F52" i="34" s="1"/>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E28" i="108"/>
  <c r="F31" i="108"/>
  <c r="F36" i="108"/>
  <c r="F37" i="108"/>
  <c r="G28" i="108"/>
  <c r="G30" i="108"/>
  <c r="D31" i="108"/>
  <c r="D36" i="108"/>
  <c r="D37" i="108"/>
  <c r="E31" i="108"/>
  <c r="G31" i="108"/>
  <c r="E33" i="108"/>
  <c r="G33" i="108"/>
  <c r="E34" i="108"/>
  <c r="G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8" i="118"/>
  <c r="H29" i="118"/>
  <c r="D11" i="37"/>
  <c r="J22" i="37"/>
  <c r="L22" i="37"/>
  <c r="D24" i="37"/>
  <c r="B4270" i="106" s="1"/>
  <c r="D4270" i="106" s="1"/>
  <c r="D17" i="7"/>
  <c r="B4104" i="106" s="1"/>
  <c r="D4104" i="106" s="1"/>
  <c r="J352" i="29" l="1"/>
  <c r="J367" i="29" s="1"/>
  <c r="B7245" i="106" s="1"/>
  <c r="G15" i="145"/>
  <c r="C352" i="29"/>
  <c r="B2028" i="106"/>
  <c r="D2028" i="106" s="1"/>
  <c r="M18" i="3"/>
  <c r="B275" i="106" s="1"/>
  <c r="D275" i="106" s="1"/>
  <c r="B2026" i="106"/>
  <c r="D2026" i="106" s="1"/>
  <c r="M16" i="3"/>
  <c r="B3454" i="106"/>
  <c r="D3454" i="106" s="1"/>
  <c r="M20" i="3"/>
  <c r="B2864" i="106" s="1"/>
  <c r="D2864" i="106" s="1"/>
  <c r="B2895" i="106"/>
  <c r="D2895" i="106" s="1"/>
  <c r="L33" i="3"/>
  <c r="B2029" i="106"/>
  <c r="D2029" i="106" s="1"/>
  <c r="M19" i="3"/>
  <c r="B276" i="106" s="1"/>
  <c r="D276" i="106" s="1"/>
  <c r="B2027" i="106"/>
  <c r="D2027" i="106" s="1"/>
  <c r="M17" i="3"/>
  <c r="B274" i="106" s="1"/>
  <c r="D274" i="106" s="1"/>
  <c r="F28" i="108"/>
  <c r="L13" i="11"/>
  <c r="B2060" i="106" s="1"/>
  <c r="D2060" i="106" s="1"/>
  <c r="L15" i="11"/>
  <c r="B3459" i="106" s="1"/>
  <c r="D3459" i="106" s="1"/>
  <c r="L5" i="11"/>
  <c r="B2056" i="106" s="1"/>
  <c r="D2056" i="106" s="1"/>
  <c r="D22" i="37"/>
  <c r="F46" i="34"/>
  <c r="G38" i="108"/>
  <c r="B6995" i="106"/>
  <c r="D6995" i="106" s="1"/>
  <c r="D6103" i="106"/>
  <c r="B2724" i="106"/>
  <c r="D2724" i="106" s="1"/>
  <c r="C342" i="29"/>
  <c r="B7216" i="106" s="1"/>
  <c r="D7216" i="106" s="1"/>
  <c r="J77" i="4"/>
  <c r="B6262" i="106" s="1"/>
  <c r="D6262" i="106" s="1"/>
  <c r="F49" i="34"/>
  <c r="H33" i="118"/>
  <c r="F50" i="34"/>
  <c r="F42" i="34"/>
  <c r="E30" i="108"/>
  <c r="B7235" i="106"/>
  <c r="D7235" i="106" s="1"/>
  <c r="B3647" i="106"/>
  <c r="D3647" i="106" s="1"/>
  <c r="K76" i="4"/>
  <c r="B3586" i="106" s="1"/>
  <c r="D3586" i="106" s="1"/>
  <c r="C129" i="29"/>
  <c r="C151" i="29" s="1"/>
  <c r="B1226" i="106" s="1"/>
  <c r="D1226" i="106" s="1"/>
  <c r="F19" i="7"/>
  <c r="B1807" i="106" s="1"/>
  <c r="D1807" i="106" s="1"/>
  <c r="D69" i="36"/>
  <c r="G29" i="108"/>
  <c r="E29" i="108"/>
  <c r="C14" i="4"/>
  <c r="B2558" i="106" s="1"/>
  <c r="D2558" i="106" s="1"/>
  <c r="G39" i="108"/>
  <c r="H365" i="29"/>
  <c r="B7242" i="106" s="1"/>
  <c r="D7242" i="106" s="1"/>
  <c r="F77" i="4"/>
  <c r="B3255" i="106" s="1"/>
  <c r="D3255" i="106" s="1"/>
  <c r="K184" i="29"/>
  <c r="F13" i="4" s="1"/>
  <c r="B2596" i="106" s="1"/>
  <c r="D2596" i="106" s="1"/>
  <c r="G210" i="29"/>
  <c r="D7245" i="106"/>
  <c r="B1308" i="106"/>
  <c r="D1308" i="106" s="1"/>
  <c r="E174" i="29"/>
  <c r="B1309" i="106" s="1"/>
  <c r="D1309" i="106" s="1"/>
  <c r="L367" i="29"/>
  <c r="D9" i="7"/>
  <c r="B1767" i="106" s="1"/>
  <c r="D1767" i="106" s="1"/>
  <c r="K28" i="118"/>
  <c r="O27" i="118" s="1"/>
  <c r="O29" i="118" s="1"/>
  <c r="L342" i="29"/>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K365" i="29" l="1"/>
  <c r="B1317" i="106"/>
  <c r="D1317" i="106" s="1"/>
  <c r="D7256" i="106"/>
  <c r="D7251" i="106"/>
  <c r="D7254" i="106"/>
  <c r="D7255" i="106"/>
  <c r="D7250" i="106"/>
  <c r="B2914" i="106"/>
  <c r="D2914" i="106" s="1"/>
  <c r="L34" i="3"/>
  <c r="B273" i="106"/>
  <c r="D273" i="106" s="1"/>
  <c r="M23" i="3"/>
  <c r="L114" i="29"/>
  <c r="L16" i="11"/>
  <c r="B2061" i="106" s="1"/>
  <c r="D2061" i="106" s="1"/>
  <c r="B1328" i="106"/>
  <c r="D1328" i="106" s="1"/>
  <c r="B5527" i="106"/>
  <c r="D5527" i="106" s="1"/>
  <c r="C114" i="29"/>
  <c r="B757" i="106" s="1"/>
  <c r="D757" i="106" s="1"/>
  <c r="B1381" i="106"/>
  <c r="D1381" i="106" s="1"/>
  <c r="B1996" i="106"/>
  <c r="D1996" i="106" s="1"/>
  <c r="I26" i="12"/>
  <c r="B7741" i="106" s="1"/>
  <c r="D7741" i="106" s="1"/>
  <c r="D7253" i="106"/>
  <c r="F174" i="34"/>
  <c r="K342" i="29"/>
  <c r="F13" i="34" s="1"/>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9" i="106" l="1"/>
  <c r="D279" i="106" s="1"/>
  <c r="M40" i="3"/>
  <c r="B2916" i="106"/>
  <c r="D2916" i="106" s="1"/>
  <c r="L41" i="3"/>
  <c r="B1145" i="106"/>
  <c r="D1145"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2917" i="106" l="1"/>
  <c r="D2917" i="106" s="1"/>
  <c r="D53" i="36"/>
  <c r="B280" i="106"/>
  <c r="D280" i="106" s="1"/>
  <c r="M41" i="3"/>
  <c r="J20" i="4"/>
  <c r="K17" i="4"/>
  <c r="K19" i="4" s="1"/>
  <c r="B4144" i="106" s="1"/>
  <c r="D4144"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6216" i="106"/>
  <c r="D6216" i="106" s="1"/>
  <c r="D51" i="36"/>
  <c r="K41" i="3"/>
  <c r="B3567" i="106"/>
  <c r="D3567" i="106" s="1"/>
  <c r="B2912" i="106"/>
  <c r="D2912" i="106" s="1"/>
  <c r="I41" i="3"/>
  <c r="B212" i="106"/>
  <c r="D212" i="106" s="1"/>
  <c r="H41" i="3"/>
  <c r="B123" i="106"/>
  <c r="D123" i="106" s="1"/>
  <c r="D41" i="3"/>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3568" i="106"/>
  <c r="D3568" i="106" s="1"/>
  <c r="D52" i="36"/>
  <c r="D50" i="36"/>
  <c r="B2913" i="106"/>
  <c r="D2913" i="106" s="1"/>
  <c r="B189" i="106"/>
  <c r="D189" i="106" s="1"/>
  <c r="G41" i="3"/>
  <c r="B170" i="106"/>
  <c r="D170" i="106" s="1"/>
  <c r="F41" i="3"/>
  <c r="B140" i="106"/>
  <c r="D140" i="106" s="1"/>
  <c r="E41" i="3"/>
  <c r="B213" i="106"/>
  <c r="D213" i="106" s="1"/>
  <c r="D49" i="36"/>
  <c r="B124" i="106"/>
  <c r="D124" i="106" s="1"/>
  <c r="D45"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B171" i="106"/>
  <c r="D171" i="106" s="1"/>
  <c r="D47"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<sst xmlns="http://schemas.openxmlformats.org/spreadsheetml/2006/main" count="5371" uniqueCount="2216">
  <si>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</si>
  <si>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</si>
  <si>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</si>
  <si>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</si>
  <si>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</si>
  <si>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</si>
  <si>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</si>
  <si>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</si>
  <si>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</si>
  <si>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</si>
  <si>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</si>
  <si>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</si>
  <si>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</si>
  <si>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</si>
  <si>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</si>
  <si>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</si>
  <si>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</si>
  <si>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</si>
  <si>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</si>
  <si>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</si>
  <si>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</si>
  <si>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</si>
  <si>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</si>
  <si>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</si>
  <si>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</si>
  <si>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</si>
  <si>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</si>
  <si>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</si>
  <si>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</si>
  <si>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</si>
  <si>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</si>
  <si>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</si>
  <si>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</si>
  <si>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</si>
  <si>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</si>
  <si>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</si>
  <si>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</si>
  <si>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</si>
  <si>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</si>
  <si>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</si>
  <si>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</si>
  <si>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</si>
  <si>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</si>
  <si>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</si>
  <si>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</si>
  <si>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</si>
  <si>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</si>
  <si>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</si>
  <si>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</si>
  <si>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</si>
  <si>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</si>
  <si>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</si>
  <si>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</si>
  <si>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</si>
  <si>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</si>
  <si>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</si>
  <si>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</si>
  <si>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</si>
  <si>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</si>
  <si>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</si>
  <si>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</si>
  <si>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</si>
  <si>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</si>
  <si>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</si>
  <si>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</si>
  <si>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</si>
  <si>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</si>
  <si>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</si>
  <si>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</si>
  <si>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</si>
  <si>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</si>
  <si>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</si>
  <si>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</si>
  <si>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</si>
  <si>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</si>
  <si>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</si>
  <si>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</si>
  <si>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</si>
  <si>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</si>
  <si>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</si>
  <si>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</si>
  <si>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</si>
  <si>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</si>
  <si>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</si>
  <si>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</si>
  <si>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</si>
  <si>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</si>
  <si>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</si>
  <si>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</si>
  <si>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</si>
  <si>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</si>
  <si>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</si>
  <si>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</si>
  <si>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</si>
  <si>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</si>
  <si>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</si>
  <si>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</si>
  <si>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</si>
  <si>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</si>
  <si>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</si>
  <si>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</si>
  <si>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</si>
  <si>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</si>
  <si>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</si>
  <si>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</si>
  <si>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</si>
  <si>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</si>
  <si>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</si>
  <si>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</si>
  <si>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</si>
  <si>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</si>
  <si>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</si>
  <si>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</si>
  <si>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</si>
  <si>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</si>
  <si>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</si>
  <si>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</si>
  <si>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</si>
  <si>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</si>
  <si>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</si>
  <si>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</si>
  <si>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</si>
  <si>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</si>
  <si>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</si>
  <si>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</si>
  <si>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</si>
  <si>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</si>
  <si>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</si>
  <si>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</si>
  <si>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</si>
  <si>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</si>
  <si>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</si>
  <si>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</si>
  <si>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</si>
  <si>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</si>
  <si>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</si>
  <si>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</si>
  <si>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</si>
  <si>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</si>
  <si>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</si>
  <si>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</si>
  <si>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</si>
  <si>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</si>
  <si>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</si>
  <si>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</si>
  <si>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</si>
  <si>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</si>
  <si>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</si>
  <si>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</si>
  <si>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</si>
  <si>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</si>
  <si>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</si>
  <si>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</si>
  <si>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</si>
  <si>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</si>
  <si>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</si>
  <si>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</si>
  <si>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</si>
  <si>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</si>
  <si>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</si>
  <si>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</si>
  <si>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</si>
  <si>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</si>
  <si>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</si>
  <si>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</si>
  <si>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</si>
  <si>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</si>
  <si>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</si>
  <si>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</si>
  <si>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</si>
  <si>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</si>
  <si>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</si>
  <si>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</si>
  <si>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</si>
  <si>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</si>
  <si>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</si>
  <si>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</si>
  <si>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</si>
  <si>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</si>
  <si>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</si>
  <si>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</si>
  <si>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</si>
  <si>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</si>
  <si>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</si>
  <si>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</si>
  <si>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</si>
  <si>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</si>
  <si>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</si>
  <si>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</si>
  <si>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</si>
  <si>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</si>
  <si>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</si>
  <si>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</si>
  <si>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</si>
  <si>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</si>
  <si>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</si>
  <si>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</si>
  <si>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</si>
  <si>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</si>
  <si>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</si>
  <si>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</si>
  <si>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</si>
  <si>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</si>
  <si>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</si>
  <si>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</si>
  <si>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</si>
  <si>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</si>
  <si>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</si>
  <si>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</si>
  <si>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</si>
  <si>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</si>
  <si>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</si>
  <si>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</si>
  <si>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</si>
  <si>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</si>
  <si>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</si>
  <si>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</si>
  <si>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</si>
  <si>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</si>
  <si>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</si>
  <si>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</si>
  <si>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</si>
  <si>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</si>
  <si>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</si>
  <si>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</si>
  <si>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</si>
  <si>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</si>
  <si>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</si>
  <si>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</si>
  <si>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</si>
  <si>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</si>
  <si>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</si>
  <si>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</si>
  <si>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</si>
  <si>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</si>
  <si>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</si>
  <si>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</si>
  <si>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</si>
  <si>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</si>
  <si>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</si>
  <si>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</si>
  <si>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</si>
  <si>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</si>
  <si>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</si>
  <si>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</si>
  <si>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</si>
  <si>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</si>
  <si>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</si>
  <si>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</si>
  <si>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</si>
  <si>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</si>
  <si>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</si>
  <si>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</si>
  <si>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</si>
  <si>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</si>
  <si>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</si>
  <si>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</si>
  <si>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</si>
  <si>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</si>
  <si>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</si>
  <si>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</si>
  <si>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</si>
  <si>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</si>
  <si>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</si>
  <si>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</si>
  <si>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</si>
  <si>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</si>
  <si>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</si>
  <si>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</si>
  <si>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</si>
  <si>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</si>
  <si>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</si>
  <si>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</si>
  <si>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</si>
  <si>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</si>
  <si>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</si>
  <si>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</si>
  <si>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</si>
  <si>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</si>
  <si>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</si>
  <si>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</si>
  <si>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</si>
  <si>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</si>
  <si>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</si>
  <si>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</si>
  <si>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</si>
  <si>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</si>
  <si>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</si>
  <si>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</si>
  <si>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</si>
  <si>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</si>
  <si>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</si>
  <si>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</si>
  <si>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</si>
  <si>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</si>
  <si>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</si>
  <si>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</si>
  <si>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</si>
  <si>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</si>
  <si>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</si>
  <si>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</si>
  <si>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</si>
  <si>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</si>
  <si>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</si>
  <si>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</si>
  <si>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</si>
  <si>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</si>
  <si>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</si>
  <si>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</si>
  <si>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</si>
  <si>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</si>
  <si>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</si>
  <si>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</si>
  <si>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</si>
  <si>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</si>
  <si>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</si>
  <si>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</si>
  <si>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</si>
  <si>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</si>
  <si>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</si>
  <si>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</si>
  <si>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</si>
  <si>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</si>
  <si>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</si>
  <si>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</si>
  <si>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</si>
  <si>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</si>
  <si>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</si>
  <si>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</si>
  <si>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</si>
  <si>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</si>
  <si>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</si>
  <si>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</si>
  <si>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</si>
  <si>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</si>
  <si>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</si>
  <si>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</si>
  <si>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</si>
  <si>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</si>
  <si>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</si>
  <si>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</si>
  <si>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</si>
  <si>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</si>
  <si>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</si>
  <si>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</si>
  <si>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</si>
  <si>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</si>
  <si>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</si>
  <si>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</si>
  <si>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</si>
  <si>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</si>
  <si>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</si>
  <si>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</si>
  <si>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</si>
  <si>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</si>
  <si>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</si>
  <si>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</si>
  <si>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</si>
  <si>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</si>
  <si>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</si>
  <si>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</si>
  <si>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</si>
  <si>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</si>
  <si>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</si>
  <si>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</si>
  <si>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</si>
  <si>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</si>
  <si>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</si>
  <si>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</si>
  <si>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</si>
  <si>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</si>
  <si>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</si>
  <si>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</si>
  <si>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</si>
  <si>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</si>
  <si>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</si>
  <si>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</si>
  <si>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</si>
  <si>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</si>
  <si>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</si>
  <si>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</si>
  <si>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</si>
  <si>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</si>
  <si>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</si>
  <si>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</si>
  <si>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</si>
  <si>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</si>
  <si>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</si>
  <si>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</si>
  <si>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</si>
  <si>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</si>
  <si>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</si>
  <si>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</si>
  <si>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</si>
  <si>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</si>
  <si>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</si>
  <si>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</si>
  <si>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</si>
  <si>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</si>
  <si>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</si>
  <si>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</si>
  <si>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</si>
  <si>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</si>
  <si>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</si>
  <si>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</si>
  <si>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</si>
  <si>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</si>
  <si>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</si>
  <si>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</si>
  <si>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</si>
  <si>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</si>
  <si>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</si>
  <si>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</si>
  <si>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</si>
  <si>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</si>
  <si>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</si>
  <si>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</si>
  <si>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</si>
  <si>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</si>
  <si>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</si>
  <si>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</si>
  <si>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</si>
  <si>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</si>
  <si>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</si>
  <si>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</si>
  <si>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</si>
  <si>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</si>
  <si>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</si>
  <si>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</si>
  <si>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</si>
  <si>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</si>
  <si>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</si>
  <si>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</si>
  <si>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</si>
  <si>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</si>
  <si>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</si>
  <si>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</si>
  <si>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</si>
  <si>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</si>
  <si>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</si>
  <si>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</si>
  <si>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</si>
  <si>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</si>
  <si>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</si>
  <si>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</si>
  <si>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</si>
  <si>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</si>
  <si>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</si>
  <si>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</si>
  <si>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</si>
  <si>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</si>
  <si>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</si>
  <si>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</si>
  <si>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</si>
  <si>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</si>
  <si>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</si>
  <si>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</si>
  <si>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</si>
  <si>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</si>
  <si>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</si>
  <si>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</si>
  <si>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</si>
  <si>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</si>
  <si>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</si>
  <si>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</si>
  <si>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</si>
  <si>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</si>
  <si>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</si>
  <si>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</si>
  <si>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</si>
  <si>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</si>
  <si>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</si>
  <si>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</si>
  <si>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</si>
  <si>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</si>
  <si>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</si>
  <si>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</si>
  <si>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</si>
  <si>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</si>
  <si>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</si>
  <si>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</si>
  <si>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</si>
  <si>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</si>
  <si>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</si>
  <si>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</si>
  <si>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</si>
  <si>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</si>
  <si>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</si>
  <si>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</si>
  <si>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</si>
  <si>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</si>
  <si>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</si>
  <si>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</si>
  <si>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</si>
  <si>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</si>
  <si>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</si>
  <si>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</si>
  <si>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</si>
  <si>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</si>
  <si>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</si>
  <si>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</si>
  <si>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</si>
  <si>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</si>
  <si>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</si>
  <si>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</si>
  <si>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</si>
  <si>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</si>
  <si>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</si>
  <si>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</si>
  <si>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</si>
  <si>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</si>
  <si>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</si>
  <si>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</si>
  <si>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</si>
  <si>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</si>
  <si>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</si>
  <si>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</si>
  <si>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</si>
  <si>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</si>
  <si>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</si>
  <si>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</si>
  <si>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</si>
  <si>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</si>
  <si>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</si>
  <si>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</si>
  <si>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</si>
  <si>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</si>
  <si>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</si>
  <si>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</si>
  <si>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</si>
  <si>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</si>
  <si>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</si>
  <si>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</si>
  <si>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</si>
  <si>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</si>
  <si>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</si>
  <si>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</si>
  <si>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</si>
  <si>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</si>
  <si>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</si>
  <si>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</si>
  <si>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</si>
  <si>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</si>
  <si>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</si>
  <si>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</si>
  <si>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</si>
  <si>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</si>
  <si>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</si>
  <si>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</si>
  <si>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</si>
  <si>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</si>
  <si>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</si>
  <si>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</si>
  <si>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</si>
  <si>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</si>
  <si>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</si>
  <si>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</si>
  <si>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</si>
  <si>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</si>
  <si>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</si>
  <si>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</si>
  <si>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</si>
  <si>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</si>
  <si>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</si>
  <si>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</si>
  <si>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</si>
  <si>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</si>
  <si>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</si>
  <si>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</si>
  <si>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</si>
  <si>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</si>
  <si>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</si>
  <si>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</si>
  <si>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</si>
  <si>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</si>
  <si>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</si>
  <si>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</si>
  <si>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</si>
  <si>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</si>
  <si>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</si>
  <si>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</si>
  <si>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</si>
  <si>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</si>
  <si>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</si>
  <si>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</si>
  <si>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</si>
  <si>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</si>
  <si>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</si>
  <si>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</si>
  <si>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</si>
  <si>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</si>
  <si>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</si>
  <si>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</si>
  <si>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</si>
  <si>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</si>
  <si>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</si>
  <si>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</si>
  <si>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</si>
  <si>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</si>
  <si>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</si>
  <si>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</si>
  <si>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</si>
  <si>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</si>
  <si>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</si>
  <si>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</si>
  <si>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</si>
  <si>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</si>
  <si>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</si>
  <si>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</si>
  <si>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</si>
  <si>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</si>
  <si>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</si>
  <si>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</si>
  <si>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</si>
  <si>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</si>
  <si>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</si>
  <si>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</si>
  <si>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</si>
  <si>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</si>
  <si>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</si>
  <si>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</si>
  <si>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</si>
  <si>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</si>
  <si>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</si>
  <si>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</si>
  <si>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</si>
  <si>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</si>
  <si>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</si>
  <si>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</si>
  <si>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</si>
  <si>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</si>
  <si>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</si>
  <si>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</si>
  <si>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</si>
  <si>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</si>
  <si>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</si>
  <si>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</si>
  <si>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</si>
  <si>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</si>
  <si>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</si>
  <si>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</si>
  <si>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</si>
  <si>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</si>
  <si>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</si>
  <si>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</si>
  <si>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</si>
  <si>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</si>
  <si>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</si>
  <si>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</si>
  <si>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</si>
  <si>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</si>
  <si>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</si>
  <si>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</si>
  <si>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</si>
  <si>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</si>
  <si>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</si>
  <si>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</si>
  <si>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</si>
  <si>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</si>
  <si>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</si>
  <si>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</si>
  <si>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</si>
  <si>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</si>
  <si>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</si>
  <si>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</si>
  <si>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</si>
  <si>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</si>
  <si>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</si>
  <si>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</si>
  <si>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</si>
  <si>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</si>
  <si>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</si>
  <si>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</si>
  <si>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</si>
  <si>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</si>
  <si>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</si>
  <si>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</si>
  <si>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</si>
  <si>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</si>
  <si>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</si>
  <si>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</si>
  <si>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</si>
  <si>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</si>
  <si>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</si>
  <si>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</si>
  <si>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</si>
  <si>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</si>
  <si>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</si>
  <si>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</si>
  <si>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</si>
  <si>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</si>
  <si>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</si>
  <si>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</si>
  <si>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</si>
  <si>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</si>
  <si>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</si>
  <si>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</si>
  <si>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</si>
  <si>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</si>
  <si>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</si>
  <si>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</si>
  <si>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</si>
  <si>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</si>
  <si>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</si>
  <si>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</si>
  <si>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</si>
  <si>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</si>
  <si>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</si>
  <si>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</si>
  <si>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</si>
  <si>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</si>
  <si>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</si>
  <si>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</si>
  <si>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</si>
  <si>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</si>
  <si>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</si>
  <si>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</si>
  <si>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</si>
  <si>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</si>
  <si>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</si>
  <si>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</si>
  <si>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</si>
  <si>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</si>
  <si>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</si>
  <si>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</si>
  <si>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</si>
  <si>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</si>
  <si>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</si>
  <si>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</si>
  <si>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</si>
  <si>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</si>
  <si>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</si>
  <si>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</si>
  <si>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</si>
  <si>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</si>
  <si>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</si>
  <si>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</si>
  <si>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</si>
  <si>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</si>
  <si>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</si>
  <si>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</si>
  <si>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</si>
  <si>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</si>
  <si>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</si>
  <si>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</si>
  <si>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</si>
  <si>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</si>
  <si>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</si>
  <si>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</si>
  <si>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</si>
  <si>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</si>
  <si>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</si>
  <si>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</si>
  <si>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</si>
  <si>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</si>
  <si>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</si>
  <si>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</si>
  <si>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</si>
  <si>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</si>
  <si>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</si>
  <si>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</si>
  <si>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</si>
  <si>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</si>
  <si>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</si>
  <si>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</si>
  <si>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</si>
  <si>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</si>
  <si>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</si>
  <si>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</si>
  <si>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</si>
  <si>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</si>
  <si>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</si>
  <si>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</si>
  <si>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</si>
  <si>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</si>
  <si>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</si>
  <si>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</si>
  <si>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</si>
  <si>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</si>
  <si>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</si>
  <si>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</si>
  <si>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</si>
  <si>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</si>
  <si>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</si>
  <si>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</si>
  <si>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</si>
  <si>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</si>
  <si>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</si>
  <si>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</si>
  <si>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</si>
  <si>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</si>
  <si>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</si>
  <si>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</si>
  <si>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</si>
  <si>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</si>
  <si>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</si>
  <si>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</si>
  <si>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</si>
  <si>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</si>
  <si>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</si>
  <si>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</si>
  <si>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</si>
  <si>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</si>
  <si>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</si>
  <si>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</si>
  <si>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</si>
  <si>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</si>
  <si>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</si>
  <si>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</si>
  <si>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</si>
  <si>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</si>
  <si>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</si>
  <si>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</si>
  <si>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</si>
  <si>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</si>
  <si>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</si>
  <si>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</si>
  <si>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</si>
  <si>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</si>
  <si>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</si>
  <si>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</si>
  <si>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</si>
  <si>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</si>
  <si>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</si>
  <si>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</si>
  <si>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</si>
  <si>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</si>
  <si>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</si>
  <si>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</si>
  <si>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</si>
  <si>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</si>
  <si>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</si>
  <si>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</si>
  <si>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</si>
  <si>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</si>
  <si>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</si>
  <si>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</si>
  <si>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</si>
  <si>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</si>
  <si>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</si>
  <si>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</si>
  <si>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</si>
  <si>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</si>
  <si>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</si>
  <si>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</si>
  <si>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</si>
  <si>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</si>
  <si>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</si>
  <si>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</si>
  <si>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</si>
  <si>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</si>
  <si>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</si>
  <si>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</si>
  <si>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</si>
  <si>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</si>
  <si>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</si>
  <si>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</si>
  <si>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</si>
  <si>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</si>
  <si>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</si>
  <si>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</si>
  <si>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</si>
  <si>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</si>
  <si>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</si>
  <si>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</si>
  <si>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</si>
  <si>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</si>
  <si>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</si>
  <si>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</si>
  <si>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</si>
  <si>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</si>
  <si>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</si>
  <si>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</si>
  <si>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</si>
  <si>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</si>
  <si>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</si>
  <si>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</si>
  <si>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</si>
  <si>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</si>
  <si>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</si>
  <si>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</si>
  <si>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</si>
  <si>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</si>
  <si>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</si>
  <si>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</si>
  <si>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</si>
  <si>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</si>
  <si>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</si>
  <si>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</si>
  <si>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</si>
  <si>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</si>
  <si>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</si>
  <si>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</si>
  <si>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</si>
  <si>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</si>
  <si>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</si>
  <si>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</si>
  <si>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</si>
  <si>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</si>
  <si>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</si>
  <si>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</si>
  <si>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</si>
  <si>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</si>
  <si>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</si>
  <si>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</si>
  <si>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</si>
  <si>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</si>
  <si>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</si>
  <si>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</si>
  <si>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</si>
  <si>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</si>
  <si>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</si>
  <si>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</si>
  <si>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</si>
  <si>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</si>
  <si>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</si>
  <si>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</si>
  <si>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</si>
  <si>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</si>
  <si>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</si>
  <si>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</si>
  <si>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</si>
  <si>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</si>
  <si>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</si>
  <si>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</si>
  <si>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</si>
  <si>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</si>
  <si>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</si>
  <si>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</si>
  <si>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</si>
  <si>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</si>
  <si>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</si>
  <si>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</si>
  <si>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</si>
  <si>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</si>
  <si>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</si>
  <si>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</si>
  <si>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</si>
  <si>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</si>
  <si>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</si>
  <si>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</si>
  <si>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</si>
  <si>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</si>
  <si>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</si>
  <si>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</si>
  <si>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</si>
  <si>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</si>
  <si>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</si>
  <si>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</si>
  <si>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</si>
  <si>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</si>
  <si>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</si>
  <si>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</si>
  <si>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</si>
  <si>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</si>
  <si>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</si>
  <si>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</si>
  <si>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</si>
  <si>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</si>
  <si>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</si>
  <si>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</si>
  <si>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</si>
  <si>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</si>
  <si>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</si>
  <si>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</si>
  <si>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</si>
  <si>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</si>
  <si>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</si>
  <si>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</si>
  <si>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</si>
  <si>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</si>
  <si>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</si>
  <si>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</si>
  <si>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</si>
  <si>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</si>
  <si>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</si>
  <si>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</si>
  <si>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</si>
  <si>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</si>
  <si>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</si>
  <si>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</si>
  <si>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</si>
  <si>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</si>
  <si>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</si>
  <si>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</si>
  <si>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</si>
  <si>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</si>
  <si>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</si>
  <si>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</si>
  <si>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</si>
  <si>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</si>
  <si>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</si>
  <si>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</si>
  <si>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</si>
  <si>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</si>
  <si>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</si>
  <si>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</si>
  <si>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</si>
  <si>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</si>
  <si>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</si>
  <si>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</si>
  <si>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</si>
  <si>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</si>
  <si>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</si>
  <si>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</si>
  <si>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</si>
  <si>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</si>
  <si>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</si>
  <si>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</si>
  <si>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</si>
  <si>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</si>
  <si>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</si>
  <si>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</si>
  <si>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</si>
  <si>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</si>
  <si>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</si>
  <si>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</si>
  <si>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</si>
  <si>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</si>
  <si>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</si>
  <si>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</si>
  <si>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</si>
  <si>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</si>
  <si>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</si>
  <si>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</si>
  <si>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</si>
  <si>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</si>
  <si>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</si>
  <si>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</si>
  <si>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</si>
  <si>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</si>
  <si>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</si>
  <si>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</si>
  <si>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</si>
  <si>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</si>
  <si>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</si>
  <si>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</si>
  <si>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</si>
  <si>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</si>
  <si>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</si>
  <si>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</si>
  <si>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</si>
  <si>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</si>
  <si>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</si>
  <si>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</si>
  <si>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</si>
  <si>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</si>
  <si>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</si>
  <si>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</si>
  <si>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</si>
  <si>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</si>
  <si>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</si>
  <si>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</si>
  <si>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</si>
  <si>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</si>
  <si>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</si>
  <si>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</si>
  <si>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</si>
  <si>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</si>
  <si>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</si>
  <si>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</si>
  <si>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</si>
  <si>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</si>
  <si>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</si>
  <si>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</si>
  <si>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</si>
  <si>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</si>
  <si>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</si>
  <si>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</si>
  <si>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</si>
  <si>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</si>
  <si>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</si>
  <si>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</si>
  <si>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</si>
  <si>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</si>
  <si>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</si>
  <si>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</si>
  <si>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</si>
  <si>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</si>
  <si>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</si>
  <si>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</si>
  <si>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</si>
  <si>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</si>
  <si>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</si>
  <si>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</si>
  <si>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</si>
  <si>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</si>
  <si>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</si>
  <si>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</si>
  <si>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</si>
  <si>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</si>
  <si>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</si>
  <si>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</si>
  <si>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</si>
  <si>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</si>
  <si>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</si>
  <si>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</si>
  <si>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</si>
  <si>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</si>
  <si>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</si>
  <si>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</si>
  <si>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</si>
  <si>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</si>
  <si>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</si>
  <si>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</si>
  <si>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</si>
  <si>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</si>
  <si>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</si>
  <si>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</si>
  <si>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</si>
  <si>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</si>
  <si>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</si>
  <si>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</si>
  <si>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</si>
  <si>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</si>
  <si>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</si>
  <si>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</si>
  <si>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</si>
  <si>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</si>
  <si>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</si>
  <si>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</si>
  <si>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</si>
  <si>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</si>
  <si>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</si>
  <si>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</si>
  <si>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</si>
  <si>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</si>
  <si>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</si>
  <si>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</si>
  <si>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</si>
  <si>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</si>
  <si>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</si>
  <si>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</si>
  <si>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</si>
  <si>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</si>
  <si>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</si>
  <si>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</si>
  <si>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</si>
  <si>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</si>
  <si>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</si>
  <si>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</si>
  <si>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</si>
  <si>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</si>
  <si>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</si>
  <si>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</si>
  <si>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</si>
  <si>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</si>
  <si>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</si>
  <si>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</si>
  <si>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</si>
  <si>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</si>
  <si>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</si>
  <si>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</si>
  <si>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</si>
  <si>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</si>
  <si>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</si>
  <si>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</si>
  <si>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</si>
  <si>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</si>
  <si>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</si>
  <si>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</si>
  <si>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</si>
  <si>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</si>
  <si>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</si>
  <si>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</si>
  <si>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</si>
  <si>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</si>
  <si>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</si>
  <si>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</si>
  <si>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</si>
  <si>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</si>
  <si>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</si>
  <si>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</si>
  <si>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</si>
  <si>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</si>
  <si>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</si>
  <si>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</si>
  <si>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</si>
  <si>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</si>
  <si>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</si>
  <si>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</si>
  <si>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</si>
  <si>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</si>
  <si>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</si>
  <si>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</si>
  <si>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</si>
  <si>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</si>
  <si>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</si>
  <si>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</si>
  <si>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</si>
  <si>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</si>
  <si>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</si>
  <si>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</si>
  <si>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</si>
  <si>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</si>
  <si>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</si>
  <si>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</si>
  <si>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</si>
  <si>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</si>
  <si>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</si>
  <si>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</si>
  <si>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</si>
  <si>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</si>
  <si>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</si>
  <si>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</si>
  <si>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</si>
  <si>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</si>
  <si>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</si>
  <si>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</si>
  <si>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</si>
  <si>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</si>
  <si>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</si>
  <si>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</si>
  <si>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</si>
  <si>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</si>
  <si>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</si>
  <si>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</si>
  <si>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</si>
  <si>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</si>
  <si>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</si>
  <si>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</si>
  <si>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</si>
  <si>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</si>
  <si>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</si>
  <si>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</si>
  <si>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</si>
  <si>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</si>
  <si>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</si>
  <si>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</si>
  <si>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</si>
  <si>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</si>
  <si>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</si>
  <si>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</si>
  <si>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</si>
  <si>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</si>
  <si>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</si>
  <si>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</si>
  <si>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</si>
  <si>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</si>
  <si>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</si>
  <si>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</si>
  <si>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</si>
  <si>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</si>
  <si>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</si>
  <si>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</si>
  <si>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</si>
  <si>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</si>
  <si>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</si>
  <si>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</si>
  <si>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</si>
  <si>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</si>
  <si>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</si>
  <si>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</si>
  <si>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</si>
  <si>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</si>
  <si>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</si>
  <si>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</si>
  <si>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</si>
  <si>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</si>
  <si>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</si>
  <si>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</si>
  <si>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</si>
  <si>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</si>
  <si>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</si>
  <si>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</si>
  <si>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</si>
  <si>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</si>
  <si>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</si>
  <si>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</si>
  <si>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</si>
  <si>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</si>
  <si>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</si>
  <si>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</si>
  <si>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</si>
  <si>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</si>
  <si>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</si>
  <si>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</si>
  <si>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</si>
  <si>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</si>
  <si>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</si>
  <si>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</si>
  <si>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</si>
  <si>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</si>
  <si>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</si>
  <si>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</si>
  <si>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</si>
  <si>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</si>
  <si>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</si>
  <si>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</si>
  <si>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</si>
  <si>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</si>
  <si>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</si>
  <si>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</si>
  <si>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</si>
  <si>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</si>
  <si>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</si>
  <si>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</si>
  <si>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</si>
  <si>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</si>
  <si>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</si>
  <si>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</si>
  <si>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</si>
  <si>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</si>
  <si>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</si>
  <si>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</si>
  <si>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</si>
  <si>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</si>
  <si>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</si>
  <si>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</si>
  <si>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</si>
  <si>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</si>
  <si>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</si>
  <si>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</si>
  <si>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</si>
  <si>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</si>
  <si>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</si>
  <si>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</si>
  <si>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</si>
  <si>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</si>
  <si>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</si>
  <si>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</si>
  <si>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</si>
  <si>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</si>
  <si>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</si>
  <si>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</si>
  <si>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</si>
  <si>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</si>
  <si>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</si>
  <si>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</si>
  <si>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</si>
  <si>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</si>
  <si>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</si>
  <si>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</si>
  <si>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</si>
  <si>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</si>
  <si>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</si>
  <si>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</si>
  <si>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</si>
  <si>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</si>
  <si>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</si>
  <si>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</si>
  <si>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</si>
  <si>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</si>
  <si>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</si>
  <si>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</si>
  <si>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</si>
  <si>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</si>
  <si>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</si>
  <si>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</si>
  <si>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</si>
  <si>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</si>
  <si>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</si>
  <si>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</si>
  <si>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</si>
  <si>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</si>
  <si>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</si>
  <si>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</si>
  <si>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</si>
  <si>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</si>
  <si>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</si>
  <si>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</si>
  <si>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</si>
  <si>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</si>
  <si>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</si>
  <si>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</si>
  <si>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</si>
  <si>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</si>
  <si>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</si>
  <si>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</si>
  <si>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</si>
  <si>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</si>
  <si>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</si>
  <si>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</si>
  <si>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</si>
  <si>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</si>
  <si>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</si>
  <si>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</si>
  <si>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</si>
  <si>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</si>
  <si>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</si>
  <si>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</si>
  <si>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</si>
  <si>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</si>
  <si>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</si>
  <si>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</si>
  <si>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</si>
  <si>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</si>
  <si>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</si>
  <si>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</si>
  <si>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</si>
  <si>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</si>
  <si>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</si>
  <si>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</si>
  <si>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</si>
  <si>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</si>
  <si>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</si>
  <si>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</si>
  <si>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</si>
  <si>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</si>
  <si>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</si>
  <si>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</si>
  <si>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</si>
  <si>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</si>
  <si>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</si>
  <si>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</si>
  <si>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</si>
  <si>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</si>
  <si>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</si>
  <si>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</si>
  <si>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</si>
  <si>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</si>
  <si>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</si>
  <si>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</si>
  <si>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</si>
  <si>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</si>
  <si>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</si>
  <si>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</si>
  <si>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</si>
  <si>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</si>
  <si>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</si>
  <si>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</si>
  <si>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</si>
  <si>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</si>
  <si>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</si>
  <si>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</si>
  <si>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</si>
  <si>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</si>
  <si>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</si>
  <si>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</si>
  <si>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</si>
  <si>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</si>
  <si>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</si>
  <si>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</si>
  <si>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</si>
  <si>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</si>
  <si>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</si>
  <si>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</si>
  <si>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</si>
  <si>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</si>
  <si>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</si>
  <si>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</si>
  <si>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</si>
  <si>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</si>
  <si>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</si>
  <si>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</si>
  <si>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</si>
  <si>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</si>
  <si>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</si>
  <si>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</si>
  <si>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</si>
  <si>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</si>
  <si>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</si>
  <si>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</si>
  <si>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</si>
  <si>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</si>
  <si>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</si>
  <si>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</si>
  <si>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</si>
  <si>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</si>
  <si>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</si>
  <si>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</si>
  <si>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</si>
  <si>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</si>
  <si>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</si>
  <si>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</si>
  <si>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</si>
  <si>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</si>
  <si>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</si>
  <si>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</si>
  <si>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</si>
  <si>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</si>
  <si>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</si>
  <si>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</si>
  <si>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</si>
  <si>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</si>
  <si>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</si>
  <si>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</si>
  <si>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</si>
  <si>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</si>
  <si>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</si>
  <si>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</si>
  <si>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</si>
  <si>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</si>
  <si>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</si>
  <si>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</si>
  <si>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</si>
  <si>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</si>
  <si>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</si>
  <si>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</si>
  <si>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</si>
  <si>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</si>
  <si>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</si>
  <si>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</si>
  <si>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</si>
  <si>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</si>
  <si>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</si>
  <si>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</si>
  <si>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</si>
  <si>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</si>
  <si>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</si>
  <si>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</si>
  <si>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</si>
  <si>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</si>
  <si>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</si>
  <si>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</si>
  <si>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</si>
  <si>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</si>
  <si>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</si>
  <si>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</si>
  <si>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</si>
  <si>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</si>
  <si>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</si>
  <si>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</si>
  <si>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</si>
  <si>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</si>
  <si>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</si>
  <si>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</si>
  <si>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</si>
  <si>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</si>
  <si>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</si>
  <si>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</si>
  <si>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</si>
  <si>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</si>
  <si>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</si>
  <si>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</si>
  <si>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</si>
  <si>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</si>
  <si>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</si>
  <si>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</si>
  <si>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</si>
  <si>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</si>
  <si>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</si>
  <si>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</si>
  <si>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</si>
  <si>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</si>
  <si>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</si>
  <si>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</si>
  <si>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</si>
  <si>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</si>
  <si>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</si>
  <si>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</si>
  <si>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</si>
  <si>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</si>
  <si>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</si>
  <si>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</si>
  <si>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</si>
  <si>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</si>
  <si>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</si>
  <si>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</si>
  <si>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</si>
  <si>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</si>
  <si>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</si>
  <si>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</si>
  <si>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</si>
  <si>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</si>
  <si>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</si>
  <si>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</si>
  <si>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</si>
  <si>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</si>
  <si>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</si>
  <si>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</si>
  <si>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</si>
  <si>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</si>
  <si>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</si>
  <si>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</si>
  <si>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</si>
  <si>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</si>
  <si>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</si>
  <si>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</si>
  <si>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</si>
  <si>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</si>
  <si>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</si>
  <si>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</si>
  <si>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</si>
  <si>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</si>
  <si>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</si>
  <si>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</si>
  <si>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</si>
  <si>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</si>
  <si>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</si>
  <si>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</si>
  <si>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</si>
  <si>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</si>
  <si>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</si>
  <si>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</si>
  <si>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</si>
  <si>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</si>
  <si>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</si>
  <si>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</si>
  <si>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</si>
  <si>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</si>
  <si>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</si>
  <si>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</si>
  <si>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</si>
  <si>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</si>
  <si>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</si>
  <si>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</si>
  <si>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</si>
  <si>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</si>
  <si>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</si>
  <si>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</si>
  <si>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</si>
  <si>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</si>
  <si>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</si>
  <si>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</si>
  <si>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</si>
  <si>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</si>
  <si>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</si>
  <si>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</si>
  <si>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</si>
  <si>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</si>
  <si>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</si>
  <si>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</si>
  <si>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</si>
  <si>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</si>
  <si>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</si>
  <si>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</si>
  <si>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</si>
  <si>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</si>
  <si>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</si>
  <si>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</si>
  <si>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</si>
  <si>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</si>
  <si>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</si>
  <si>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</si>
  <si>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</si>
  <si>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</si>
  <si>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</si>
  <si>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</si>
  <si>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</si>
  <si>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</si>
  <si>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</si>
  <si>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</si>
  <si>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</si>
  <si>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</si>
  <si>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</si>
  <si>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</si>
  <si>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</si>
  <si>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</si>
  <si>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</si>
  <si>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</si>
  <si>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</si>
  <si>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</si>
  <si>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</si>
  <si>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</si>
  <si>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</si>
  <si>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</si>
  <si>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</si>
  <si>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</si>
  <si>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</si>
  <si>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</si>
  <si>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</si>
  <si>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</si>
  <si>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</si>
  <si>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</si>
  <si>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</si>
  <si>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</si>
  <si>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</si>
  <si>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</si>
  <si>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</si>
  <si>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</si>
  <si>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</si>
  <si>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</si>
  <si>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</si>
  <si>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</si>
  <si>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</si>
  <si>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</si>
  <si>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</si>
  <si>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</si>
  <si>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</si>
  <si>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</si>
  <si>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</si>
  <si>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</si>
  <si>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</si>
  <si>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</si>
  <si>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</si>
  <si>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</si>
  <si>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</si>
  <si>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</si>
  <si>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</si>
  <si>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</si>
  <si>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</si>
  <si>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</si>
  <si>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</si>
  <si>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</si>
  <si>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</si>
  <si>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</si>
  <si>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</si>
  <si>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</si>
  <si>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</si>
  <si>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</si>
  <si>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</si>
  <si>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</si>
  <si>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</si>
  <si>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</si>
  <si>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</si>
  <si>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</si>
  <si>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</si>
  <si>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</si>
  <si>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</si>
  <si>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</si>
  <si>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</si>
  <si>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</si>
  <si>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</si>
  <si>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</si>
  <si>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</si>
  <si>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</si>
  <si>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</si>
  <si>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</si>
  <si>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</si>
  <si>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</si>
  <si>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</si>
  <si>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</si>
  <si>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</si>
  <si>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</si>
  <si>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</si>
  <si>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</si>
  <si>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</si>
  <si>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</si>
  <si>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</si>
  <si>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</si>
  <si>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</si>
  <si>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</si>
  <si>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</si>
  <si>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</si>
  <si>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</si>
  <si>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</si>
  <si>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</si>
  <si>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</si>
  <si>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</si>
  <si>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</si>
  <si>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</si>
  <si>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</si>
  <si>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</si>
  <si>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</si>
  <si>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</si>
  <si>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</si>
  <si>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</si>
  <si>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</si>
  <si>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</si>
  <si>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</si>
  <si>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</si>
  <si>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</si>
  <si>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</si>
  <si>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</si>
  <si>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</si>
  <si>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</si>
  <si>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</si>
  <si>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</si>
  <si>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</si>
  <si>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</si>
  <si>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</si>
  <si>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</si>
  <si>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</si>
  <si>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</si>
  <si>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</si>
  <si>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</si>
  <si>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</si>
  <si>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</si>
  <si>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</si>
  <si>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</si>
  <si>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</si>
  <si>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</si>
  <si>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</si>
  <si>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</si>
  <si>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</si>
  <si>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</si>
  <si>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</si>
  <si>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</si>
  <si>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</si>
  <si>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</si>
  <si>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</si>
  <si>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</si>
  <si>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</si>
  <si>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</si>
  <si>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</si>
  <si>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</si>
  <si>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</si>
  <si>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</si>
  <si>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</si>
  <si>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</si>
  <si>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</si>
  <si>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</si>
  <si>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</si>
  <si>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</si>
  <si>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</si>
  <si>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</si>
  <si>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</si>
  <si>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</si>
  <si>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</si>
  <si>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</si>
  <si>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</si>
  <si>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</si>
  <si>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</si>
  <si>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</si>
  <si>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</si>
  <si>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</si>
  <si>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</si>
  <si>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</si>
  <si>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</si>
  <si>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</si>
  <si>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</si>
  <si>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</si>
  <si>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</si>
  <si>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</si>
  <si>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</si>
  <si>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</si>
  <si>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</si>
  <si>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</si>
  <si>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</si>
  <si>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</si>
  <si>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</si>
  <si>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</si>
  <si>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</si>
  <si>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</si>
  <si>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</si>
  <si>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</si>
  <si>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</si>
  <si>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</si>
  <si>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</si>
  <si>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</si>
  <si>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</si>
  <si>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</si>
  <si>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</si>
  <si>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</si>
  <si>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</si>
  <si>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</si>
  <si>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</si>
  <si>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</si>
  <si>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</si>
  <si>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</si>
  <si>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</si>
  <si>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</si>
  <si>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</si>
  <si>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</si>
  <si>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</si>
  <si>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</si>
  <si>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</si>
  <si>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</si>
  <si>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</si>
  <si>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</si>
  <si>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</si>
  <si>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</si>
  <si>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</si>
  <si>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</si>
  <si>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</si>
  <si>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</si>
  <si>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</si>
  <si>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</si>
  <si>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</si>
  <si>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</si>
  <si>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</si>
  <si>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</si>
  <si>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</si>
  <si>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</si>
  <si>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</si>
  <si>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</si>
  <si>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</si>
  <si>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</si>
  <si>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</si>
  <si>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</si>
  <si>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</si>
  <si>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</si>
  <si>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</si>
  <si>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</si>
  <si>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</si>
  <si>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</si>
  <si>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</si>
  <si>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</si>
  <si>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</si>
  <si>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</si>
  <si>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</si>
  <si>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</si>
  <si>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</si>
  <si>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</si>
  <si>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</si>
  <si>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</si>
  <si>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</si>
  <si>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</si>
  <si>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</si>
  <si>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</si>
  <si>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</si>
  <si>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</si>
  <si>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</si>
  <si>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</si>
  <si>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</si>
  <si>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</si>
  <si>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</si>
  <si>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</si>
  <si>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</si>
  <si>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</si>
  <si>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</si>
  <si>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</si>
  <si>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</si>
  <si>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</si>
  <si>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</si>
  <si>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</si>
  <si>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</si>
  <si>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</si>
  <si>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</si>
  <si>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</si>
  <si>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</si>
  <si>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</si>
  <si>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</si>
  <si>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</si>
  <si>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</si>
  <si>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</si>
  <si>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</si>
  <si>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</si>
  <si>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</si>
  <si>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</si>
  <si>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</si>
  <si>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</si>
  <si>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</si>
  <si>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</si>
  <si>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</si>
  <si>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</si>
  <si>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</si>
  <si>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</si>
  <si>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</si>
  <si>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</si>
  <si>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</si>
  <si>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</si>
  <si>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</si>
  <si>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</si>
  <si>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</si>
  <si>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</si>
  <si>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</si>
  <si>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</si>
  <si>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</si>
  <si>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</si>
  <si>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</si>
  <si>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</si>
  <si>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</si>
  <si>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</si>
  <si>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</si>
  <si>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</si>
  <si>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</si>
  <si>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</si>
  <si>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</si>
  <si>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</si>
  <si>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</si>
  <si>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</si>
  <si>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</si>
  <si>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</si>
  <si>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</si>
  <si>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</si>
  <si>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</si>
  <si>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</si>
  <si>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</si>
  <si>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</si>
  <si>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</si>
  <si>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</si>
  <si>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</si>
  <si>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</si>
  <si>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</si>
  <si>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</si>
  <si>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</si>
  <si>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</si>
  <si>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</si>
  <si>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</si>
  <si>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</si>
  <si>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</si>
  <si>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</si>
  <si>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</si>
  <si>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</si>
  <si>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</si>
  <si>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</si>
  <si>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</si>
  <si>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</si>
  <si>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</si>
  <si>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</si>
  <si>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</si>
  <si>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</si>
  <si>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</si>
  <si>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</si>
  <si>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</si>
  <si>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</si>
  <si>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</si>
  <si>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</si>
  <si>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</si>
  <si>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</si>
  <si>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</si>
  <si>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</si>
  <si>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</si>
  <si>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</si>
  <si>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</si>
  <si>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</si>
  <si>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</si>
  <si>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</si>
  <si>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</si>
  <si>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</si>
  <si>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</si>
  <si>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</si>
  <si>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</si>
  <si>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</si>
  <si>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</si>
  <si>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</si>
  <si>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</si>
  <si>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</si>
  <si>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</si>
  <si>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</si>
  <si>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</si>
  <si>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</si>
  <si>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</si>
  <si>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</si>
  <si>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</si>
  <si>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</si>
  <si>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</si>
  <si>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</si>
  <si>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</si>
  <si>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</si>
  <si>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</si>
  <si>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</si>
  <si>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</si>
  <si>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</si>
  <si>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</si>
  <si>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</si>
  <si>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</si>
  <si>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</si>
  <si>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</si>
  <si>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</si>
  <si>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</si>
  <si>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</si>
  <si>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</si>
  <si>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</si>
  <si>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</si>
  <si>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</si>
  <si>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</si>
  <si>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</si>
  <si>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</si>
  <si>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</si>
  <si>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</si>
  <si>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</si>
  <si>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</si>
  <si>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</si>
  <si>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</si>
  <si>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</si>
  <si>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</si>
  <si>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</si>
  <si>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</si>
  <si>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</si>
  <si>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</si>
  <si>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</si>
  <si>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</si>
  <si>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</si>
  <si>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</si>
  <si>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</si>
  <si>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</si>
  <si>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</si>
  <si>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</si>
  <si>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</si>
  <si>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</si>
  <si>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</si>
  <si>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</si>
  <si>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</si>
  <si>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</si>
  <si>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</si>
  <si>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</si>
  <si>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</si>
  <si>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</si>
  <si>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Salmi &amp; Associates, LLC</t>
  </si>
  <si>
    <t>112 S Main Street</t>
  </si>
  <si>
    <t>Washington</t>
  </si>
  <si>
    <t>IL</t>
  </si>
  <si>
    <t>(309) 444-4909</t>
  </si>
  <si>
    <t>(309) 444-8580</t>
  </si>
  <si>
    <t>066-004355</t>
  </si>
  <si>
    <t>Lori Salmi</t>
  </si>
  <si>
    <t>lsalmi@psa-cpa.com</t>
  </si>
  <si>
    <t>X</t>
  </si>
  <si>
    <t>Taxable General Obligations Bonds, Series 2011</t>
  </si>
  <si>
    <t>General Obligation Refund Bond, Series 2013</t>
  </si>
  <si>
    <t>Capitalized Bus Leases</t>
  </si>
  <si>
    <t>Stadium Lease</t>
  </si>
  <si>
    <t>Copier Lease</t>
  </si>
  <si>
    <t>various</t>
  </si>
  <si>
    <t>Tazewell</t>
  </si>
  <si>
    <t>1401 E. Washington Street</t>
  </si>
  <si>
    <t xml:space="preserve">East Peoria </t>
  </si>
  <si>
    <t>mgreuter@ep309.org</t>
  </si>
  <si>
    <t>Marjorie Greuter</t>
  </si>
  <si>
    <t>(309) 694-8300</t>
  </si>
  <si>
    <t>(309) 694-8322</t>
  </si>
  <si>
    <t>East Peoria Elementary District 86</t>
  </si>
  <si>
    <t>Tazewell Mason Special Education Association</t>
  </si>
  <si>
    <t>City of East Peoria, Delavan High School</t>
  </si>
  <si>
    <t>Page 10</t>
  </si>
  <si>
    <t>1690 - Educational - Other Food Service</t>
  </si>
  <si>
    <t>Extra curricular and other food services to clubs and for events</t>
  </si>
  <si>
    <t>1719 - Educational Admissions - Other</t>
  </si>
  <si>
    <t>Non-Athletic Event Admissions</t>
  </si>
  <si>
    <t>1790 - Educational - Other District/School Activity Revenue</t>
  </si>
  <si>
    <t>Yearbook and sales of merchandise to students</t>
  </si>
  <si>
    <t>Summer Camps</t>
  </si>
  <si>
    <t>1829 - Educational - Sales - Other</t>
  </si>
  <si>
    <t>PE Suits</t>
  </si>
  <si>
    <t>Page 11</t>
  </si>
  <si>
    <t>1993 - O&amp;M - Other Local Fees.</t>
  </si>
  <si>
    <t>Parking Fees</t>
  </si>
  <si>
    <t xml:space="preserve">1999 - Educational - Other Local Revenues </t>
  </si>
  <si>
    <t>E rate</t>
  </si>
  <si>
    <t>Miscellaneous</t>
  </si>
  <si>
    <t>1999 - O&amp;M - Other Local Revenues</t>
  </si>
  <si>
    <t>Wireless Phone Reimbursement</t>
  </si>
  <si>
    <t>1999 - Debt Services - Other Local Revenues</t>
  </si>
  <si>
    <t>East Peoria Revenue Sharing Agreement</t>
  </si>
  <si>
    <t>1999 - Transportation - Other Local Revenues</t>
  </si>
  <si>
    <t>1999 - Capital Projects - Other Local Revenues</t>
  </si>
  <si>
    <t>3999 - Educational Other Restricted Revenues from State Sources</t>
  </si>
  <si>
    <t>Library Grant</t>
  </si>
  <si>
    <t>Page 12</t>
  </si>
  <si>
    <t>Page 18</t>
  </si>
  <si>
    <t>5400 (600) - Debt Services - Other</t>
  </si>
  <si>
    <t>Service Fees</t>
  </si>
  <si>
    <t>Page 24</t>
  </si>
  <si>
    <t>Retired Debt Total</t>
  </si>
  <si>
    <t>8990 - O&amp;M - Other Uses Not Classified Elsewhere - Stadium Lease</t>
  </si>
  <si>
    <t>Debt Services - Payments of Principal on Long - Term Debt</t>
  </si>
  <si>
    <t>U.S. DEPARTMENT OF AGRICULTURE</t>
  </si>
  <si>
    <t>Passed through the Illinois State Board of Education</t>
  </si>
  <si>
    <t xml:space="preserve">  National School Lunch Program</t>
  </si>
  <si>
    <t xml:space="preserve">    National School Breakfast Program</t>
  </si>
  <si>
    <t xml:space="preserve">  Value of Commidities</t>
  </si>
  <si>
    <t xml:space="preserve">  Value of Fruits and Vegetables</t>
  </si>
  <si>
    <t xml:space="preserve">TOTAL NATIONAL SCHOOL LUNCH CLUSTER/TOTAL U.S. DEPARTMENT </t>
  </si>
  <si>
    <t>OF AGRICUTURE (M)</t>
  </si>
  <si>
    <t>18-4210-00</t>
  </si>
  <si>
    <t>19-4210-00</t>
  </si>
  <si>
    <t>18-4220-00</t>
  </si>
  <si>
    <t>N/A</t>
  </si>
  <si>
    <t>US DEPARTMENT OF EDUCATION</t>
  </si>
  <si>
    <t xml:space="preserve">  Title I - Low Income</t>
  </si>
  <si>
    <t xml:space="preserve">    TITLE 1 - LOW INCOME TOTAL (M)</t>
  </si>
  <si>
    <t>18-4300-00</t>
  </si>
  <si>
    <t>19-4300-00</t>
  </si>
  <si>
    <t xml:space="preserve">  Title II - Teacher Quality</t>
  </si>
  <si>
    <t xml:space="preserve">  TITLE II - TEACHER QUALITY TOTAL</t>
  </si>
  <si>
    <t xml:space="preserve">  IDEA Room &amp; Board</t>
  </si>
  <si>
    <t xml:space="preserve">  IDEA ROOM &amp; BOARD TOTAL</t>
  </si>
  <si>
    <t>18-4932-00</t>
  </si>
  <si>
    <t>19-4932-00</t>
  </si>
  <si>
    <t>18-4625-00</t>
  </si>
  <si>
    <t>19-4625-00</t>
  </si>
  <si>
    <t xml:space="preserve">Total of Department of Education passed through the Illinois State Board of Education </t>
  </si>
  <si>
    <t>SEFA PAGE 40.1 TOTAL</t>
  </si>
  <si>
    <t>Total Passed Through the Illinois State Board of Education</t>
  </si>
  <si>
    <t>Passed through Tazewell Mason County Special Education Association</t>
  </si>
  <si>
    <t xml:space="preserve">    IDEA Part B - Flow Through Funds</t>
  </si>
  <si>
    <t xml:space="preserve">   IDEA Part B - Flow Through Funds</t>
  </si>
  <si>
    <t xml:space="preserve">   IDEA PART B - FLOW THROUGH FUNDS TOTAL</t>
  </si>
  <si>
    <t>Department of Health and Human Services passed through the Illinois Department of Healthcare and Family Services</t>
  </si>
  <si>
    <t>Capital Lease</t>
  </si>
  <si>
    <t>Refunds &amp; reimbursements</t>
  </si>
  <si>
    <t>Insurance and other reimbursements</t>
  </si>
  <si>
    <t>Entry Fees</t>
  </si>
  <si>
    <t>Booster contribution of scoreboard</t>
  </si>
  <si>
    <t>18-4620-00</t>
  </si>
  <si>
    <t>19-4620-00</t>
  </si>
  <si>
    <t>Total Federal Expenditures for 7/1/18-6/30/19</t>
  </si>
  <si>
    <t>SEFA PAGE 40.2 TOTAL</t>
  </si>
  <si>
    <t xml:space="preserve">  TOTAL FEDERAL ASSISTANCE</t>
  </si>
  <si>
    <r>
      <t xml:space="preserve">The accompanying Schedule of Expenditures of Federal Awards includes the federal grant activity of </t>
    </r>
    <r>
      <rPr>
        <b/>
        <sz val="9"/>
        <rFont val="Calibri"/>
        <family val="2"/>
        <scheme val="minor"/>
      </rPr>
      <t>East Peoria Community High School</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</si>
  <si>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East Peoria Community High School</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</si>
  <si>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19-4220-00</t>
  </si>
  <si>
    <t>18-4900-00</t>
  </si>
  <si>
    <t>19-4900-00</t>
  </si>
  <si>
    <t>Unmodified</t>
  </si>
  <si>
    <t>10.555 and 10.553</t>
  </si>
  <si>
    <t>Nutrition Cluster</t>
  </si>
  <si>
    <t>None</t>
  </si>
  <si>
    <t>Capital lease obligation on new busses</t>
  </si>
  <si>
    <t>Buy back on busses returned during year</t>
  </si>
  <si>
    <t>Difference in capitalized bus leases</t>
  </si>
  <si>
    <t>2550-500 - Transprotation -Capitalized bus leases</t>
  </si>
  <si>
    <t>5300-600  Transportation - Repayment of bus leases</t>
  </si>
  <si>
    <t>8990 - Educational - Other Uses Not Classified Elsewhere - Copier Lease</t>
  </si>
  <si>
    <t>Self Insurance refund net of loss</t>
  </si>
  <si>
    <t>Title 1 - 2019</t>
  </si>
  <si>
    <t>Title 1 expenses for reimbursement reported to ISBE occured and can be supported.</t>
  </si>
  <si>
    <t>Title 1 expenses reported are not vouched to general ledger.</t>
  </si>
  <si>
    <t>Due to lack of vouching to the general ledger, errors in Title 1 expenses can be overstated to ISBE.</t>
  </si>
  <si>
    <t>The reporting of Title 1 expenses has no procedure of vouching to the general ledger.</t>
  </si>
  <si>
    <t>Caterpillar Financial Services</t>
  </si>
  <si>
    <t>Supplies, Maintenance</t>
  </si>
  <si>
    <t>Maintenance Contracts</t>
  </si>
  <si>
    <t>Repairs, Equipment</t>
  </si>
  <si>
    <t>Repairs/Equipment</t>
  </si>
  <si>
    <t>Electricity</t>
  </si>
  <si>
    <t>Heating Gas &amp; Oil</t>
  </si>
  <si>
    <t>Computer Licenses</t>
  </si>
  <si>
    <t>Liberty Pest Control</t>
  </si>
  <si>
    <t>Mechanical, Inc</t>
  </si>
  <si>
    <t>Thompson Electronics</t>
  </si>
  <si>
    <t>National Elevator Inspection Services</t>
  </si>
  <si>
    <t>Interface Security Systems LLC</t>
  </si>
  <si>
    <t>Chemsearch</t>
  </si>
  <si>
    <t>Ideal Environmental Engineering, Inc</t>
  </si>
  <si>
    <t>FL Sons Fire Equipment, Inc</t>
  </si>
  <si>
    <t>Calpine Energy Solutions</t>
  </si>
  <si>
    <t>Centerpoint Energy Services</t>
  </si>
  <si>
    <t>i3 Broadband</t>
  </si>
  <si>
    <t>Call One</t>
  </si>
  <si>
    <t>20-2540-400</t>
  </si>
  <si>
    <t>20-2540-300</t>
  </si>
  <si>
    <t>10-1000-300</t>
  </si>
  <si>
    <t>Illinois State Board of Education</t>
  </si>
  <si>
    <t>U.S. Dept of Education</t>
  </si>
  <si>
    <t xml:space="preserve">Errors occurred in amount of Title 1 expenses reported to ISBE being more than actually occured. </t>
  </si>
  <si>
    <t>We recommend the quarterly Title 1 expense reports are vouched to the general ledger prior to submission.</t>
  </si>
  <si>
    <t>The District reported costs  of $2,038,  which included $1,520 for wages and $518 for professional development that were not actually paid.</t>
  </si>
  <si>
    <t xml:space="preserve">Management agrees and all quarterly expense reports for Title I will be vouched to the general ledger prior to submission. </t>
  </si>
  <si>
    <t>NONE</t>
  </si>
  <si>
    <t>84.010</t>
  </si>
  <si>
    <t>See Opinion - Notes 35</t>
  </si>
  <si>
    <t>East Peoria CHSD 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</si>
</sst>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164" fontId="44" fillId="0" borderId="0" xfId="0" applyNumberFormat="1" applyFont="1"/>
    <xf numFmtId="3" fontId="56" fillId="0" borderId="0" xfId="0" applyNumberFormat="1" applyFont="1"/>
    <xf numFmtId="181" fontId="56" fillId="0" borderId="0" xfId="1" applyNumberFormat="1" applyFont="1"/>
    <xf numFmtId="181" fontId="56" fillId="0" borderId="165" xfId="1" applyNumberFormat="1" applyFont="1" applyBorder="1"/>
    <xf numFmtId="181" fontId="56" fillId="0" borderId="0" xfId="1" applyNumberFormat="1" applyFont="1" applyBorder="1"/>
    <xf numFmtId="181" fontId="61" fillId="0" borderId="22" xfId="1" applyNumberFormat="1" applyFont="1" applyBorder="1" applyAlignment="1" applyProtection="1">
      <alignment horizontal="center"/>
      <protection locked="0"/>
    </xf>
    <xf numFmtId="181" fontId="61" fillId="0" borderId="8" xfId="1" applyNumberFormat="1" applyFont="1" applyBorder="1" applyAlignment="1" applyProtection="1">
      <alignment horizontal="center"/>
      <protection locked="0"/>
    </xf>
    <xf numFmtId="181" fontId="61" fillId="0" borderId="45" xfId="1" applyNumberFormat="1" applyFont="1" applyBorder="1" applyAlignment="1" applyProtection="1">
      <alignment horizontal="center"/>
      <protection locked="0"/>
    </xf>
    <xf numFmtId="181" fontId="61" fillId="0" borderId="44" xfId="1" applyNumberFormat="1" applyFont="1" applyBorder="1" applyAlignment="1" applyProtection="1">
      <alignment horizontal="center"/>
      <protection locked="0"/>
    </xf>
    <xf numFmtId="181" fontId="61" fillId="0" borderId="166" xfId="1" applyNumberFormat="1" applyFont="1" applyBorder="1" applyAlignment="1" applyProtection="1">
      <alignment horizontal="center"/>
      <protection locked="0"/>
    </xf>
    <xf numFmtId="182" fontId="61" fillId="0" borderId="22" xfId="19" applyNumberFormat="1" applyFont="1" applyBorder="1" applyAlignment="1" applyProtection="1">
      <alignment horizontal="center"/>
      <protection locked="0"/>
    </xf>
    <xf numFmtId="182" fontId="61" fillId="0" borderId="8" xfId="19" applyNumberFormat="1" applyFont="1" applyBorder="1" applyAlignment="1" applyProtection="1">
      <alignment horizontal="center"/>
      <protection locked="0"/>
    </xf>
    <xf numFmtId="182" fontId="61" fillId="0" borderId="167" xfId="19" applyNumberFormat="1" applyFont="1" applyBorder="1" applyAlignment="1" applyProtection="1">
      <alignment horizontal="center"/>
      <protection locked="0"/>
    </xf>
    <xf numFmtId="182" fontId="61" fillId="0" borderId="166" xfId="19"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quotePrefix="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0</xdr:row>
          <xdr:rowOff>0</xdr:rowOff>
        </xdr:from>
        <xdr:to>
          <xdr:col>1</xdr:col>
          <xdr:colOff>2028825</xdr:colOff>
          <xdr:row>4</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0</xdr:row>
          <xdr:rowOff>9525</xdr:rowOff>
        </xdr:from>
        <xdr:to>
          <xdr:col>1</xdr:col>
          <xdr:colOff>3181350</xdr:colOff>
          <xdr:row>4</xdr:row>
          <xdr:rowOff>47625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94" t="s">
        <v>405</v>
      </c>
      <c r="J1" s="1995"/>
      <c r="K1" s="1995"/>
      <c r="L1" s="1995"/>
      <c r="M1" s="1995"/>
      <c r="N1" s="1995"/>
      <c r="O1" s="1995"/>
      <c r="P1" s="1995"/>
      <c r="Q1" s="1995"/>
      <c r="R1" s="1995"/>
      <c r="S1" s="1995"/>
    </row>
    <row r="2" spans="1:28" ht="12" customHeight="1" x14ac:dyDescent="0.2">
      <c r="A2" s="47" t="s">
        <v>1990</v>
      </c>
      <c r="D2" s="48"/>
      <c r="I2" s="1996" t="s">
        <v>979</v>
      </c>
      <c r="J2" s="1995"/>
      <c r="K2" s="1995"/>
      <c r="L2" s="1995"/>
      <c r="M2" s="1995"/>
      <c r="N2" s="1995"/>
      <c r="O2" s="1995"/>
      <c r="P2" s="1995"/>
      <c r="Q2" s="1995"/>
      <c r="R2" s="1995"/>
      <c r="S2" s="1995"/>
    </row>
    <row r="3" spans="1:28" ht="12" customHeight="1" x14ac:dyDescent="0.2">
      <c r="A3" s="155" t="s">
        <v>1942</v>
      </c>
      <c r="B3" s="156"/>
      <c r="C3" s="156"/>
      <c r="D3" s="157"/>
      <c r="I3" s="1996" t="s">
        <v>52</v>
      </c>
      <c r="J3" s="1995"/>
      <c r="K3" s="1995"/>
      <c r="L3" s="1995"/>
      <c r="M3" s="1995"/>
      <c r="N3" s="1995"/>
      <c r="O3" s="1995"/>
      <c r="P3" s="1995"/>
      <c r="Q3" s="1995"/>
      <c r="R3" s="1995"/>
      <c r="S3" s="1995"/>
    </row>
    <row r="4" spans="1:28" ht="12" customHeight="1" x14ac:dyDescent="0.2">
      <c r="A4" s="37"/>
      <c r="I4" s="1996" t="s">
        <v>524</v>
      </c>
      <c r="J4" s="1995"/>
      <c r="K4" s="1995"/>
      <c r="L4" s="1995"/>
      <c r="M4" s="1995"/>
      <c r="N4" s="1995"/>
      <c r="O4" s="1995"/>
      <c r="P4" s="1995"/>
      <c r="Q4" s="1995"/>
      <c r="R4" s="1995"/>
      <c r="S4" s="1995"/>
    </row>
    <row r="5" spans="1:28" ht="14.1" customHeight="1" x14ac:dyDescent="0.2">
      <c r="B5" s="104" t="s">
        <v>2070</v>
      </c>
      <c r="C5" s="26" t="s">
        <v>910</v>
      </c>
      <c r="D5" s="84"/>
      <c r="E5" s="84"/>
      <c r="H5" s="38"/>
      <c r="I5" s="2004" t="s">
        <v>680</v>
      </c>
      <c r="J5" s="2003"/>
      <c r="K5" s="2003"/>
      <c r="L5" s="2003"/>
      <c r="M5" s="2003"/>
      <c r="N5" s="2003"/>
      <c r="O5" s="2003"/>
      <c r="P5" s="2003"/>
      <c r="Q5" s="2003"/>
      <c r="R5" s="2003"/>
      <c r="S5" s="2003"/>
    </row>
    <row r="6" spans="1:28" ht="14.1" customHeight="1" x14ac:dyDescent="0.2">
      <c r="B6" s="104"/>
      <c r="C6" s="26" t="s">
        <v>911</v>
      </c>
      <c r="D6" s="84"/>
      <c r="E6" s="84"/>
      <c r="I6" s="2002" t="s">
        <v>883</v>
      </c>
      <c r="J6" s="2003"/>
      <c r="K6" s="2003"/>
      <c r="L6" s="2003"/>
      <c r="M6" s="2003"/>
      <c r="N6" s="2003"/>
      <c r="O6" s="2003"/>
      <c r="P6" s="2003"/>
      <c r="Q6" s="2003"/>
      <c r="R6" s="2003"/>
      <c r="S6" s="2003"/>
    </row>
    <row r="7" spans="1:28" ht="12.2" customHeight="1" x14ac:dyDescent="0.2">
      <c r="I7" s="1997">
        <v>43646</v>
      </c>
      <c r="J7" s="1998"/>
      <c r="K7" s="1998"/>
      <c r="L7" s="1998"/>
      <c r="M7" s="1998"/>
      <c r="N7" s="1998"/>
      <c r="O7" s="1998"/>
      <c r="P7" s="1998"/>
      <c r="Q7" s="1998"/>
      <c r="R7" s="1998"/>
      <c r="S7" s="199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9" t="s">
        <v>674</v>
      </c>
      <c r="J9" s="2000"/>
      <c r="K9" s="2000"/>
      <c r="L9" s="2000"/>
      <c r="M9" s="2000"/>
      <c r="N9" s="2000"/>
      <c r="O9" s="2000"/>
      <c r="P9" s="2000"/>
      <c r="Q9" s="2000"/>
      <c r="R9" s="2000"/>
      <c r="S9" s="2001"/>
      <c r="T9" s="2015" t="s">
        <v>533</v>
      </c>
      <c r="U9" s="2016"/>
      <c r="V9" s="2016"/>
      <c r="W9" s="2016"/>
      <c r="X9" s="2016"/>
      <c r="Y9" s="2016"/>
      <c r="Z9" s="2016"/>
      <c r="AA9" s="2017"/>
    </row>
    <row r="10" spans="1:28" ht="13.5" customHeight="1" x14ac:dyDescent="0.2">
      <c r="A10" s="2022" t="s">
        <v>675</v>
      </c>
      <c r="B10" s="2023"/>
      <c r="C10" s="2023"/>
      <c r="D10" s="2023"/>
      <c r="E10" s="2023"/>
      <c r="F10" s="2023"/>
      <c r="G10" s="2023"/>
      <c r="H10" s="2024"/>
      <c r="I10" s="29"/>
      <c r="J10" s="30"/>
      <c r="K10" s="28"/>
      <c r="R10" s="30"/>
      <c r="S10" s="30"/>
      <c r="T10" s="2018"/>
      <c r="U10" s="2003"/>
      <c r="V10" s="2003"/>
      <c r="W10" s="2003"/>
      <c r="X10" s="2003"/>
      <c r="Y10" s="2003"/>
      <c r="Z10" s="2003"/>
      <c r="AA10" s="2009"/>
    </row>
    <row r="11" spans="1:28" ht="14.25" customHeight="1" x14ac:dyDescent="0.2">
      <c r="A11" s="2025" t="s">
        <v>955</v>
      </c>
      <c r="B11" s="2026"/>
      <c r="C11" s="2026"/>
      <c r="D11" s="2026"/>
      <c r="E11" s="2026"/>
      <c r="F11" s="2026"/>
      <c r="G11" s="2026"/>
      <c r="H11" s="2027"/>
      <c r="I11" s="27"/>
      <c r="J11" s="74"/>
      <c r="K11" s="27"/>
      <c r="O11" s="148" t="s">
        <v>2070</v>
      </c>
      <c r="P11" s="100" t="s">
        <v>201</v>
      </c>
      <c r="Q11" s="30"/>
      <c r="R11" s="28"/>
      <c r="S11" s="27"/>
      <c r="T11" s="2019"/>
      <c r="U11" s="2020"/>
      <c r="V11" s="2020"/>
      <c r="W11" s="2020"/>
      <c r="X11" s="2020"/>
      <c r="Y11" s="2020"/>
      <c r="Z11" s="2020"/>
      <c r="AA11" s="202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9">
        <v>53090309016</v>
      </c>
      <c r="B13" s="2030"/>
      <c r="C13" s="2030"/>
      <c r="D13" s="2030"/>
      <c r="E13" s="2030"/>
      <c r="F13" s="2030"/>
      <c r="G13" s="2030"/>
      <c r="H13" s="2031"/>
      <c r="I13" s="31"/>
      <c r="J13" s="30"/>
      <c r="K13" s="28"/>
      <c r="L13" s="30"/>
      <c r="M13" s="30"/>
      <c r="N13" s="30"/>
      <c r="O13" s="30"/>
      <c r="P13" s="30"/>
      <c r="Q13" s="30"/>
      <c r="R13" s="30"/>
      <c r="S13" s="30"/>
      <c r="T13" s="2034" t="s">
        <v>2061</v>
      </c>
      <c r="U13" s="2035"/>
      <c r="V13" s="2035"/>
      <c r="W13" s="2035"/>
      <c r="X13" s="2035"/>
      <c r="Y13" s="2036"/>
      <c r="Z13" s="2036"/>
      <c r="AA13" s="203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8" t="s">
        <v>2077</v>
      </c>
      <c r="B15" s="2032"/>
      <c r="C15" s="2032"/>
      <c r="D15" s="2032"/>
      <c r="E15" s="2032"/>
      <c r="F15" s="2032"/>
      <c r="G15" s="2032"/>
      <c r="H15" s="2033"/>
      <c r="T15" s="2038" t="s">
        <v>2068</v>
      </c>
      <c r="U15" s="1982"/>
      <c r="V15" s="1982"/>
      <c r="W15" s="1982"/>
      <c r="X15" s="1982"/>
      <c r="Y15" s="2039"/>
      <c r="Z15" s="2039"/>
      <c r="AA15" s="204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8" t="s">
        <v>2215</v>
      </c>
      <c r="B17" s="1989"/>
      <c r="C17" s="1989"/>
      <c r="D17" s="1989"/>
      <c r="E17" s="1989"/>
      <c r="F17" s="1989"/>
      <c r="G17" s="1989"/>
      <c r="H17" s="2014"/>
      <c r="T17" s="2045" t="s">
        <v>2062</v>
      </c>
      <c r="U17" s="2046"/>
      <c r="V17" s="2046"/>
      <c r="W17" s="2046"/>
      <c r="X17" s="2046"/>
      <c r="Y17" s="2046"/>
      <c r="Z17" s="2046"/>
      <c r="AA17" s="2047"/>
    </row>
    <row r="18" spans="1:27" ht="13.5" customHeight="1" x14ac:dyDescent="0.2">
      <c r="A18" s="85" t="s">
        <v>530</v>
      </c>
      <c r="B18" s="76"/>
      <c r="C18" s="72"/>
      <c r="D18" s="76"/>
      <c r="E18" s="76"/>
      <c r="F18" s="76"/>
      <c r="G18" s="76"/>
      <c r="H18" s="56"/>
      <c r="I18" s="2013" t="s">
        <v>676</v>
      </c>
      <c r="J18" s="1964"/>
      <c r="K18" s="1964"/>
      <c r="L18" s="1964"/>
      <c r="M18" s="1964"/>
      <c r="N18" s="1964"/>
      <c r="O18" s="1964"/>
      <c r="P18" s="1964"/>
      <c r="Q18" s="1964"/>
      <c r="R18" s="1964"/>
      <c r="S18" s="1965"/>
      <c r="T18" s="85" t="s">
        <v>711</v>
      </c>
      <c r="U18" s="51"/>
      <c r="V18" s="72"/>
      <c r="W18" s="50"/>
      <c r="X18" s="85" t="s">
        <v>266</v>
      </c>
      <c r="Y18" s="81"/>
      <c r="Z18" s="159" t="s">
        <v>677</v>
      </c>
      <c r="AA18" s="46"/>
    </row>
    <row r="19" spans="1:27" ht="13.5" customHeight="1" x14ac:dyDescent="0.2">
      <c r="A19" s="2028" t="s">
        <v>2078</v>
      </c>
      <c r="B19" s="1974"/>
      <c r="C19" s="1974"/>
      <c r="D19" s="1974"/>
      <c r="E19" s="1974"/>
      <c r="F19" s="1974"/>
      <c r="G19" s="1974"/>
      <c r="H19" s="1954"/>
      <c r="I19" s="30"/>
      <c r="J19" s="99"/>
      <c r="K19" s="40"/>
      <c r="L19" s="38"/>
      <c r="M19" s="112" t="s">
        <v>315</v>
      </c>
      <c r="P19" s="27"/>
      <c r="Q19" s="27"/>
      <c r="R19" s="27"/>
      <c r="S19" s="31"/>
      <c r="T19" s="2028" t="s">
        <v>2063</v>
      </c>
      <c r="U19" s="1953"/>
      <c r="V19" s="1953"/>
      <c r="W19" s="1954"/>
      <c r="X19" s="2043" t="s">
        <v>2064</v>
      </c>
      <c r="Y19" s="2044"/>
      <c r="Z19" s="2041">
        <v>61571</v>
      </c>
      <c r="AA19" s="204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2" t="s">
        <v>2079</v>
      </c>
      <c r="B21" s="1953"/>
      <c r="C21" s="1953"/>
      <c r="D21" s="1953"/>
      <c r="E21" s="1953"/>
      <c r="F21" s="1953"/>
      <c r="G21" s="1953"/>
      <c r="H21" s="1954"/>
      <c r="I21" s="2008" t="s">
        <v>678</v>
      </c>
      <c r="J21" s="2003"/>
      <c r="K21" s="2003"/>
      <c r="L21" s="2003"/>
      <c r="M21" s="2003"/>
      <c r="N21" s="2003"/>
      <c r="O21" s="2003"/>
      <c r="P21" s="2003"/>
      <c r="Q21" s="2003"/>
      <c r="R21" s="2003"/>
      <c r="S21" s="2009"/>
      <c r="T21" s="2052" t="s">
        <v>2065</v>
      </c>
      <c r="U21" s="2053"/>
      <c r="V21" s="2053"/>
      <c r="W21" s="2053"/>
      <c r="X21" s="2058" t="s">
        <v>2066</v>
      </c>
      <c r="Y21" s="2059"/>
      <c r="Z21" s="2059"/>
      <c r="AA21" s="2060"/>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5" t="s">
        <v>2080</v>
      </c>
      <c r="B23" s="2006"/>
      <c r="C23" s="2006"/>
      <c r="D23" s="2006"/>
      <c r="E23" s="2006"/>
      <c r="F23" s="2006"/>
      <c r="G23" s="2006"/>
      <c r="H23" s="2007"/>
      <c r="T23" s="1988" t="s">
        <v>2067</v>
      </c>
      <c r="U23" s="2051"/>
      <c r="V23" s="2051"/>
      <c r="W23" s="2051"/>
      <c r="X23" s="2055">
        <v>44530</v>
      </c>
      <c r="Y23" s="2056"/>
      <c r="Z23" s="2056"/>
      <c r="AA23" s="2057"/>
    </row>
    <row r="24" spans="1:27" ht="14.1" customHeight="1" x14ac:dyDescent="0.2">
      <c r="A24" s="88" t="s">
        <v>677</v>
      </c>
      <c r="B24" s="49"/>
      <c r="C24" s="49"/>
      <c r="D24" s="49"/>
      <c r="E24" s="49"/>
      <c r="F24" s="49"/>
      <c r="G24" s="49"/>
      <c r="H24" s="61"/>
      <c r="J24" s="1975">
        <f>IF(B5="x",IF(AUDITCHECK!D29="AFR form Incomplete.","",IF(AUDITCHECK!D29="Deficit reduction plan is required.","School District must complete a deficit reduction plan in the 2019-2020 Budget",)),"")</f>
        <v>0</v>
      </c>
      <c r="K24" s="1975"/>
      <c r="L24" s="1975"/>
      <c r="M24" s="1975"/>
      <c r="N24" s="1975"/>
      <c r="O24" s="1975"/>
      <c r="P24" s="1975"/>
      <c r="Q24" s="1975"/>
      <c r="R24" s="1975"/>
      <c r="S24" s="1976"/>
      <c r="T24" s="105" t="s">
        <v>531</v>
      </c>
      <c r="U24" s="106"/>
      <c r="V24" s="106"/>
      <c r="W24" s="106"/>
      <c r="X24" s="107"/>
      <c r="Y24" s="107"/>
      <c r="Z24" s="107"/>
      <c r="AA24" s="108"/>
    </row>
    <row r="25" spans="1:27" ht="14.1" customHeight="1" x14ac:dyDescent="0.2">
      <c r="A25" s="1952">
        <v>61611</v>
      </c>
      <c r="B25" s="1953"/>
      <c r="C25" s="1953"/>
      <c r="D25" s="1953"/>
      <c r="E25" s="1953"/>
      <c r="F25" s="1953"/>
      <c r="G25" s="1953"/>
      <c r="H25" s="1954"/>
      <c r="I25" s="113"/>
      <c r="J25" s="1977"/>
      <c r="K25" s="1977"/>
      <c r="L25" s="1977"/>
      <c r="M25" s="1977"/>
      <c r="N25" s="1977"/>
      <c r="O25" s="1977"/>
      <c r="P25" s="1977"/>
      <c r="Q25" s="1977"/>
      <c r="R25" s="1977"/>
      <c r="S25" s="1978"/>
      <c r="T25" s="2048" t="s">
        <v>2069</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3" t="s">
        <v>1511</v>
      </c>
      <c r="J27" s="1964"/>
      <c r="K27" s="1964"/>
      <c r="L27" s="1964"/>
      <c r="M27" s="1964"/>
      <c r="N27" s="1964"/>
      <c r="O27" s="1964"/>
      <c r="P27" s="1964"/>
      <c r="Q27" s="1964"/>
      <c r="R27" s="1964"/>
      <c r="S27" s="196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2070</v>
      </c>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4"/>
      <c r="Q35" s="1953"/>
      <c r="R35" s="19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8" t="s">
        <v>2081</v>
      </c>
      <c r="B38" s="1989"/>
      <c r="C38" s="1989"/>
      <c r="D38" s="1989"/>
      <c r="E38" s="1989"/>
      <c r="F38" s="1953"/>
      <c r="G38" s="1953"/>
      <c r="H38" s="1954"/>
      <c r="I38" s="1981"/>
      <c r="J38" s="1982"/>
      <c r="K38" s="1982"/>
      <c r="L38" s="1982"/>
      <c r="M38" s="1982"/>
      <c r="N38" s="1982"/>
      <c r="O38" s="1982"/>
      <c r="P38" s="1983"/>
      <c r="Q38" s="1983"/>
      <c r="R38" s="1983"/>
      <c r="S38" s="1984"/>
      <c r="T38" s="2038"/>
      <c r="U38" s="1982"/>
      <c r="V38" s="1982"/>
      <c r="W38" s="1982"/>
      <c r="X38" s="1983"/>
      <c r="Y38" s="1983"/>
      <c r="Z38" s="1983"/>
      <c r="AA38" s="1984"/>
    </row>
    <row r="39" spans="1:27" ht="12" customHeight="1" x14ac:dyDescent="0.2">
      <c r="A39" s="1958" t="s">
        <v>531</v>
      </c>
      <c r="B39" s="1959"/>
      <c r="C39" s="72"/>
      <c r="D39" s="69"/>
      <c r="E39" s="69"/>
      <c r="F39" s="79"/>
      <c r="G39" s="69"/>
      <c r="H39" s="56"/>
      <c r="I39" s="1958" t="s">
        <v>531</v>
      </c>
      <c r="J39" s="1959"/>
      <c r="K39" s="1959"/>
      <c r="L39" s="1959"/>
      <c r="M39" s="1959"/>
      <c r="N39" s="67"/>
      <c r="O39" s="72"/>
      <c r="P39" s="72"/>
      <c r="Q39" s="78"/>
      <c r="R39" s="72"/>
      <c r="S39" s="56"/>
      <c r="T39" s="72" t="s">
        <v>531</v>
      </c>
      <c r="U39" s="51"/>
      <c r="V39" s="72"/>
      <c r="W39" s="50"/>
      <c r="X39" s="78"/>
      <c r="Y39" s="45"/>
      <c r="Z39" s="45"/>
      <c r="AA39" s="46"/>
    </row>
    <row r="40" spans="1:27" ht="13.5" customHeight="1" x14ac:dyDescent="0.2">
      <c r="A40" s="1966" t="s">
        <v>2080</v>
      </c>
      <c r="B40" s="1967"/>
      <c r="C40" s="1968"/>
      <c r="D40" s="1968"/>
      <c r="E40" s="1968"/>
      <c r="F40" s="1969"/>
      <c r="G40" s="1969"/>
      <c r="H40" s="1970"/>
      <c r="I40" s="1991"/>
      <c r="J40" s="1992"/>
      <c r="K40" s="1992"/>
      <c r="L40" s="1992"/>
      <c r="M40" s="1992"/>
      <c r="N40" s="1992"/>
      <c r="O40" s="1992"/>
      <c r="P40" s="1992"/>
      <c r="Q40" s="1992"/>
      <c r="R40" s="1992"/>
      <c r="S40" s="1993"/>
      <c r="T40" s="1991"/>
      <c r="U40" s="2054"/>
      <c r="V40" s="1992"/>
      <c r="W40" s="1992"/>
      <c r="X40" s="1992"/>
      <c r="Y40" s="1992"/>
      <c r="Z40" s="1992"/>
      <c r="AA40" s="199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0" t="s">
        <v>2082</v>
      </c>
      <c r="B42" s="1972"/>
      <c r="C42" s="1973"/>
      <c r="D42" s="1971" t="s">
        <v>2083</v>
      </c>
      <c r="E42" s="1972"/>
      <c r="F42" s="1972"/>
      <c r="G42" s="1972"/>
      <c r="H42" s="1973"/>
      <c r="I42" s="1955"/>
      <c r="J42" s="1956"/>
      <c r="K42" s="1956"/>
      <c r="L42" s="1956"/>
      <c r="M42" s="1956"/>
      <c r="N42" s="1956"/>
      <c r="O42" s="1957"/>
      <c r="P42" s="1990"/>
      <c r="Q42" s="1956"/>
      <c r="R42" s="1956"/>
      <c r="S42" s="1957"/>
      <c r="T42" s="1955"/>
      <c r="U42" s="1956"/>
      <c r="V42" s="1956"/>
      <c r="W42" s="1957"/>
      <c r="X42" s="1990"/>
      <c r="Y42" s="1956"/>
      <c r="Z42" s="1956"/>
      <c r="AA42" s="195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5"/>
      <c r="B44" s="1986"/>
      <c r="C44" s="1986"/>
      <c r="D44" s="1986"/>
      <c r="E44" s="1986"/>
      <c r="F44" s="1986"/>
      <c r="G44" s="1986"/>
      <c r="H44" s="1987"/>
      <c r="I44" s="1960"/>
      <c r="J44" s="1961"/>
      <c r="K44" s="1961"/>
      <c r="L44" s="1961"/>
      <c r="M44" s="1961"/>
      <c r="N44" s="1961"/>
      <c r="O44" s="1961"/>
      <c r="P44" s="1961"/>
      <c r="Q44" s="1961"/>
      <c r="R44" s="1961"/>
      <c r="S44" s="1962"/>
      <c r="T44" s="1960"/>
      <c r="U44" s="1979"/>
      <c r="V44" s="1979"/>
      <c r="W44" s="1979"/>
      <c r="X44" s="1979"/>
      <c r="Y44" s="1979"/>
      <c r="Z44" s="1961"/>
      <c r="AA44" s="196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5" t="s">
        <v>1611</v>
      </c>
    </row>
    <row r="23" spans="1:5" x14ac:dyDescent="0.2">
      <c r="A23" s="168"/>
      <c r="B23" s="162" t="s">
        <v>1854</v>
      </c>
      <c r="D23" s="167" t="s">
        <v>637</v>
      </c>
      <c r="E23" s="1835"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4" t="s">
        <v>1065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691</v>
      </c>
      <c r="B40" s="2061"/>
      <c r="C40" s="2061"/>
      <c r="D40" s="2061"/>
      <c r="E40" s="2061"/>
    </row>
    <row r="41" spans="1:5" x14ac:dyDescent="0.2">
      <c r="A41" s="2062" t="s">
        <v>1608</v>
      </c>
      <c r="B41" s="2062"/>
      <c r="C41" s="2062"/>
      <c r="D41" s="2062"/>
      <c r="E41" s="2062"/>
    </row>
    <row r="42" spans="1:5" ht="12.75" customHeight="1" x14ac:dyDescent="0.2">
      <c r="A42" s="2063" t="s">
        <v>1022</v>
      </c>
      <c r="B42" s="2063"/>
      <c r="C42" s="2063"/>
      <c r="D42" s="2063"/>
      <c r="E42" s="2063"/>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5"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1168</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9" t="s">
        <v>1633</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9" t="s">
        <v>313</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1323</v>
      </c>
      <c r="B70" s="2082"/>
      <c r="C70" s="2082"/>
      <c r="D70" s="2082"/>
      <c r="E70" s="2083"/>
      <c r="F70" s="2083"/>
      <c r="G70" s="2083"/>
      <c r="H70" s="2083"/>
      <c r="I70" s="208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1320</v>
      </c>
      <c r="B83" s="2084"/>
      <c r="C83" s="2084"/>
      <c r="D83" s="208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2061</v>
      </c>
      <c r="D114" s="207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1330</v>
      </c>
      <c r="D117" s="2077"/>
      <c r="E117" s="2078"/>
      <c r="F117" s="2078"/>
      <c r="G117" s="2078"/>
      <c r="H117" s="2078"/>
      <c r="I117" s="304"/>
    </row>
    <row r="118" spans="1:9" s="181" customFormat="1" ht="24" customHeight="1" x14ac:dyDescent="0.2">
      <c r="A118" s="316"/>
      <c r="B118" s="316"/>
      <c r="C118" s="316"/>
      <c r="D118" s="323" t="s">
        <v>2214</v>
      </c>
      <c r="E118" s="322"/>
      <c r="F118" s="324"/>
      <c r="G118" s="1839"/>
      <c r="H118" s="322"/>
      <c r="I118" s="304"/>
    </row>
    <row r="119" spans="1:9" s="181" customFormat="1" ht="11.25" customHeight="1" x14ac:dyDescent="0.2">
      <c r="A119" s="325"/>
      <c r="B119" s="325"/>
      <c r="C119" s="326"/>
      <c r="D119" s="327" t="s">
        <v>361</v>
      </c>
      <c r="E119" s="310"/>
      <c r="F119" s="1838"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49"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4" colorId="8" zoomScale="110" zoomScaleNormal="110" workbookViewId="0">
      <selection activeCell="L31" sqref="L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386</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465018191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1.25646E-2</v>
      </c>
      <c r="E10" s="356" t="s">
        <v>1005</v>
      </c>
      <c r="F10" s="355">
        <v>3.3781000000000002E-3</v>
      </c>
      <c r="G10" s="356" t="s">
        <v>1005</v>
      </c>
      <c r="H10" s="355">
        <v>1.6279000000000001E-3</v>
      </c>
      <c r="I10" s="356" t="s">
        <v>1006</v>
      </c>
      <c r="J10" s="1731">
        <f>ROUND(D10+F10+H10,5)</f>
        <v>1.7569999999999999E-2</v>
      </c>
      <c r="K10" s="222"/>
      <c r="L10" s="355">
        <v>4.6710000000000002E-4</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13964784</v>
      </c>
      <c r="E16" s="356"/>
      <c r="F16" s="1732">
        <f>SUM('Acct Summary 7-8'!C17,'Acct Summary 7-8'!D17,'Acct Summary 7-8'!F17)</f>
        <v>13852698</v>
      </c>
      <c r="G16" s="356"/>
      <c r="H16" s="1732">
        <f>SUM(D16-F16)</f>
        <v>112086</v>
      </c>
      <c r="I16" s="222"/>
      <c r="J16" s="1732">
        <f>SUM('Acct Summary 7-8'!C81,'Acct Summary 7-8'!D81,'Acct Summary 7-8'!F81,'Acct Summary 7-8'!I81)</f>
        <v>8118971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34">
        <f>IF(B31="X",(J7*0.069),IF(B32="X",(J7*0.138),"Enter x in a.or b."))</f>
        <v>32086255.179000001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11686565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556</v>
      </c>
      <c r="B2" s="2114"/>
      <c r="C2" s="2114"/>
      <c r="D2" s="2114"/>
      <c r="E2" s="2114"/>
      <c r="F2" s="2114"/>
      <c r="G2" s="2114"/>
      <c r="H2" s="2114"/>
      <c r="I2" s="2114"/>
      <c r="J2" s="2114"/>
      <c r="K2" s="2114"/>
      <c r="L2" s="2114"/>
      <c r="M2" s="2114"/>
      <c r="N2" s="2114"/>
      <c r="O2" s="2114"/>
      <c r="P2" s="2114"/>
      <c r="Q2" s="2114"/>
      <c r="R2" s="2114"/>
    </row>
    <row r="3" spans="1:18" ht="12.75" x14ac:dyDescent="0.2">
      <c r="A3" s="2115" t="s">
        <v>1413</v>
      </c>
      <c r="B3" s="2115"/>
      <c r="C3" s="2115"/>
      <c r="D3" s="2115"/>
      <c r="E3" s="2115"/>
      <c r="F3" s="2115"/>
      <c r="G3" s="2115"/>
      <c r="H3" s="2115"/>
      <c r="I3" s="2115"/>
      <c r="J3" s="2115"/>
      <c r="K3" s="2115"/>
      <c r="L3" s="2115"/>
      <c r="M3" s="2115"/>
      <c r="N3" s="2115"/>
      <c r="O3" s="2115"/>
      <c r="P3" s="2115"/>
      <c r="Q3" s="2115"/>
      <c r="R3" s="2115"/>
    </row>
    <row r="4" spans="1:18" x14ac:dyDescent="0.2">
      <c r="A4" s="2116" t="s">
        <v>1554</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East Peoria CHSD 309</v>
      </c>
      <c r="E7" s="391"/>
      <c r="G7" s="252"/>
      <c r="H7" s="387"/>
      <c r="I7" s="387"/>
      <c r="J7" s="387"/>
      <c r="K7" s="387"/>
      <c r="L7" s="329"/>
      <c r="M7" s="329"/>
      <c r="N7" s="329"/>
      <c r="O7" s="329"/>
      <c r="P7" s="329"/>
    </row>
    <row r="8" spans="1:18" ht="12.75" x14ac:dyDescent="0.2">
      <c r="A8" s="329"/>
      <c r="B8" s="329"/>
      <c r="C8" s="389" t="s">
        <v>1125</v>
      </c>
      <c r="D8" s="392">
        <f>COVER!A13</f>
        <v>53090309016</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8118971</v>
      </c>
      <c r="I12" s="404"/>
      <c r="J12" s="404"/>
      <c r="K12" s="405">
        <f>TRUNC((H12/H13*100000),5)/100000</f>
        <v>0.58138894229999993</v>
      </c>
      <c r="L12" s="406"/>
      <c r="M12" s="360" t="s">
        <v>1144</v>
      </c>
      <c r="N12" s="360"/>
      <c r="O12" s="407">
        <v>0.35</v>
      </c>
      <c r="P12" s="218"/>
      <c r="Q12" s="218"/>
    </row>
    <row r="13" spans="1:18" s="408" customFormat="1" ht="12.75" x14ac:dyDescent="0.2">
      <c r="A13" s="218"/>
      <c r="B13" s="401"/>
      <c r="C13" s="2112" t="s">
        <v>1324</v>
      </c>
      <c r="D13" s="2113"/>
      <c r="E13" s="218"/>
      <c r="F13" s="409" t="s">
        <v>793</v>
      </c>
      <c r="G13" s="402"/>
      <c r="H13" s="403">
        <f>SUM('Acct Summary 7-8'!C8+'Acct Summary 7-8'!D8+'Acct Summary 7-8'!F8+'Acct Summary 7-8'!I8)+H14</f>
        <v>13964784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13852698</v>
      </c>
      <c r="I17" s="404"/>
      <c r="J17" s="416"/>
      <c r="K17" s="405">
        <f>TRUNC((H17/H18*100000),5)/100000</f>
        <v>0.99197366739999993</v>
      </c>
      <c r="L17" s="406"/>
      <c r="M17" s="417" t="s">
        <v>1171</v>
      </c>
      <c r="O17" s="418" t="str">
        <f>IF(AND(O16="2", J20 &gt; 2),"1",IF(AND(O16 = "1", J20 &gt; 2),"2",IF(AND(O16="1", J20 &gt;1),"1","0")))</f>
        <v>0</v>
      </c>
      <c r="P17" s="218"/>
    </row>
    <row r="18" spans="1:18" s="408" customFormat="1" ht="11.25" x14ac:dyDescent="0.2">
      <c r="A18" s="218"/>
      <c r="B18" s="401"/>
      <c r="C18" s="2112" t="s">
        <v>1317</v>
      </c>
      <c r="D18" s="2113"/>
      <c r="E18" s="218"/>
      <c r="F18" s="419" t="s">
        <v>794</v>
      </c>
      <c r="G18" s="402"/>
      <c r="H18" s="403">
        <f>SUM('Acct Summary 7-8'!C8+'Acct Summary 7-8'!D8+'Acct Summary 7-8'!F8+'Acct Summary 7-8'!I8)+H19</f>
        <v>13964784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9" t="s">
        <v>1412</v>
      </c>
      <c r="D24" s="2109"/>
      <c r="E24" s="218"/>
      <c r="F24" s="218" t="s">
        <v>445</v>
      </c>
      <c r="G24" s="402"/>
      <c r="H24" s="403">
        <f>SUM('Assets-Liab 5-6'!C4+'Assets-Liab 5-6'!D4+'Assets-Liab 5-6'!F4+'Assets-Liab 5-6'!I4+'Assets-Liab 5-6'!C5+'Assets-Liab 5-6'!D5+'Assets-Liab 5-6'!F5+'Assets-Liab 5-6'!I5)</f>
        <v>7372692</v>
      </c>
      <c r="I24" s="422"/>
      <c r="J24" s="422"/>
      <c r="K24" s="423">
        <f>TRUNC(((H24/H25*100000)/100000),2)</f>
        <v>191.59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38479.716670000002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6944814.17349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11686565</v>
      </c>
      <c r="I32" s="420"/>
      <c r="J32" s="420"/>
      <c r="K32" s="423">
        <f>TRUNC(100-((((H32/H33*100))*100)/100),2)</f>
        <v>63.57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32086255.179000001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L31" sqref="L31"/>
      <selection pane="bottomLeft" activeCell="L4" sqref="C4: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9" t="s">
        <v>973</v>
      </c>
      <c r="B3" s="2120"/>
      <c r="C3" s="1559"/>
      <c r="D3" s="1560"/>
      <c r="E3" s="1560"/>
      <c r="F3" s="1560"/>
      <c r="G3" s="1560"/>
      <c r="H3" s="1560"/>
      <c r="I3" s="1560"/>
      <c r="J3" s="1560"/>
      <c r="K3" s="1560"/>
      <c r="L3" s="1560"/>
      <c r="M3" s="1561"/>
      <c r="N3" s="1562"/>
    </row>
    <row r="4" spans="1:14" ht="13.5" customHeight="1" x14ac:dyDescent="0.2">
      <c r="A4" s="463" t="s">
        <v>1651</v>
      </c>
      <c r="B4" s="464"/>
      <c r="C4" s="465">
        <v>2623286</v>
      </c>
      <c r="D4" s="466">
        <v>918392</v>
      </c>
      <c r="E4" s="466">
        <v>1237323</v>
      </c>
      <c r="F4" s="466">
        <v>1635338</v>
      </c>
      <c r="G4" s="466">
        <v>530564</v>
      </c>
      <c r="H4" s="466">
        <v>2376300</v>
      </c>
      <c r="I4" s="466">
        <v>1629696</v>
      </c>
      <c r="J4" s="467"/>
      <c r="K4" s="466">
        <v>1468565</v>
      </c>
      <c r="L4" s="466">
        <v>316396</v>
      </c>
      <c r="M4" s="468"/>
      <c r="N4" s="469"/>
    </row>
    <row r="5" spans="1:14" x14ac:dyDescent="0.2">
      <c r="A5" s="463" t="s">
        <v>992</v>
      </c>
      <c r="B5" s="470">
        <v>120</v>
      </c>
      <c r="C5" s="465">
        <v>219887</v>
      </c>
      <c r="D5" s="466">
        <v>122506</v>
      </c>
      <c r="E5" s="466">
        <v>30804</v>
      </c>
      <c r="F5" s="466">
        <v>218104</v>
      </c>
      <c r="G5" s="466">
        <v>122745</v>
      </c>
      <c r="H5" s="466"/>
      <c r="I5" s="466">
        <v>5483</v>
      </c>
      <c r="J5" s="467"/>
      <c r="K5" s="471">
        <v>70650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1000000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2843173</v>
      </c>
      <c r="D13" s="1736">
        <f t="shared" ref="D13:L13" si="0">SUM(D4:D12)</f>
        <v>1040898</v>
      </c>
      <c r="E13" s="1736">
        <f t="shared" si="0"/>
        <v>1268127</v>
      </c>
      <c r="F13" s="1736">
        <f t="shared" si="0"/>
        <v>1853442</v>
      </c>
      <c r="G13" s="1736">
        <f t="shared" si="0"/>
        <v>653309</v>
      </c>
      <c r="H13" s="1736">
        <f t="shared" si="0"/>
        <v>2376300</v>
      </c>
      <c r="I13" s="1736">
        <f t="shared" si="0"/>
        <v>2635179</v>
      </c>
      <c r="J13" s="1736">
        <f t="shared" si="0"/>
        <v>0</v>
      </c>
      <c r="K13" s="1736">
        <f t="shared" si="0"/>
        <v>1539215</v>
      </c>
      <c r="L13" s="1736">
        <f t="shared" si="0"/>
        <v>316396</v>
      </c>
      <c r="M13" s="468"/>
      <c r="N13" s="469"/>
    </row>
    <row r="14" spans="1:14" ht="18" customHeight="1" thickTop="1" x14ac:dyDescent="0.2">
      <c r="A14" s="2121" t="s">
        <v>147</v>
      </c>
      <c r="B14" s="212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60099</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31902171</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1678543</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f>
        <v>4334890</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896812</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+E39</f>
        <v>1268127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10418438</v>
      </c>
    </row>
    <row r="23" spans="1:14" ht="13.5" customHeight="1" thickBot="1" x14ac:dyDescent="0.25">
      <c r="A23" s="1735" t="s">
        <v>643</v>
      </c>
      <c r="B23" s="1740"/>
      <c r="C23" s="468"/>
      <c r="D23" s="468"/>
      <c r="E23" s="468"/>
      <c r="F23" s="468"/>
      <c r="G23" s="468"/>
      <c r="H23" s="468"/>
      <c r="I23" s="468"/>
      <c r="J23" s="468"/>
      <c r="K23" s="468"/>
      <c r="L23" s="468"/>
      <c r="M23" s="1687">
        <f>SUM(M15:M22)</f>
        <v>38872515</v>
      </c>
      <c r="N23" s="1687">
        <f>SUM(N21:N22)</f>
        <v>11686565</v>
      </c>
    </row>
    <row r="24" spans="1:14" ht="18" customHeight="1" thickTop="1" x14ac:dyDescent="0.2">
      <c r="A24" s="2123" t="s">
        <v>598</v>
      </c>
      <c r="B24" s="212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v>235837</v>
      </c>
      <c r="D26" s="467"/>
      <c r="E26" s="467"/>
      <c r="F26" s="467"/>
      <c r="G26" s="467"/>
      <c r="H26" s="467">
        <v>1000000</v>
      </c>
      <c r="I26" s="467"/>
      <c r="J26" s="474"/>
      <c r="K26" s="467"/>
      <c r="L26" s="468"/>
      <c r="M26" s="468"/>
      <c r="N26" s="468"/>
    </row>
    <row r="27" spans="1:14" ht="13.5" customHeight="1" x14ac:dyDescent="0.2">
      <c r="A27" s="473" t="s">
        <v>647</v>
      </c>
      <c r="B27" s="470">
        <v>430</v>
      </c>
      <c r="C27" s="467"/>
      <c r="D27" s="467"/>
      <c r="E27" s="467"/>
      <c r="F27" s="467">
        <v>25050</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-7166</v>
      </c>
      <c r="D31" s="467"/>
      <c r="E31" s="467"/>
      <c r="F31" s="466"/>
      <c r="G31" s="467">
        <v>31</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f>L13</f>
        <v>316396</v>
      </c>
      <c r="M33" s="468"/>
      <c r="N33" s="469"/>
    </row>
    <row r="34" spans="1:14" ht="13.5" customHeight="1" thickBot="1" x14ac:dyDescent="0.25">
      <c r="A34" s="1737" t="s">
        <v>654</v>
      </c>
      <c r="B34" s="1738"/>
      <c r="C34" s="1739">
        <f>SUM(C25:C33)</f>
        <v>228671</v>
      </c>
      <c r="D34" s="1739">
        <f t="shared" ref="D34:K34" si="1">SUM(D25:D33)</f>
        <v>0</v>
      </c>
      <c r="E34" s="1739">
        <f t="shared" si="1"/>
        <v>0</v>
      </c>
      <c r="F34" s="1739">
        <f t="shared" si="1"/>
        <v>25050</v>
      </c>
      <c r="G34" s="1739">
        <f t="shared" si="1"/>
        <v>31</v>
      </c>
      <c r="H34" s="1739">
        <f t="shared" si="1"/>
        <v>1000000</v>
      </c>
      <c r="I34" s="1739">
        <f t="shared" si="1"/>
        <v>0</v>
      </c>
      <c r="J34" s="1739">
        <f t="shared" si="1"/>
        <v>0</v>
      </c>
      <c r="K34" s="1739">
        <f t="shared" si="1"/>
        <v>0</v>
      </c>
      <c r="L34" s="1720">
        <f>SUM(L33)</f>
        <v>316396</v>
      </c>
      <c r="M34" s="468"/>
      <c r="N34" s="480"/>
    </row>
    <row r="35" spans="1:14" ht="18" customHeight="1" thickTop="1" x14ac:dyDescent="0.2">
      <c r="A35" s="2125" t="s">
        <v>529</v>
      </c>
      <c r="B35" s="212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11686565</v>
      </c>
    </row>
    <row r="37" spans="1:14" ht="13.5" thickBot="1" x14ac:dyDescent="0.25">
      <c r="A37" s="1735" t="s">
        <v>653</v>
      </c>
      <c r="B37" s="1740"/>
      <c r="C37" s="477"/>
      <c r="D37" s="477"/>
      <c r="E37" s="477"/>
      <c r="F37" s="477"/>
      <c r="G37" s="477"/>
      <c r="H37" s="477"/>
      <c r="I37" s="477"/>
      <c r="J37" s="477"/>
      <c r="K37" s="477"/>
      <c r="L37" s="480"/>
      <c r="M37" s="468"/>
      <c r="N37" s="1687">
        <f>SUM(N36:N36)</f>
        <v>11686565</v>
      </c>
    </row>
    <row r="38" spans="1:14" s="329" customFormat="1" ht="13.5" customHeight="1" thickTop="1" x14ac:dyDescent="0.2">
      <c r="A38" s="496" t="s">
        <v>420</v>
      </c>
      <c r="B38" s="483">
        <v>714</v>
      </c>
      <c r="C38" s="466">
        <v>662164</v>
      </c>
      <c r="D38" s="466">
        <v>766960</v>
      </c>
      <c r="E38" s="466"/>
      <c r="F38" s="466"/>
      <c r="G38" s="466">
        <v>298646</v>
      </c>
      <c r="H38" s="466"/>
      <c r="I38" s="466"/>
      <c r="J38" s="467"/>
      <c r="K38" s="466"/>
      <c r="L38" s="481"/>
      <c r="M38" s="497"/>
      <c r="N38" s="497"/>
    </row>
    <row r="39" spans="1:14" s="329" customFormat="1" ht="13.5" customHeight="1" x14ac:dyDescent="0.2">
      <c r="A39" s="496" t="s">
        <v>342</v>
      </c>
      <c r="B39" s="483">
        <v>730</v>
      </c>
      <c r="C39" s="466">
        <f>+'Acct Summary 7-8'!C81-C38</f>
        <v>1952338</v>
      </c>
      <c r="D39" s="466">
        <f>+'Acct Summary 7-8'!D81-D38</f>
        <v>273938</v>
      </c>
      <c r="E39" s="466">
        <f>+'Acct Summary 7-8'!E81</f>
        <v>1268127</v>
      </c>
      <c r="F39" s="466">
        <f>+'Acct Summary 7-8'!F81</f>
        <v>1828392</v>
      </c>
      <c r="G39" s="466">
        <f>+'Acct Summary 7-8'!G81-G38</f>
        <v>354632</v>
      </c>
      <c r="H39" s="466">
        <f>+'Acct Summary 7-8'!H81</f>
        <v>1376300</v>
      </c>
      <c r="I39" s="466">
        <f>+'Acct Summary 7-8'!I81</f>
        <v>2635179</v>
      </c>
      <c r="J39" s="466">
        <f>+'Acct Summary 7-8'!J81</f>
        <v>0</v>
      </c>
      <c r="K39" s="466">
        <f>+'Acct Summary 7-8'!K81</f>
        <v>1539215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38872515</v>
      </c>
      <c r="N40" s="497"/>
    </row>
    <row r="41" spans="1:14" ht="13.5" customHeight="1" thickBot="1" x14ac:dyDescent="0.25">
      <c r="A41" s="1735" t="s">
        <v>655</v>
      </c>
      <c r="B41" s="1705"/>
      <c r="C41" s="1687">
        <f>(SUM(C34,C37,C38,C39))</f>
        <v>2843173</v>
      </c>
      <c r="D41" s="1687">
        <f t="shared" ref="D41:L41" si="2">SUM(D34,D37,D38:D39)</f>
        <v>1040898</v>
      </c>
      <c r="E41" s="1687">
        <f t="shared" si="2"/>
        <v>1268127</v>
      </c>
      <c r="F41" s="1687">
        <f t="shared" si="2"/>
        <v>1853442</v>
      </c>
      <c r="G41" s="1687">
        <f t="shared" si="2"/>
        <v>653309</v>
      </c>
      <c r="H41" s="1687">
        <f t="shared" si="2"/>
        <v>2376300</v>
      </c>
      <c r="I41" s="1687">
        <f t="shared" si="2"/>
        <v>2635179</v>
      </c>
      <c r="J41" s="1687">
        <f t="shared" si="2"/>
        <v>0</v>
      </c>
      <c r="K41" s="1687">
        <f t="shared" si="2"/>
        <v>1539215</v>
      </c>
      <c r="L41" s="1687">
        <f t="shared" si="2"/>
        <v>316396</v>
      </c>
      <c r="M41" s="1687">
        <f>SUM(M40)</f>
        <v>38872515</v>
      </c>
      <c r="N41" s="1687">
        <f>SUM(N37)</f>
        <v>11686565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L31" sqref="L31"/>
      <selection pane="bottomLeft" activeCell="C76" sqref="C76:F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7" t="s">
        <v>1175</v>
      </c>
      <c r="B3" s="2148"/>
      <c r="C3" s="1573"/>
      <c r="D3" s="1574"/>
      <c r="E3" s="1574"/>
      <c r="F3" s="1574"/>
      <c r="G3" s="1574"/>
      <c r="H3" s="1574"/>
      <c r="I3" s="1574"/>
      <c r="J3" s="1574"/>
      <c r="K3" s="1575"/>
      <c r="L3" s="506"/>
    </row>
    <row r="4" spans="1:13" ht="15.75" customHeight="1" x14ac:dyDescent="0.2">
      <c r="A4" s="1927" t="s">
        <v>1499</v>
      </c>
      <c r="B4" s="1928">
        <v>1000</v>
      </c>
      <c r="C4" s="1741">
        <f>'Revenues 9-14'!C109</f>
        <v>8161873</v>
      </c>
      <c r="D4" s="1741">
        <f>'Revenues 9-14'!D109</f>
        <v>1910246</v>
      </c>
      <c r="E4" s="1741">
        <f>'Revenues 9-14'!E109</f>
        <v>921727</v>
      </c>
      <c r="F4" s="1741">
        <f>'Revenues 9-14'!F109</f>
        <v>773164</v>
      </c>
      <c r="G4" s="1741">
        <f>'Revenues 9-14'!G109</f>
        <v>559450</v>
      </c>
      <c r="H4" s="1741">
        <f>'Revenues 9-14'!H109</f>
        <v>48742</v>
      </c>
      <c r="I4" s="1741">
        <f>'Revenues 9-14'!I109</f>
        <v>250321</v>
      </c>
      <c r="J4" s="1741">
        <f>'Revenues 9-14'!J109</f>
        <v>0</v>
      </c>
      <c r="K4" s="1741">
        <f>'Revenues 9-14'!K109</f>
        <v>299131</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1534140</v>
      </c>
      <c r="D6" s="1742">
        <f>'Revenues 9-14'!D170</f>
        <v>0</v>
      </c>
      <c r="E6" s="1742">
        <f>'Revenues 9-14'!E170</f>
        <v>0</v>
      </c>
      <c r="F6" s="1742">
        <f>'Revenues 9-14'!F170</f>
        <v>507569</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827471</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10523484</v>
      </c>
      <c r="D8" s="1687">
        <f t="shared" ref="D8:K8" si="0">SUM(D4:D7)</f>
        <v>1910246</v>
      </c>
      <c r="E8" s="1687">
        <f t="shared" si="0"/>
        <v>921727</v>
      </c>
      <c r="F8" s="1687">
        <f t="shared" si="0"/>
        <v>1280733</v>
      </c>
      <c r="G8" s="1687">
        <f t="shared" si="0"/>
        <v>559450</v>
      </c>
      <c r="H8" s="1687">
        <f t="shared" si="0"/>
        <v>48742</v>
      </c>
      <c r="I8" s="1687">
        <f t="shared" si="0"/>
        <v>250321</v>
      </c>
      <c r="J8" s="1687">
        <f t="shared" si="0"/>
        <v>0</v>
      </c>
      <c r="K8" s="1687">
        <f t="shared" si="0"/>
        <v>299131</v>
      </c>
      <c r="L8" s="347"/>
    </row>
    <row r="9" spans="1:13" ht="15.75" thickTop="1" x14ac:dyDescent="0.2">
      <c r="A9" s="514" t="s">
        <v>1653</v>
      </c>
      <c r="B9" s="515">
        <v>3998</v>
      </c>
      <c r="C9" s="481">
        <f>69835+3868134</f>
        <v>3937969</v>
      </c>
      <c r="D9" s="516"/>
      <c r="E9" s="481"/>
      <c r="F9" s="481"/>
      <c r="G9" s="517"/>
      <c r="H9" s="481"/>
      <c r="I9" s="509" t="s">
        <v>1169</v>
      </c>
      <c r="J9" s="478"/>
      <c r="K9" s="481"/>
      <c r="L9" s="347"/>
    </row>
    <row r="10" spans="1:13" s="519" customFormat="1" ht="13.5" thickBot="1" x14ac:dyDescent="0.25">
      <c r="A10" s="1735" t="s">
        <v>1173</v>
      </c>
      <c r="B10" s="1708"/>
      <c r="C10" s="1687">
        <f>SUM(C8:C9)</f>
        <v>14461453</v>
      </c>
      <c r="D10" s="1687">
        <f t="shared" ref="D10:K10" si="1">SUM(D8:D9)</f>
        <v>1910246</v>
      </c>
      <c r="E10" s="1687">
        <f t="shared" si="1"/>
        <v>921727</v>
      </c>
      <c r="F10" s="1687">
        <f t="shared" si="1"/>
        <v>1280733</v>
      </c>
      <c r="G10" s="1687">
        <f t="shared" si="1"/>
        <v>559450</v>
      </c>
      <c r="H10" s="1687">
        <f t="shared" si="1"/>
        <v>48742</v>
      </c>
      <c r="I10" s="1687">
        <f t="shared" si="1"/>
        <v>250321</v>
      </c>
      <c r="J10" s="1687">
        <f t="shared" si="1"/>
        <v>0</v>
      </c>
      <c r="K10" s="1687">
        <f t="shared" si="1"/>
        <v>299131</v>
      </c>
      <c r="L10" s="518"/>
    </row>
    <row r="11" spans="1:13" s="519" customFormat="1" ht="16.7" customHeight="1" thickTop="1" x14ac:dyDescent="0.2">
      <c r="A11" s="2121" t="s">
        <v>1176</v>
      </c>
      <c r="B11" s="2122"/>
      <c r="C11" s="1570"/>
      <c r="D11" s="1571"/>
      <c r="E11" s="1571"/>
      <c r="F11" s="1571"/>
      <c r="G11" s="1571"/>
      <c r="H11" s="1571"/>
      <c r="I11" s="1571"/>
      <c r="J11" s="1571"/>
      <c r="K11" s="1572"/>
      <c r="L11" s="518"/>
    </row>
    <row r="12" spans="1:13" ht="15.75" customHeight="1" x14ac:dyDescent="0.2">
      <c r="A12" s="1576" t="s">
        <v>456</v>
      </c>
      <c r="B12" s="1578">
        <v>1000</v>
      </c>
      <c r="C12" s="1741">
        <f>'Expenditures 15-22'!K33</f>
        <v>7300526</v>
      </c>
      <c r="D12" s="520" t="s">
        <v>1169</v>
      </c>
      <c r="E12" s="468" t="s">
        <v>1169</v>
      </c>
      <c r="F12" s="468" t="s">
        <v>1169</v>
      </c>
      <c r="G12" s="1741">
        <f>'Expenditures 15-22'!K229</f>
        <v>142605</v>
      </c>
      <c r="H12" s="521"/>
      <c r="I12" s="468" t="s">
        <v>1169</v>
      </c>
      <c r="J12" s="468" t="s">
        <v>1169</v>
      </c>
      <c r="K12" s="521" t="s">
        <v>1169</v>
      </c>
      <c r="L12" s="347"/>
    </row>
    <row r="13" spans="1:13" ht="15.75" customHeight="1" x14ac:dyDescent="0.2">
      <c r="A13" s="1576" t="s">
        <v>457</v>
      </c>
      <c r="B13" s="1578">
        <v>2000</v>
      </c>
      <c r="C13" s="1742">
        <f>'Expenditures 15-22'!K74</f>
        <v>3319308</v>
      </c>
      <c r="D13" s="1742">
        <f>'Expenditures 15-22'!K129</f>
        <v>1660274</v>
      </c>
      <c r="E13" s="469" t="s">
        <v>1169</v>
      </c>
      <c r="F13" s="1742">
        <f>'Expenditures 15-22'!K184</f>
        <v>1063879</v>
      </c>
      <c r="G13" s="1742">
        <f>'Expenditures 15-22'!K279</f>
        <v>357708</v>
      </c>
      <c r="H13" s="1742">
        <f>'Expenditures 15-22'!K303</f>
        <v>1357525</v>
      </c>
      <c r="I13" s="468" t="s">
        <v>1169</v>
      </c>
      <c r="J13" s="1742">
        <f>'Expenditures 15-22'!K330</f>
        <v>0</v>
      </c>
      <c r="K13" s="1746">
        <f>'Expenditures 15-22'!K352</f>
        <v>11535</v>
      </c>
      <c r="L13" s="347"/>
    </row>
    <row r="14" spans="1:13" ht="15.75" customHeight="1" x14ac:dyDescent="0.2">
      <c r="A14" s="1576" t="s">
        <v>449</v>
      </c>
      <c r="B14" s="1578">
        <v>3000</v>
      </c>
      <c r="C14" s="1742">
        <f>'Expenditures 15-22'!K75</f>
        <v>1838</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314774</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896971</v>
      </c>
      <c r="F16" s="1742">
        <f>'Expenditures 15-22'!K208</f>
        <v>192099</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10936446</v>
      </c>
      <c r="D17" s="1687">
        <f t="shared" si="2"/>
        <v>1660274</v>
      </c>
      <c r="E17" s="1687">
        <f t="shared" si="2"/>
        <v>896971</v>
      </c>
      <c r="F17" s="1687">
        <f t="shared" si="2"/>
        <v>1255978</v>
      </c>
      <c r="G17" s="1687">
        <f t="shared" si="2"/>
        <v>500313</v>
      </c>
      <c r="H17" s="1687">
        <f t="shared" si="2"/>
        <v>1357525</v>
      </c>
      <c r="I17" s="468"/>
      <c r="J17" s="1687">
        <f>SUM(J12:J16)</f>
        <v>0</v>
      </c>
      <c r="K17" s="1687">
        <f>SUM(K12:K16)</f>
        <v>11535</v>
      </c>
      <c r="L17" s="347"/>
    </row>
    <row r="18" spans="1:12" ht="15" customHeight="1" thickTop="1" x14ac:dyDescent="0.2">
      <c r="A18" s="1743" t="s">
        <v>1654</v>
      </c>
      <c r="B18" s="1744">
        <v>4180</v>
      </c>
      <c r="C18" s="1741">
        <f t="shared" ref="C18:H18" si="3">C9</f>
        <v>3937969</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14874415</v>
      </c>
      <c r="D19" s="1687">
        <f t="shared" si="4"/>
        <v>1660274</v>
      </c>
      <c r="E19" s="1687">
        <f t="shared" si="4"/>
        <v>896971</v>
      </c>
      <c r="F19" s="1687">
        <f t="shared" si="4"/>
        <v>1255978</v>
      </c>
      <c r="G19" s="1687">
        <f t="shared" si="4"/>
        <v>500313</v>
      </c>
      <c r="H19" s="1687">
        <f t="shared" si="4"/>
        <v>1357525</v>
      </c>
      <c r="I19" s="468"/>
      <c r="J19" s="1687">
        <f>SUM(J17:J18)</f>
        <v>0</v>
      </c>
      <c r="K19" s="1687">
        <f>SUM(K17:K18)</f>
        <v>11535</v>
      </c>
      <c r="L19" s="347"/>
    </row>
    <row r="20" spans="1:12" ht="16.5" thickTop="1" thickBot="1" x14ac:dyDescent="0.25">
      <c r="A20" s="2137" t="s">
        <v>1655</v>
      </c>
      <c r="B20" s="2138"/>
      <c r="C20" s="1745">
        <f>C8-C17</f>
        <v>-412962</v>
      </c>
      <c r="D20" s="1745">
        <f t="shared" ref="D20:K20" si="5">D8-D17</f>
        <v>249972</v>
      </c>
      <c r="E20" s="1745">
        <f t="shared" si="5"/>
        <v>24756</v>
      </c>
      <c r="F20" s="1745">
        <f t="shared" si="5"/>
        <v>24755</v>
      </c>
      <c r="G20" s="1745">
        <f t="shared" si="5"/>
        <v>59137</v>
      </c>
      <c r="H20" s="1745">
        <f t="shared" si="5"/>
        <v>-1308783</v>
      </c>
      <c r="I20" s="1745">
        <f t="shared" si="5"/>
        <v>250321</v>
      </c>
      <c r="J20" s="1745">
        <f t="shared" si="5"/>
        <v>0</v>
      </c>
      <c r="K20" s="1745">
        <f t="shared" si="5"/>
        <v>287596</v>
      </c>
      <c r="L20" s="347"/>
    </row>
    <row r="21" spans="1:12" ht="16.7" customHeight="1" thickTop="1" x14ac:dyDescent="0.2">
      <c r="A21" s="2149" t="s">
        <v>595</v>
      </c>
      <c r="B21" s="2150"/>
      <c r="C21" s="1570"/>
      <c r="D21" s="1571"/>
      <c r="E21" s="1571"/>
      <c r="F21" s="1571"/>
      <c r="G21" s="1571"/>
      <c r="H21" s="1571"/>
      <c r="I21" s="1571"/>
      <c r="J21" s="1571"/>
      <c r="K21" s="1572"/>
      <c r="L21" s="524"/>
    </row>
    <row r="22" spans="1:12" ht="15.75" customHeight="1" collapsed="1" x14ac:dyDescent="0.2">
      <c r="A22" s="2145" t="s">
        <v>596</v>
      </c>
      <c r="B22" s="2146"/>
      <c r="C22" s="477"/>
      <c r="D22" s="477"/>
      <c r="E22" s="477"/>
      <c r="F22" s="477"/>
      <c r="G22" s="477"/>
      <c r="H22" s="477"/>
      <c r="I22" s="477"/>
      <c r="J22" s="477"/>
      <c r="K22" s="477"/>
      <c r="L22" s="347"/>
    </row>
    <row r="23" spans="1:12" s="485" customFormat="1" ht="15.75" customHeight="1" x14ac:dyDescent="0.2">
      <c r="A23" s="2141" t="s">
        <v>293</v>
      </c>
      <c r="B23" s="214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2000000</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43" t="s">
        <v>981</v>
      </c>
      <c r="B32" s="214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2059</v>
      </c>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2500000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51" t="s">
        <v>374</v>
      </c>
      <c r="B44" s="2152"/>
      <c r="C44" s="1702">
        <f>SUM(C24:C43)</f>
        <v>2059</v>
      </c>
      <c r="D44" s="1702">
        <f t="shared" ref="D44:K44" si="6">SUM(D24:D43)</f>
        <v>2000000</v>
      </c>
      <c r="E44" s="1702">
        <f t="shared" si="6"/>
        <v>0</v>
      </c>
      <c r="F44" s="1702">
        <f t="shared" si="6"/>
        <v>0</v>
      </c>
      <c r="G44" s="1702">
        <f t="shared" si="6"/>
        <v>0</v>
      </c>
      <c r="H44" s="1702">
        <f t="shared" si="6"/>
        <v>2500000</v>
      </c>
      <c r="I44" s="1702">
        <f t="shared" si="6"/>
        <v>0</v>
      </c>
      <c r="J44" s="1702">
        <f t="shared" si="6"/>
        <v>0</v>
      </c>
      <c r="K44" s="1702">
        <f t="shared" si="6"/>
        <v>0</v>
      </c>
      <c r="L44" s="524"/>
    </row>
    <row r="45" spans="1:12" ht="15.75" customHeight="1" thickTop="1" x14ac:dyDescent="0.2">
      <c r="A45" s="2145" t="s">
        <v>108</v>
      </c>
      <c r="B45" s="2146"/>
      <c r="C45" s="528"/>
      <c r="D45" s="528"/>
      <c r="E45" s="528"/>
      <c r="F45" s="528"/>
      <c r="G45" s="528"/>
      <c r="H45" s="528"/>
      <c r="I45" s="528"/>
      <c r="J45" s="528"/>
      <c r="K45" s="528"/>
      <c r="L45" s="347"/>
    </row>
    <row r="46" spans="1:12" s="485" customFormat="1" ht="15.75" customHeight="1" x14ac:dyDescent="0.2">
      <c r="A46" s="2153" t="s">
        <v>109</v>
      </c>
      <c r="B46" s="215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v>1000000</v>
      </c>
      <c r="D49" s="467"/>
      <c r="E49" s="480"/>
      <c r="F49" s="467">
        <v>1000000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2">
        <f>D30</f>
        <v>0</v>
      </c>
      <c r="L52" s="524"/>
    </row>
    <row r="53" spans="1:12" s="485" customFormat="1" ht="26.25" x14ac:dyDescent="0.2">
      <c r="A53" s="1490" t="s">
        <v>1794</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v>2500000</v>
      </c>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v>24048</v>
      </c>
      <c r="D75" s="531">
        <v>233300</v>
      </c>
      <c r="E75" s="530"/>
      <c r="F75" s="532"/>
      <c r="G75" s="532"/>
      <c r="H75" s="532"/>
      <c r="I75" s="530"/>
      <c r="J75" s="530"/>
      <c r="K75" s="532"/>
      <c r="L75" s="524"/>
    </row>
    <row r="76" spans="1:12" s="485" customFormat="1" ht="14.25" thickTop="1" thickBot="1" x14ac:dyDescent="0.25">
      <c r="A76" s="2127" t="s">
        <v>440</v>
      </c>
      <c r="B76" s="2128"/>
      <c r="C76" s="1702">
        <f t="shared" ref="C76:K76" si="7">SUM(C47:C75)</f>
        <v>1024048</v>
      </c>
      <c r="D76" s="1702">
        <f t="shared" si="7"/>
        <v>2733300</v>
      </c>
      <c r="E76" s="1702">
        <f t="shared" si="7"/>
        <v>0</v>
      </c>
      <c r="F76" s="1702">
        <f t="shared" si="7"/>
        <v>1000000</v>
      </c>
      <c r="G76" s="1702">
        <f t="shared" si="7"/>
        <v>0</v>
      </c>
      <c r="H76" s="1702">
        <f t="shared" si="7"/>
        <v>0</v>
      </c>
      <c r="I76" s="1702">
        <f t="shared" si="7"/>
        <v>0</v>
      </c>
      <c r="J76" s="1702">
        <f t="shared" si="7"/>
        <v>0</v>
      </c>
      <c r="K76" s="1702">
        <f t="shared" si="7"/>
        <v>0</v>
      </c>
      <c r="L76" s="524"/>
    </row>
    <row r="77" spans="1:12" ht="14.25" thickTop="1" thickBot="1" x14ac:dyDescent="0.25">
      <c r="A77" s="2129" t="s">
        <v>1177</v>
      </c>
      <c r="B77" s="2130"/>
      <c r="C77" s="1702">
        <f t="shared" ref="C77:K77" si="8">C44-C76</f>
        <v>-1021989</v>
      </c>
      <c r="D77" s="1702">
        <f t="shared" si="8"/>
        <v>-733300</v>
      </c>
      <c r="E77" s="1702">
        <f t="shared" si="8"/>
        <v>0</v>
      </c>
      <c r="F77" s="1702">
        <f t="shared" si="8"/>
        <v>-1000000</v>
      </c>
      <c r="G77" s="1702">
        <f t="shared" si="8"/>
        <v>0</v>
      </c>
      <c r="H77" s="1702">
        <f t="shared" si="8"/>
        <v>2500000</v>
      </c>
      <c r="I77" s="1702">
        <f t="shared" si="8"/>
        <v>0</v>
      </c>
      <c r="J77" s="1702">
        <f t="shared" si="8"/>
        <v>0</v>
      </c>
      <c r="K77" s="1702">
        <f t="shared" si="8"/>
        <v>0</v>
      </c>
      <c r="L77" s="347"/>
    </row>
    <row r="78" spans="1:12" ht="21.75" customHeight="1" thickTop="1" thickBot="1" x14ac:dyDescent="0.25">
      <c r="A78" s="2133" t="s">
        <v>597</v>
      </c>
      <c r="B78" s="2134"/>
      <c r="C78" s="1701">
        <f t="shared" ref="C78:K78" si="9">C20+C77</f>
        <v>-1434951</v>
      </c>
      <c r="D78" s="1701">
        <f t="shared" si="9"/>
        <v>-483328</v>
      </c>
      <c r="E78" s="1701">
        <f t="shared" si="9"/>
        <v>24756</v>
      </c>
      <c r="F78" s="1701">
        <f t="shared" si="9"/>
        <v>-975245</v>
      </c>
      <c r="G78" s="1701">
        <f t="shared" si="9"/>
        <v>59137</v>
      </c>
      <c r="H78" s="1701">
        <f t="shared" si="9"/>
        <v>1191217</v>
      </c>
      <c r="I78" s="1701">
        <f t="shared" si="9"/>
        <v>250321</v>
      </c>
      <c r="J78" s="1701">
        <f t="shared" si="9"/>
        <v>0</v>
      </c>
      <c r="K78" s="1701">
        <f t="shared" si="9"/>
        <v>287596</v>
      </c>
      <c r="L78" s="533"/>
    </row>
    <row r="79" spans="1:12" ht="13.5" thickTop="1" x14ac:dyDescent="0.2">
      <c r="A79" s="1494" t="s">
        <v>1946</v>
      </c>
      <c r="B79" s="534"/>
      <c r="C79" s="478">
        <f>690639+3358814</f>
        <v>4049453</v>
      </c>
      <c r="D79" s="535">
        <v>1524226</v>
      </c>
      <c r="E79" s="535">
        <v>1243371</v>
      </c>
      <c r="F79" s="535">
        <v>2803637</v>
      </c>
      <c r="G79" s="535">
        <v>594141</v>
      </c>
      <c r="H79" s="535">
        <v>185083</v>
      </c>
      <c r="I79" s="535">
        <v>2384858</v>
      </c>
      <c r="J79" s="535"/>
      <c r="K79" s="535">
        <v>1251619</v>
      </c>
      <c r="L79" s="347"/>
    </row>
    <row r="80" spans="1:12" x14ac:dyDescent="0.2">
      <c r="A80" s="2139" t="s">
        <v>1793</v>
      </c>
      <c r="B80" s="2140"/>
      <c r="C80" s="467"/>
      <c r="D80" s="467"/>
      <c r="E80" s="467"/>
      <c r="F80" s="467"/>
      <c r="G80" s="467"/>
      <c r="H80" s="467"/>
      <c r="I80" s="467"/>
      <c r="J80" s="467"/>
      <c r="K80" s="467"/>
      <c r="L80" s="347"/>
    </row>
    <row r="81" spans="1:12" ht="13.5" thickBot="1" x14ac:dyDescent="0.25">
      <c r="A81" s="2131" t="s">
        <v>1947</v>
      </c>
      <c r="B81" s="2132"/>
      <c r="C81" s="1687">
        <f>(SUM(C78:C80))</f>
        <v>2614502</v>
      </c>
      <c r="D81" s="1687">
        <f>SUM(D78:D80)</f>
        <v>1040898</v>
      </c>
      <c r="E81" s="1687">
        <f t="shared" ref="E81:K81" si="10">SUM(E78:E80)</f>
        <v>1268127</v>
      </c>
      <c r="F81" s="1687">
        <f t="shared" si="10"/>
        <v>1828392</v>
      </c>
      <c r="G81" s="1687">
        <f t="shared" si="10"/>
        <v>653278</v>
      </c>
      <c r="H81" s="1687">
        <f t="shared" si="10"/>
        <v>1376300</v>
      </c>
      <c r="I81" s="1687">
        <f t="shared" si="10"/>
        <v>2635179</v>
      </c>
      <c r="J81" s="1687">
        <f t="shared" si="10"/>
        <v>0</v>
      </c>
      <c r="K81" s="1687">
        <f t="shared" si="10"/>
        <v>1539215</v>
      </c>
      <c r="L81" s="347"/>
    </row>
    <row r="82" spans="1:12" ht="0.75" customHeight="1" thickTop="1" thickBot="1" x14ac:dyDescent="0.25">
      <c r="A82" s="536" t="s">
        <v>343</v>
      </c>
      <c r="B82" s="537"/>
      <c r="C82" s="538">
        <f>(C81-C79)</f>
        <v>-1434951</v>
      </c>
      <c r="D82" s="538">
        <f t="shared" ref="D82:K82" si="11">(D81-D79)</f>
        <v>-483328</v>
      </c>
      <c r="E82" s="538">
        <f t="shared" si="11"/>
        <v>24756</v>
      </c>
      <c r="F82" s="538">
        <f t="shared" si="11"/>
        <v>-975245</v>
      </c>
      <c r="G82" s="538">
        <f t="shared" si="11"/>
        <v>59137</v>
      </c>
      <c r="H82" s="538">
        <f t="shared" si="11"/>
        <v>1191217</v>
      </c>
      <c r="I82" s="538">
        <f t="shared" si="11"/>
        <v>250321</v>
      </c>
      <c r="J82" s="538">
        <f t="shared" si="11"/>
        <v>0</v>
      </c>
      <c r="K82" s="538">
        <f t="shared" si="11"/>
        <v>287596</v>
      </c>
    </row>
    <row r="83" spans="1:12" ht="14.25" hidden="1" thickTop="1" thickBot="1" x14ac:dyDescent="0.25">
      <c r="A83" s="539" t="s">
        <v>344</v>
      </c>
      <c r="B83" s="464"/>
      <c r="C83" s="540">
        <f>C82/C81</f>
        <v>-0.54884295364853419</v>
      </c>
      <c r="D83" s="540">
        <f t="shared" ref="D83:K83" si="12">D82/D81</f>
        <v>-0.46433752394567002</v>
      </c>
      <c r="E83" s="540">
        <f t="shared" si="12"/>
        <v>1.9521704056454914E-2</v>
      </c>
      <c r="F83" s="540">
        <f t="shared" si="12"/>
        <v>-0.5333894482146061</v>
      </c>
      <c r="G83" s="540">
        <f t="shared" si="12"/>
        <v>9.0523483111324729E-2</v>
      </c>
      <c r="H83" s="540">
        <f t="shared" si="12"/>
        <v>0.86552132529245074</v>
      </c>
      <c r="I83" s="540">
        <f t="shared" si="12"/>
        <v>9.4992029004481296E-2</v>
      </c>
      <c r="J83" s="540" t="e">
        <f t="shared" si="12"/>
        <v>#DIV/0!</v>
      </c>
      <c r="K83" s="540">
        <f t="shared" si="12"/>
        <v>0.18684589222428316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L31" sqref="L31"/>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5" t="s">
        <v>1800</v>
      </c>
      <c r="B1" s="452"/>
      <c r="C1" s="453" t="s">
        <v>425</v>
      </c>
      <c r="D1" s="453" t="s">
        <v>426</v>
      </c>
      <c r="E1" s="453" t="s">
        <v>427</v>
      </c>
      <c r="F1" s="453" t="s">
        <v>428</v>
      </c>
      <c r="G1" s="453" t="s">
        <v>429</v>
      </c>
      <c r="H1" s="453" t="s">
        <v>430</v>
      </c>
      <c r="I1" s="453" t="s">
        <v>431</v>
      </c>
      <c r="J1" s="453" t="s">
        <v>432</v>
      </c>
      <c r="K1" s="453" t="s">
        <v>756</v>
      </c>
    </row>
    <row r="2" spans="1:12" ht="36" x14ac:dyDescent="0.2">
      <c r="A2" s="213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5679042</v>
      </c>
      <c r="D5" s="481">
        <v>1526773</v>
      </c>
      <c r="E5" s="466">
        <v>498684</v>
      </c>
      <c r="F5" s="548">
        <v>735713</v>
      </c>
      <c r="G5" s="466">
        <v>173484</v>
      </c>
      <c r="H5" s="466"/>
      <c r="I5" s="466">
        <v>213602</v>
      </c>
      <c r="J5" s="467"/>
      <c r="K5" s="466">
        <v>277707</v>
      </c>
    </row>
    <row r="6" spans="1:12" ht="15" x14ac:dyDescent="0.2">
      <c r="A6" s="463" t="s">
        <v>1662</v>
      </c>
      <c r="B6" s="470">
        <v>1130</v>
      </c>
      <c r="C6" s="466"/>
      <c r="D6" s="466">
        <v>277708</v>
      </c>
      <c r="E6" s="475"/>
      <c r="F6" s="475"/>
      <c r="G6" s="468"/>
      <c r="H6" s="468"/>
      <c r="I6" s="468"/>
      <c r="J6" s="468"/>
      <c r="K6" s="468"/>
    </row>
    <row r="7" spans="1:12" x14ac:dyDescent="0.2">
      <c r="A7" s="463" t="s">
        <v>110</v>
      </c>
      <c r="B7" s="549">
        <v>1140</v>
      </c>
      <c r="C7" s="466">
        <v>111872</v>
      </c>
      <c r="D7" s="466"/>
      <c r="E7" s="468"/>
      <c r="F7" s="467"/>
      <c r="G7" s="467"/>
      <c r="H7" s="467"/>
      <c r="I7" s="468"/>
      <c r="J7" s="468"/>
      <c r="K7" s="468"/>
    </row>
    <row r="8" spans="1:12" x14ac:dyDescent="0.2">
      <c r="A8" s="463" t="s">
        <v>413</v>
      </c>
      <c r="B8" s="470">
        <v>1150</v>
      </c>
      <c r="C8" s="475"/>
      <c r="D8" s="475"/>
      <c r="E8" s="477"/>
      <c r="F8" s="477"/>
      <c r="G8" s="481">
        <v>323953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5790914</v>
      </c>
      <c r="D12" s="1706">
        <f t="shared" si="0"/>
        <v>1804481</v>
      </c>
      <c r="E12" s="1706">
        <f t="shared" si="0"/>
        <v>498684</v>
      </c>
      <c r="F12" s="1706">
        <f t="shared" si="0"/>
        <v>735713</v>
      </c>
      <c r="G12" s="1706">
        <f t="shared" si="0"/>
        <v>497437</v>
      </c>
      <c r="H12" s="1706">
        <f t="shared" si="0"/>
        <v>0</v>
      </c>
      <c r="I12" s="1706">
        <f t="shared" si="0"/>
        <v>213602</v>
      </c>
      <c r="J12" s="1706">
        <f t="shared" si="0"/>
        <v>0</v>
      </c>
      <c r="K12" s="1687">
        <f t="shared" si="0"/>
        <v>277707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1461142</v>
      </c>
      <c r="D16" s="466"/>
      <c r="E16" s="466"/>
      <c r="F16" s="466"/>
      <c r="G16" s="466">
        <v>50000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1461142</v>
      </c>
      <c r="D18" s="1709">
        <f t="shared" ref="D18:K18" si="1">SUM(D14:D17)</f>
        <v>0</v>
      </c>
      <c r="E18" s="1709">
        <f t="shared" si="1"/>
        <v>0</v>
      </c>
      <c r="F18" s="1709">
        <f t="shared" si="1"/>
        <v>0</v>
      </c>
      <c r="G18" s="1709">
        <f t="shared" si="1"/>
        <v>50000</v>
      </c>
      <c r="H18" s="1709">
        <f t="shared" si="1"/>
        <v>0</v>
      </c>
      <c r="I18" s="1709">
        <f t="shared" si="1"/>
        <v>0</v>
      </c>
      <c r="J18" s="1709">
        <f t="shared" si="1"/>
        <v>0</v>
      </c>
      <c r="K18" s="1710">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3658</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3658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80677</v>
      </c>
      <c r="D65" s="466">
        <v>29535</v>
      </c>
      <c r="E65" s="466">
        <v>20222</v>
      </c>
      <c r="F65" s="467">
        <v>34283</v>
      </c>
      <c r="G65" s="466">
        <v>12013</v>
      </c>
      <c r="H65" s="466">
        <v>16124</v>
      </c>
      <c r="I65" s="466">
        <v>36719</v>
      </c>
      <c r="J65" s="467"/>
      <c r="K65" s="466">
        <v>21424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80677</v>
      </c>
      <c r="D67" s="1687">
        <f t="shared" ref="D67:K67" si="2">SUM(D65:D66)</f>
        <v>29535</v>
      </c>
      <c r="E67" s="1687">
        <f t="shared" si="2"/>
        <v>20222</v>
      </c>
      <c r="F67" s="1687">
        <f t="shared" si="2"/>
        <v>34283</v>
      </c>
      <c r="G67" s="1687">
        <f t="shared" si="2"/>
        <v>12013</v>
      </c>
      <c r="H67" s="1687">
        <f t="shared" si="2"/>
        <v>16124</v>
      </c>
      <c r="I67" s="1687">
        <f t="shared" si="2"/>
        <v>36719</v>
      </c>
      <c r="J67" s="1687">
        <f t="shared" si="2"/>
        <v>0</v>
      </c>
      <c r="K67" s="1687">
        <f t="shared" si="2"/>
        <v>21424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103532</v>
      </c>
      <c r="D69" s="468"/>
      <c r="E69" s="468"/>
      <c r="F69" s="468"/>
      <c r="G69" s="468"/>
      <c r="H69" s="468"/>
      <c r="I69" s="468"/>
      <c r="J69" s="468"/>
      <c r="K69" s="468"/>
    </row>
    <row r="70" spans="1:11" ht="12.75" customHeight="1" x14ac:dyDescent="0.2">
      <c r="A70" s="463" t="s">
        <v>997</v>
      </c>
      <c r="B70" s="470">
        <v>1612</v>
      </c>
      <c r="C70" s="551">
        <v>3984</v>
      </c>
      <c r="D70" s="468"/>
      <c r="E70" s="468"/>
      <c r="F70" s="468"/>
      <c r="G70" s="468"/>
      <c r="H70" s="468"/>
      <c r="I70" s="468"/>
      <c r="J70" s="468"/>
      <c r="K70" s="468"/>
    </row>
    <row r="71" spans="1:11" ht="12.75" customHeight="1" x14ac:dyDescent="0.2">
      <c r="A71" s="463" t="s">
        <v>273</v>
      </c>
      <c r="B71" s="470">
        <v>1613</v>
      </c>
      <c r="C71" s="551">
        <v>149636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4167</v>
      </c>
      <c r="D73" s="468"/>
      <c r="E73" s="468"/>
      <c r="F73" s="468"/>
      <c r="G73" s="468"/>
      <c r="H73" s="468"/>
      <c r="I73" s="468"/>
      <c r="J73" s="468"/>
      <c r="K73" s="468"/>
    </row>
    <row r="74" spans="1:11" ht="12.75" customHeight="1" x14ac:dyDescent="0.2">
      <c r="A74" s="463" t="s">
        <v>25</v>
      </c>
      <c r="B74" s="470">
        <v>1690</v>
      </c>
      <c r="C74" s="551">
        <v>19675</v>
      </c>
      <c r="D74" s="468"/>
      <c r="E74" s="468"/>
      <c r="F74" s="468"/>
      <c r="G74" s="468"/>
      <c r="H74" s="468"/>
      <c r="I74" s="468"/>
      <c r="J74" s="468"/>
      <c r="K74" s="468"/>
    </row>
    <row r="75" spans="1:11" ht="12.75" customHeight="1" thickBot="1" x14ac:dyDescent="0.25">
      <c r="A75" s="1707" t="s">
        <v>548</v>
      </c>
      <c r="B75" s="1708"/>
      <c r="C75" s="1687">
        <f>SUM(C69:C74)</f>
        <v>280994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76404</v>
      </c>
      <c r="D77" s="466"/>
      <c r="E77" s="468"/>
      <c r="F77" s="468"/>
      <c r="G77" s="468"/>
      <c r="H77" s="468"/>
      <c r="I77" s="468"/>
      <c r="J77" s="468"/>
      <c r="K77" s="468"/>
    </row>
    <row r="78" spans="1:11" ht="12.75" customHeight="1" x14ac:dyDescent="0.2">
      <c r="A78" s="463" t="s">
        <v>76</v>
      </c>
      <c r="B78" s="470">
        <v>1719</v>
      </c>
      <c r="C78" s="551">
        <v>3453</v>
      </c>
      <c r="D78" s="466"/>
      <c r="E78" s="468"/>
      <c r="F78" s="468"/>
      <c r="G78" s="468"/>
      <c r="H78" s="468"/>
      <c r="I78" s="468"/>
      <c r="J78" s="468"/>
      <c r="K78" s="468"/>
    </row>
    <row r="79" spans="1:11" ht="12.75" customHeight="1" x14ac:dyDescent="0.2">
      <c r="A79" s="463" t="s">
        <v>550</v>
      </c>
      <c r="B79" s="470">
        <v>1720</v>
      </c>
      <c r="C79" s="551">
        <v>697</v>
      </c>
      <c r="D79" s="466"/>
      <c r="E79" s="468"/>
      <c r="F79" s="468"/>
      <c r="G79" s="468"/>
      <c r="H79" s="468"/>
      <c r="I79" s="468"/>
      <c r="J79" s="468"/>
      <c r="K79" s="468"/>
    </row>
    <row r="80" spans="1:11" ht="12.75" customHeight="1" x14ac:dyDescent="0.2">
      <c r="A80" s="463" t="s">
        <v>551</v>
      </c>
      <c r="B80" s="470">
        <v>1730</v>
      </c>
      <c r="C80" s="551">
        <v>2787</v>
      </c>
      <c r="D80" s="466"/>
      <c r="E80" s="468"/>
      <c r="F80" s="468"/>
      <c r="G80" s="468"/>
      <c r="H80" s="468"/>
      <c r="I80" s="468"/>
      <c r="J80" s="468"/>
      <c r="K80" s="468"/>
    </row>
    <row r="81" spans="1:11" ht="12.75" customHeight="1" x14ac:dyDescent="0.2">
      <c r="A81" s="463" t="s">
        <v>26</v>
      </c>
      <c r="B81" s="470">
        <v>1790</v>
      </c>
      <c r="C81" s="551">
        <v>117720</v>
      </c>
      <c r="D81" s="466"/>
      <c r="E81" s="468"/>
      <c r="F81" s="468"/>
      <c r="G81" s="468"/>
      <c r="H81" s="468"/>
      <c r="I81" s="468"/>
      <c r="J81" s="468"/>
      <c r="K81" s="468"/>
    </row>
    <row r="82" spans="1:11" ht="12.75" customHeight="1" thickBot="1" x14ac:dyDescent="0.25">
      <c r="A82" s="1707" t="s">
        <v>241</v>
      </c>
      <c r="B82" s="1708"/>
      <c r="C82" s="1706">
        <f>SUM(C77:C81)</f>
        <v>201061</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80382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3868</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84250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18335</v>
      </c>
      <c r="E95" s="521"/>
      <c r="F95" s="521"/>
      <c r="G95" s="521"/>
      <c r="H95" s="521"/>
      <c r="I95" s="521"/>
      <c r="J95" s="521"/>
      <c r="K95" s="521"/>
    </row>
    <row r="96" spans="1:11" ht="12.75" customHeight="1" x14ac:dyDescent="0.2">
      <c r="A96" s="463" t="s">
        <v>391</v>
      </c>
      <c r="B96" s="470">
        <v>1920</v>
      </c>
      <c r="C96" s="551">
        <v>445</v>
      </c>
      <c r="D96" s="551">
        <v>3000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102746</v>
      </c>
      <c r="D98" s="466"/>
      <c r="E98" s="512"/>
      <c r="F98" s="466"/>
      <c r="G98" s="512"/>
      <c r="H98" s="512"/>
      <c r="I98" s="510"/>
      <c r="J98" s="512"/>
      <c r="K98" s="512"/>
    </row>
    <row r="99" spans="1:12" ht="12.75" customHeight="1" x14ac:dyDescent="0.2">
      <c r="A99" s="463" t="s">
        <v>821</v>
      </c>
      <c r="B99" s="470">
        <v>1950</v>
      </c>
      <c r="C99" s="489">
        <v>11700</v>
      </c>
      <c r="D99" s="466"/>
      <c r="E99" s="466"/>
      <c r="F99" s="466"/>
      <c r="G99" s="466"/>
      <c r="H99" s="466"/>
      <c r="I99" s="468"/>
      <c r="J99" s="467"/>
      <c r="K99" s="466"/>
    </row>
    <row r="100" spans="1:12" ht="12.75" customHeight="1" x14ac:dyDescent="0.2">
      <c r="A100" s="463" t="s">
        <v>245</v>
      </c>
      <c r="B100" s="470">
        <v>1960</v>
      </c>
      <c r="C100" s="489"/>
      <c r="D100" s="489">
        <v>35837</v>
      </c>
      <c r="E100" s="489"/>
      <c r="F100" s="489"/>
      <c r="G100" s="489"/>
      <c r="H100" s="489"/>
      <c r="I100" s="467"/>
      <c r="J100" s="489"/>
      <c r="K100" s="467"/>
    </row>
    <row r="101" spans="1:12" ht="12.75" customHeight="1" x14ac:dyDescent="0.2">
      <c r="A101" s="463" t="s">
        <v>246</v>
      </c>
      <c r="B101" s="470">
        <v>1970</v>
      </c>
      <c r="C101" s="489">
        <v>4900</v>
      </c>
      <c r="D101" s="526"/>
      <c r="E101" s="480"/>
      <c r="F101" s="526"/>
      <c r="G101" s="475"/>
      <c r="H101" s="526"/>
      <c r="I101" s="468"/>
      <c r="J101" s="475"/>
      <c r="K101" s="475"/>
    </row>
    <row r="102" spans="1:12" ht="12.75" customHeight="1" x14ac:dyDescent="0.2">
      <c r="A102" s="463" t="s">
        <v>247</v>
      </c>
      <c r="B102" s="470">
        <v>1980</v>
      </c>
      <c r="C102" s="489">
        <v>10984</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31470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v>5815</v>
      </c>
      <c r="E106" s="467"/>
      <c r="F106" s="467"/>
      <c r="G106" s="467"/>
      <c r="H106" s="467"/>
      <c r="I106" s="521"/>
      <c r="J106" s="467"/>
      <c r="K106" s="467"/>
    </row>
    <row r="107" spans="1:12" ht="12.75" customHeight="1" x14ac:dyDescent="0.2">
      <c r="A107" s="463" t="s">
        <v>78</v>
      </c>
      <c r="B107" s="470">
        <v>1999</v>
      </c>
      <c r="C107" s="551">
        <f>40162+56770</f>
        <v>96932</v>
      </c>
      <c r="D107" s="466">
        <v>13243</v>
      </c>
      <c r="E107" s="466">
        <v>402821</v>
      </c>
      <c r="F107" s="466">
        <v>3168</v>
      </c>
      <c r="G107" s="466"/>
      <c r="H107" s="466">
        <v>32618</v>
      </c>
      <c r="I107" s="466"/>
      <c r="J107" s="467"/>
      <c r="K107" s="466"/>
    </row>
    <row r="108" spans="1:12" ht="12.75" customHeight="1" thickBot="1" x14ac:dyDescent="0.25">
      <c r="A108" s="1707" t="s">
        <v>487</v>
      </c>
      <c r="B108" s="1711"/>
      <c r="C108" s="1706">
        <f>SUM(C95:C107)</f>
        <v>259177</v>
      </c>
      <c r="D108" s="1706">
        <f t="shared" ref="D108:K108" si="3">SUM(D95:D107)</f>
        <v>76230</v>
      </c>
      <c r="E108" s="1706">
        <f t="shared" si="3"/>
        <v>402821</v>
      </c>
      <c r="F108" s="1706">
        <f t="shared" si="3"/>
        <v>3168</v>
      </c>
      <c r="G108" s="1706">
        <f t="shared" si="3"/>
        <v>0</v>
      </c>
      <c r="H108" s="1706">
        <f t="shared" si="3"/>
        <v>32618</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8161873</v>
      </c>
      <c r="D109" s="1714">
        <f t="shared" si="4"/>
        <v>1910246</v>
      </c>
      <c r="E109" s="1714">
        <f t="shared" si="4"/>
        <v>921727</v>
      </c>
      <c r="F109" s="1714">
        <f t="shared" si="4"/>
        <v>773164</v>
      </c>
      <c r="G109" s="1714">
        <f t="shared" si="4"/>
        <v>559450</v>
      </c>
      <c r="H109" s="1714">
        <f t="shared" si="4"/>
        <v>48742</v>
      </c>
      <c r="I109" s="1714">
        <f t="shared" si="4"/>
        <v>250321</v>
      </c>
      <c r="J109" s="1714">
        <f t="shared" si="4"/>
        <v>0</v>
      </c>
      <c r="K109" s="1701">
        <f t="shared" si="4"/>
        <v>299131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1349991</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9" t="s">
        <v>1933</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1349991</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52382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1984</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54366</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71007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13838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84845</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4025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40163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291765</v>
      </c>
      <c r="G152" s="467"/>
      <c r="H152" s="468"/>
      <c r="I152" s="468"/>
      <c r="J152" s="468"/>
      <c r="K152" s="468"/>
    </row>
    <row r="153" spans="1:11" ht="12.75" customHeight="1" x14ac:dyDescent="0.2">
      <c r="A153" s="463" t="s">
        <v>1057</v>
      </c>
      <c r="B153" s="562">
        <v>3510</v>
      </c>
      <c r="C153" s="551"/>
      <c r="D153" s="466"/>
      <c r="E153" s="561"/>
      <c r="F153" s="466">
        <v>215804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507569</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55" t="s">
        <v>398</v>
      </c>
      <c r="B169" s="2156"/>
      <c r="C169" s="1721">
        <f t="shared" ref="C169:K169" si="6">SUM(C132,C141,C145,C146:C150,C155,C156:C167,C168)</f>
        <v>184149</v>
      </c>
      <c r="D169" s="1721">
        <f t="shared" si="6"/>
        <v>0</v>
      </c>
      <c r="E169" s="1721">
        <f t="shared" si="6"/>
        <v>0</v>
      </c>
      <c r="F169" s="1721">
        <f t="shared" si="6"/>
        <v>507569</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1534140</v>
      </c>
      <c r="D170" s="1714">
        <f t="shared" si="7"/>
        <v>0</v>
      </c>
      <c r="E170" s="1714">
        <f t="shared" si="7"/>
        <v>0</v>
      </c>
      <c r="F170" s="1714">
        <f t="shared" si="7"/>
        <v>507569</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7" t="s">
        <v>1492</v>
      </c>
      <c r="B172" s="215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1" t="s">
        <v>1665</v>
      </c>
      <c r="B175" s="216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5" t="s">
        <v>1664</v>
      </c>
      <c r="B176" s="216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3" t="s">
        <v>785</v>
      </c>
      <c r="B181" s="216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9" t="s">
        <v>1801</v>
      </c>
      <c r="B182" s="216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218761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35051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253812</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228122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228122</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133280</v>
      </c>
      <c r="D213" s="466"/>
      <c r="E213" s="468"/>
      <c r="F213" s="466"/>
      <c r="G213" s="466"/>
      <c r="H213" s="468"/>
      <c r="I213" s="468"/>
      <c r="J213" s="468"/>
      <c r="K213" s="468"/>
    </row>
    <row r="214" spans="1:11" ht="12.75" customHeight="1" x14ac:dyDescent="0.2">
      <c r="A214" s="463" t="s">
        <v>1054</v>
      </c>
      <c r="B214" s="470">
        <v>4625</v>
      </c>
      <c r="C214" s="551">
        <v>152842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286122</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4511</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1934</v>
      </c>
      <c r="B261" s="470">
        <v>4981</v>
      </c>
      <c r="C261" s="575"/>
      <c r="D261" s="576"/>
      <c r="E261" s="468"/>
      <c r="F261" s="576"/>
      <c r="G261" s="576"/>
      <c r="H261" s="468"/>
      <c r="I261" s="468"/>
      <c r="J261" s="468"/>
      <c r="K261" s="468"/>
    </row>
    <row r="262" spans="1:11" ht="12.75" customHeight="1" thickTop="1" thickBot="1" x14ac:dyDescent="0.25">
      <c r="A262" s="1930"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15877</v>
      </c>
      <c r="D263" s="576"/>
      <c r="E263" s="468"/>
      <c r="F263" s="576"/>
      <c r="G263" s="576"/>
      <c r="H263" s="468"/>
      <c r="I263" s="468"/>
      <c r="J263" s="468"/>
      <c r="K263" s="468"/>
    </row>
    <row r="264" spans="1:11" ht="12.75" customHeight="1" thickTop="1" thickBot="1" x14ac:dyDescent="0.25">
      <c r="A264" s="463" t="s">
        <v>377</v>
      </c>
      <c r="B264" s="470">
        <v>4992</v>
      </c>
      <c r="C264" s="575">
        <v>39027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827471</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827471</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10523484</v>
      </c>
      <c r="D268" s="1714">
        <f t="shared" si="12"/>
        <v>1910246</v>
      </c>
      <c r="E268" s="1714">
        <f t="shared" si="12"/>
        <v>921727</v>
      </c>
      <c r="F268" s="1714">
        <f t="shared" si="12"/>
        <v>1280733</v>
      </c>
      <c r="G268" s="1714">
        <f t="shared" si="12"/>
        <v>559450</v>
      </c>
      <c r="H268" s="1714">
        <f t="shared" si="12"/>
        <v>48742</v>
      </c>
      <c r="I268" s="1714">
        <f t="shared" si="12"/>
        <v>250321</v>
      </c>
      <c r="J268" s="1714">
        <f t="shared" si="12"/>
        <v>0</v>
      </c>
      <c r="K268" s="1701">
        <f t="shared" si="12"/>
        <v>299131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5" activePane="bottomLeft" state="frozen"/>
      <selection activeCell="L31" sqref="L31"/>
      <selection pane="bottomLeft" activeCell="K235" sqref="K23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5"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5" t="s">
        <v>297</v>
      </c>
      <c r="B3" s="217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2594624</v>
      </c>
      <c r="D5" s="466">
        <v>643103</v>
      </c>
      <c r="E5" s="466">
        <v>143132</v>
      </c>
      <c r="F5" s="466">
        <v>208683</v>
      </c>
      <c r="G5" s="466">
        <v>54676</v>
      </c>
      <c r="H5" s="466"/>
      <c r="I5" s="467"/>
      <c r="J5" s="467"/>
      <c r="K5" s="1670">
        <f>SUM(C5:J5)</f>
        <v>3644218</v>
      </c>
      <c r="L5" s="466">
        <v>3954352</v>
      </c>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c r="D7" s="467"/>
      <c r="E7" s="467"/>
      <c r="F7" s="467"/>
      <c r="G7" s="467"/>
      <c r="H7" s="467"/>
      <c r="I7" s="467"/>
      <c r="J7" s="467"/>
      <c r="K7" s="1670">
        <f t="shared" ref="K7:K32" si="0">SUM(C7:J7)</f>
        <v>0</v>
      </c>
      <c r="L7" s="466"/>
    </row>
    <row r="8" spans="1:14" x14ac:dyDescent="0.2">
      <c r="A8" s="1504" t="s">
        <v>164</v>
      </c>
      <c r="B8" s="614">
        <v>1200</v>
      </c>
      <c r="C8" s="466">
        <v>1354145</v>
      </c>
      <c r="D8" s="466">
        <v>234420</v>
      </c>
      <c r="E8" s="466">
        <v>9221</v>
      </c>
      <c r="F8" s="466">
        <v>16227</v>
      </c>
      <c r="G8" s="466"/>
      <c r="H8" s="466"/>
      <c r="I8" s="467"/>
      <c r="J8" s="467"/>
      <c r="K8" s="1670">
        <f t="shared" si="0"/>
        <v>1614013</v>
      </c>
      <c r="L8" s="466">
        <v>1845206</v>
      </c>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v>4199</v>
      </c>
      <c r="D10" s="466">
        <v>843</v>
      </c>
      <c r="E10" s="466"/>
      <c r="F10" s="466"/>
      <c r="G10" s="466"/>
      <c r="H10" s="466"/>
      <c r="I10" s="467"/>
      <c r="J10" s="467"/>
      <c r="K10" s="1670">
        <f t="shared" si="0"/>
        <v>5042</v>
      </c>
      <c r="L10" s="466">
        <v>6193</v>
      </c>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v>493356</v>
      </c>
      <c r="D13" s="466">
        <v>102024</v>
      </c>
      <c r="E13" s="466">
        <v>1832</v>
      </c>
      <c r="F13" s="466">
        <v>22815</v>
      </c>
      <c r="G13" s="466"/>
      <c r="H13" s="466"/>
      <c r="I13" s="467"/>
      <c r="J13" s="467"/>
      <c r="K13" s="1670">
        <f t="shared" si="0"/>
        <v>620027</v>
      </c>
      <c r="L13" s="466">
        <v>665389</v>
      </c>
    </row>
    <row r="14" spans="1:14" x14ac:dyDescent="0.2">
      <c r="A14" s="1504" t="s">
        <v>963</v>
      </c>
      <c r="B14" s="614">
        <v>1500</v>
      </c>
      <c r="C14" s="466">
        <v>467466</v>
      </c>
      <c r="D14" s="466">
        <v>156</v>
      </c>
      <c r="E14" s="466">
        <v>59678</v>
      </c>
      <c r="F14" s="466">
        <v>215872</v>
      </c>
      <c r="G14" s="466">
        <v>85800</v>
      </c>
      <c r="H14" s="466"/>
      <c r="I14" s="467"/>
      <c r="J14" s="467"/>
      <c r="K14" s="1670">
        <f t="shared" si="0"/>
        <v>828972</v>
      </c>
      <c r="L14" s="466">
        <v>799919</v>
      </c>
    </row>
    <row r="15" spans="1:14" x14ac:dyDescent="0.2">
      <c r="A15" s="1504" t="s">
        <v>964</v>
      </c>
      <c r="B15" s="614">
        <v>1600</v>
      </c>
      <c r="C15" s="466">
        <v>2152</v>
      </c>
      <c r="D15" s="466"/>
      <c r="E15" s="466"/>
      <c r="F15" s="466"/>
      <c r="G15" s="466"/>
      <c r="H15" s="466"/>
      <c r="I15" s="467"/>
      <c r="J15" s="467"/>
      <c r="K15" s="1670">
        <f t="shared" si="0"/>
        <v>2152</v>
      </c>
      <c r="L15" s="466">
        <v>2800</v>
      </c>
    </row>
    <row r="16" spans="1:14" x14ac:dyDescent="0.2">
      <c r="A16" s="1504" t="s">
        <v>987</v>
      </c>
      <c r="B16" s="614" t="s">
        <v>424</v>
      </c>
      <c r="C16" s="466"/>
      <c r="D16" s="466"/>
      <c r="E16" s="466"/>
      <c r="F16" s="466"/>
      <c r="G16" s="466"/>
      <c r="H16" s="466"/>
      <c r="I16" s="467"/>
      <c r="J16" s="467"/>
      <c r="K16" s="1670">
        <f t="shared" si="0"/>
        <v>0</v>
      </c>
      <c r="L16" s="466"/>
    </row>
    <row r="17" spans="1:12" x14ac:dyDescent="0.2">
      <c r="A17" s="1504" t="s">
        <v>724</v>
      </c>
      <c r="B17" s="614" t="s">
        <v>162</v>
      </c>
      <c r="C17" s="467">
        <v>59881</v>
      </c>
      <c r="D17" s="467">
        <v>15858</v>
      </c>
      <c r="E17" s="467">
        <v>8051</v>
      </c>
      <c r="F17" s="467">
        <v>1489</v>
      </c>
      <c r="G17" s="467"/>
      <c r="H17" s="467"/>
      <c r="I17" s="467"/>
      <c r="J17" s="467"/>
      <c r="K17" s="1670">
        <f t="shared" si="0"/>
        <v>85279</v>
      </c>
      <c r="L17" s="466">
        <v>106611</v>
      </c>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v>500823</v>
      </c>
      <c r="I22" s="616"/>
      <c r="J22" s="477"/>
      <c r="K22" s="1670">
        <f t="shared" si="0"/>
        <v>500823</v>
      </c>
      <c r="L22" s="471">
        <v>450000</v>
      </c>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4975823</v>
      </c>
      <c r="D33" s="1669">
        <f t="shared" ref="D33:L33" si="1">SUM(D5:D32)</f>
        <v>996404</v>
      </c>
      <c r="E33" s="1669">
        <f t="shared" si="1"/>
        <v>221914</v>
      </c>
      <c r="F33" s="1669">
        <f t="shared" si="1"/>
        <v>465086</v>
      </c>
      <c r="G33" s="1669">
        <f t="shared" si="1"/>
        <v>140476</v>
      </c>
      <c r="H33" s="1669">
        <f t="shared" si="1"/>
        <v>500823</v>
      </c>
      <c r="I33" s="1669">
        <f t="shared" si="1"/>
        <v>0</v>
      </c>
      <c r="J33" s="1669">
        <f t="shared" si="1"/>
        <v>0</v>
      </c>
      <c r="K33" s="1669">
        <f t="shared" si="1"/>
        <v>7300526</v>
      </c>
      <c r="L33" s="1669">
        <f t="shared" si="1"/>
        <v>7830470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398091</v>
      </c>
      <c r="D36" s="481">
        <v>65942</v>
      </c>
      <c r="E36" s="481">
        <v>149228</v>
      </c>
      <c r="F36" s="481">
        <v>3799</v>
      </c>
      <c r="G36" s="481"/>
      <c r="H36" s="481"/>
      <c r="I36" s="467"/>
      <c r="J36" s="467"/>
      <c r="K36" s="1670">
        <f t="shared" ref="K36:K41" si="2">SUM(C36:J36)</f>
        <v>617060</v>
      </c>
      <c r="L36" s="466">
        <v>625949</v>
      </c>
    </row>
    <row r="37" spans="1:14" x14ac:dyDescent="0.2">
      <c r="A37" s="1504" t="s">
        <v>1090</v>
      </c>
      <c r="B37" s="614">
        <v>2120</v>
      </c>
      <c r="C37" s="466">
        <v>359195</v>
      </c>
      <c r="D37" s="466">
        <v>72408</v>
      </c>
      <c r="E37" s="466">
        <v>2278</v>
      </c>
      <c r="F37" s="466">
        <v>12271</v>
      </c>
      <c r="G37" s="466"/>
      <c r="H37" s="466"/>
      <c r="I37" s="467"/>
      <c r="J37" s="467"/>
      <c r="K37" s="1670">
        <f t="shared" si="2"/>
        <v>446152</v>
      </c>
      <c r="L37" s="466">
        <v>470736</v>
      </c>
    </row>
    <row r="38" spans="1:14" x14ac:dyDescent="0.2">
      <c r="A38" s="1504" t="s">
        <v>198</v>
      </c>
      <c r="B38" s="614">
        <v>2130</v>
      </c>
      <c r="C38" s="466">
        <v>123008</v>
      </c>
      <c r="D38" s="466">
        <v>15858</v>
      </c>
      <c r="E38" s="466">
        <v>789</v>
      </c>
      <c r="F38" s="466">
        <v>3342</v>
      </c>
      <c r="G38" s="466"/>
      <c r="H38" s="466"/>
      <c r="I38" s="467"/>
      <c r="J38" s="467"/>
      <c r="K38" s="1670">
        <f t="shared" si="2"/>
        <v>142997</v>
      </c>
      <c r="L38" s="466">
        <v>152418</v>
      </c>
    </row>
    <row r="39" spans="1:14" x14ac:dyDescent="0.2">
      <c r="A39" s="1504" t="s">
        <v>199</v>
      </c>
      <c r="B39" s="614">
        <v>2140</v>
      </c>
      <c r="C39" s="466"/>
      <c r="D39" s="466"/>
      <c r="E39" s="466"/>
      <c r="F39" s="466">
        <v>204</v>
      </c>
      <c r="G39" s="466"/>
      <c r="H39" s="466"/>
      <c r="I39" s="467"/>
      <c r="J39" s="467"/>
      <c r="K39" s="1670">
        <f t="shared" si="2"/>
        <v>204</v>
      </c>
      <c r="L39" s="466">
        <v>331</v>
      </c>
    </row>
    <row r="40" spans="1:14" x14ac:dyDescent="0.2">
      <c r="A40" s="1504" t="s">
        <v>200</v>
      </c>
      <c r="B40" s="614">
        <v>2150</v>
      </c>
      <c r="C40" s="466"/>
      <c r="D40" s="466"/>
      <c r="E40" s="466"/>
      <c r="F40" s="466"/>
      <c r="G40" s="466"/>
      <c r="H40" s="466"/>
      <c r="I40" s="467"/>
      <c r="J40" s="467"/>
      <c r="K40" s="1670">
        <f t="shared" si="2"/>
        <v>0</v>
      </c>
      <c r="L40" s="466"/>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880294</v>
      </c>
      <c r="D42" s="1669">
        <f t="shared" ref="D42:L42" si="3">SUM(D36:D41)</f>
        <v>154208</v>
      </c>
      <c r="E42" s="1669">
        <f t="shared" si="3"/>
        <v>152295</v>
      </c>
      <c r="F42" s="1669">
        <f t="shared" si="3"/>
        <v>19616</v>
      </c>
      <c r="G42" s="1669">
        <f t="shared" si="3"/>
        <v>0</v>
      </c>
      <c r="H42" s="1669">
        <f t="shared" si="3"/>
        <v>0</v>
      </c>
      <c r="I42" s="1669">
        <f t="shared" si="3"/>
        <v>0</v>
      </c>
      <c r="J42" s="1669">
        <f t="shared" si="3"/>
        <v>0</v>
      </c>
      <c r="K42" s="1669">
        <f t="shared" si="3"/>
        <v>1206413</v>
      </c>
      <c r="L42" s="1669">
        <f t="shared" si="3"/>
        <v>1249434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116513</v>
      </c>
      <c r="D44" s="481">
        <v>779</v>
      </c>
      <c r="E44" s="481">
        <v>19186</v>
      </c>
      <c r="F44" s="481"/>
      <c r="G44" s="481"/>
      <c r="H44" s="481">
        <v>1375</v>
      </c>
      <c r="I44" s="467"/>
      <c r="J44" s="467"/>
      <c r="K44" s="1671">
        <f>SUM(C44:J44)</f>
        <v>137853</v>
      </c>
      <c r="L44" s="481">
        <v>159016</v>
      </c>
    </row>
    <row r="45" spans="1:14" x14ac:dyDescent="0.2">
      <c r="A45" s="1504" t="s">
        <v>815</v>
      </c>
      <c r="B45" s="614">
        <v>2220</v>
      </c>
      <c r="C45" s="466">
        <v>91021</v>
      </c>
      <c r="D45" s="466">
        <v>8357</v>
      </c>
      <c r="E45" s="466">
        <v>83</v>
      </c>
      <c r="F45" s="466">
        <v>22109</v>
      </c>
      <c r="G45" s="466"/>
      <c r="H45" s="466"/>
      <c r="I45" s="467"/>
      <c r="J45" s="467"/>
      <c r="K45" s="1671">
        <f>SUM(C45:J45)</f>
        <v>121570</v>
      </c>
      <c r="L45" s="466">
        <v>159469</v>
      </c>
    </row>
    <row r="46" spans="1:14" x14ac:dyDescent="0.2">
      <c r="A46" s="1504"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207534</v>
      </c>
      <c r="D47" s="1669">
        <f t="shared" ref="D47:K47" si="4">SUM(D44:D46)</f>
        <v>9136</v>
      </c>
      <c r="E47" s="1669">
        <f t="shared" si="4"/>
        <v>19269</v>
      </c>
      <c r="F47" s="1669">
        <f t="shared" si="4"/>
        <v>22109</v>
      </c>
      <c r="G47" s="1669">
        <f t="shared" si="4"/>
        <v>0</v>
      </c>
      <c r="H47" s="1669">
        <f t="shared" si="4"/>
        <v>1375</v>
      </c>
      <c r="I47" s="1669">
        <f t="shared" si="4"/>
        <v>0</v>
      </c>
      <c r="J47" s="1669">
        <f t="shared" si="4"/>
        <v>0</v>
      </c>
      <c r="K47" s="1669">
        <f t="shared" si="4"/>
        <v>259423</v>
      </c>
      <c r="L47" s="1669">
        <f>SUM(L44:L46)</f>
        <v>318485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6054</v>
      </c>
      <c r="D49" s="481">
        <v>659</v>
      </c>
      <c r="E49" s="481">
        <v>179714</v>
      </c>
      <c r="F49" s="481">
        <v>599</v>
      </c>
      <c r="G49" s="481"/>
      <c r="H49" s="481">
        <v>9290</v>
      </c>
      <c r="I49" s="467"/>
      <c r="J49" s="467"/>
      <c r="K49" s="1671">
        <f>SUM(C49:J49)</f>
        <v>196316</v>
      </c>
      <c r="L49" s="481">
        <v>239251</v>
      </c>
    </row>
    <row r="50" spans="1:14" x14ac:dyDescent="0.2">
      <c r="A50" s="1504" t="s">
        <v>818</v>
      </c>
      <c r="B50" s="614">
        <v>2320</v>
      </c>
      <c r="C50" s="466">
        <v>236972</v>
      </c>
      <c r="D50" s="466">
        <v>16020</v>
      </c>
      <c r="E50" s="466">
        <v>4750</v>
      </c>
      <c r="F50" s="466">
        <v>1112</v>
      </c>
      <c r="G50" s="466"/>
      <c r="H50" s="466">
        <v>3505</v>
      </c>
      <c r="I50" s="467"/>
      <c r="J50" s="467"/>
      <c r="K50" s="1671">
        <f>SUM(C50:J50)</f>
        <v>262359</v>
      </c>
      <c r="L50" s="466">
        <v>265679</v>
      </c>
    </row>
    <row r="51" spans="1:14" x14ac:dyDescent="0.2">
      <c r="A51" s="1504" t="s">
        <v>42</v>
      </c>
      <c r="B51" s="614">
        <v>2330</v>
      </c>
      <c r="C51" s="466"/>
      <c r="D51" s="466"/>
      <c r="E51" s="466"/>
      <c r="F51" s="466"/>
      <c r="G51" s="466"/>
      <c r="H51" s="466"/>
      <c r="I51" s="467"/>
      <c r="J51" s="467"/>
      <c r="K51" s="1671">
        <f>SUM(C51:J51)</f>
        <v>0</v>
      </c>
      <c r="L51" s="466"/>
    </row>
    <row r="52" spans="1:14" ht="22.5" x14ac:dyDescent="0.2">
      <c r="A52" s="1505" t="s">
        <v>298</v>
      </c>
      <c r="B52" s="627" t="s">
        <v>366</v>
      </c>
      <c r="C52" s="474"/>
      <c r="D52" s="474"/>
      <c r="E52" s="474"/>
      <c r="F52" s="474"/>
      <c r="G52" s="474"/>
      <c r="H52" s="474">
        <v>34801</v>
      </c>
      <c r="I52" s="474"/>
      <c r="J52" s="474"/>
      <c r="K52" s="1671">
        <f>SUM(C52:J52)</f>
        <v>34801</v>
      </c>
      <c r="L52" s="474">
        <v>35000</v>
      </c>
    </row>
    <row r="53" spans="1:14" ht="12.75" customHeight="1" thickBot="1" x14ac:dyDescent="0.25">
      <c r="A53" s="1667" t="s">
        <v>717</v>
      </c>
      <c r="B53" s="1668" t="s">
        <v>33</v>
      </c>
      <c r="C53" s="1669">
        <f>SUM(C49:C52)</f>
        <v>243026</v>
      </c>
      <c r="D53" s="1669">
        <f t="shared" ref="D53:L53" si="5">SUM(D49:D52)</f>
        <v>16679</v>
      </c>
      <c r="E53" s="1669">
        <f t="shared" si="5"/>
        <v>184464</v>
      </c>
      <c r="F53" s="1669">
        <f t="shared" si="5"/>
        <v>1711</v>
      </c>
      <c r="G53" s="1669">
        <f t="shared" si="5"/>
        <v>0</v>
      </c>
      <c r="H53" s="1669">
        <f t="shared" si="5"/>
        <v>47596</v>
      </c>
      <c r="I53" s="1669">
        <f t="shared" si="5"/>
        <v>0</v>
      </c>
      <c r="J53" s="1669">
        <f t="shared" si="5"/>
        <v>0</v>
      </c>
      <c r="K53" s="1669">
        <f t="shared" si="5"/>
        <v>493476</v>
      </c>
      <c r="L53" s="1669">
        <f t="shared" si="5"/>
        <v>539930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359740</v>
      </c>
      <c r="D55" s="481">
        <v>24233</v>
      </c>
      <c r="E55" s="481">
        <v>1469</v>
      </c>
      <c r="F55" s="481">
        <v>9779</v>
      </c>
      <c r="G55" s="481"/>
      <c r="H55" s="481">
        <v>1611</v>
      </c>
      <c r="I55" s="467"/>
      <c r="J55" s="467"/>
      <c r="K55" s="1671">
        <f>SUM(C55:J55)</f>
        <v>396832</v>
      </c>
      <c r="L55" s="481">
        <v>423563</v>
      </c>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359740</v>
      </c>
      <c r="D57" s="1673">
        <f t="shared" ref="D57:K57" si="6">SUM(D55:D56)</f>
        <v>24233</v>
      </c>
      <c r="E57" s="1673">
        <f t="shared" si="6"/>
        <v>1469</v>
      </c>
      <c r="F57" s="1673">
        <f t="shared" si="6"/>
        <v>9779</v>
      </c>
      <c r="G57" s="1673">
        <f t="shared" si="6"/>
        <v>0</v>
      </c>
      <c r="H57" s="1673">
        <f t="shared" si="6"/>
        <v>1611</v>
      </c>
      <c r="I57" s="1673">
        <f t="shared" si="6"/>
        <v>0</v>
      </c>
      <c r="J57" s="1673">
        <f t="shared" si="6"/>
        <v>0</v>
      </c>
      <c r="K57" s="1673">
        <f t="shared" si="6"/>
        <v>396832</v>
      </c>
      <c r="L57" s="1669">
        <f>SUM(L55:L56)</f>
        <v>423563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46656</v>
      </c>
      <c r="D59" s="481">
        <v>13084</v>
      </c>
      <c r="E59" s="481">
        <v>7666</v>
      </c>
      <c r="F59" s="481">
        <v>338</v>
      </c>
      <c r="G59" s="481"/>
      <c r="H59" s="481"/>
      <c r="I59" s="467"/>
      <c r="J59" s="467"/>
      <c r="K59" s="1671">
        <f t="shared" ref="K59:K64" si="7">SUM(C59:J59)</f>
        <v>67744</v>
      </c>
      <c r="L59" s="481">
        <v>68982</v>
      </c>
      <c r="M59" s="609"/>
      <c r="N59" s="609"/>
    </row>
    <row r="60" spans="1:14" s="343" customFormat="1" x14ac:dyDescent="0.2">
      <c r="A60" s="1504" t="s">
        <v>463</v>
      </c>
      <c r="B60" s="614">
        <v>2520</v>
      </c>
      <c r="C60" s="466">
        <v>4096</v>
      </c>
      <c r="D60" s="466"/>
      <c r="E60" s="466">
        <v>261</v>
      </c>
      <c r="F60" s="466"/>
      <c r="G60" s="466"/>
      <c r="H60" s="466"/>
      <c r="I60" s="467"/>
      <c r="J60" s="467"/>
      <c r="K60" s="1671">
        <f t="shared" si="7"/>
        <v>4357</v>
      </c>
      <c r="L60" s="466">
        <v>4100</v>
      </c>
      <c r="M60" s="609"/>
      <c r="N60" s="609"/>
    </row>
    <row r="61" spans="1:14" s="343" customFormat="1" x14ac:dyDescent="0.2">
      <c r="A61" s="1504" t="s">
        <v>197</v>
      </c>
      <c r="B61" s="614">
        <v>2540</v>
      </c>
      <c r="C61" s="466"/>
      <c r="D61" s="466"/>
      <c r="E61" s="466"/>
      <c r="F61" s="466"/>
      <c r="G61" s="466"/>
      <c r="H61" s="466"/>
      <c r="I61" s="467"/>
      <c r="J61" s="467"/>
      <c r="K61" s="1671">
        <f t="shared" si="7"/>
        <v>0</v>
      </c>
      <c r="L61" s="466"/>
      <c r="M61" s="609"/>
      <c r="N61" s="609"/>
    </row>
    <row r="62" spans="1:14" s="343" customFormat="1" x14ac:dyDescent="0.2">
      <c r="A62" s="1504" t="s">
        <v>953</v>
      </c>
      <c r="B62" s="614">
        <v>2550</v>
      </c>
      <c r="C62" s="466"/>
      <c r="D62" s="466"/>
      <c r="E62" s="466"/>
      <c r="F62" s="466"/>
      <c r="G62" s="466"/>
      <c r="H62" s="466"/>
      <c r="I62" s="467"/>
      <c r="J62" s="467"/>
      <c r="K62" s="1671">
        <f t="shared" si="7"/>
        <v>0</v>
      </c>
      <c r="L62" s="466"/>
      <c r="M62" s="609"/>
      <c r="N62" s="609"/>
    </row>
    <row r="63" spans="1:14" s="609" customFormat="1" x14ac:dyDescent="0.2">
      <c r="A63" s="1504" t="s">
        <v>100</v>
      </c>
      <c r="B63" s="614">
        <v>2560</v>
      </c>
      <c r="C63" s="466">
        <v>266730</v>
      </c>
      <c r="D63" s="466">
        <v>72665</v>
      </c>
      <c r="E63" s="466">
        <v>343</v>
      </c>
      <c r="F63" s="466">
        <v>245936</v>
      </c>
      <c r="G63" s="466"/>
      <c r="H63" s="466"/>
      <c r="I63" s="467"/>
      <c r="J63" s="467"/>
      <c r="K63" s="1671">
        <f t="shared" si="7"/>
        <v>585674</v>
      </c>
      <c r="L63" s="466">
        <v>633768</v>
      </c>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317482</v>
      </c>
      <c r="D65" s="1669">
        <f t="shared" ref="D65:L65" si="8">SUM(D59:D64)</f>
        <v>85749</v>
      </c>
      <c r="E65" s="1669">
        <f t="shared" si="8"/>
        <v>8270</v>
      </c>
      <c r="F65" s="1669">
        <f t="shared" si="8"/>
        <v>246274</v>
      </c>
      <c r="G65" s="1669">
        <f t="shared" si="8"/>
        <v>0</v>
      </c>
      <c r="H65" s="1669">
        <f t="shared" si="8"/>
        <v>0</v>
      </c>
      <c r="I65" s="1669">
        <f t="shared" si="8"/>
        <v>0</v>
      </c>
      <c r="J65" s="1669">
        <f t="shared" si="8"/>
        <v>0</v>
      </c>
      <c r="K65" s="1669">
        <f t="shared" si="8"/>
        <v>657775</v>
      </c>
      <c r="L65" s="1669">
        <f t="shared" si="8"/>
        <v>706850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c r="F69" s="466"/>
      <c r="G69" s="466"/>
      <c r="H69" s="466"/>
      <c r="I69" s="467"/>
      <c r="J69" s="467"/>
      <c r="K69" s="1671">
        <f>SUM(C69:J69)</f>
        <v>0</v>
      </c>
      <c r="L69" s="466"/>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v>234752</v>
      </c>
      <c r="D71" s="466">
        <v>48024</v>
      </c>
      <c r="E71" s="466">
        <v>4791</v>
      </c>
      <c r="F71" s="466">
        <v>17192</v>
      </c>
      <c r="G71" s="466">
        <v>630</v>
      </c>
      <c r="H71" s="466"/>
      <c r="I71" s="467"/>
      <c r="J71" s="467"/>
      <c r="K71" s="1671">
        <f>SUM(C71:J71)</f>
        <v>305389</v>
      </c>
      <c r="L71" s="466">
        <v>351488</v>
      </c>
      <c r="M71" s="609"/>
      <c r="N71" s="609"/>
    </row>
    <row r="72" spans="1:14" s="343" customFormat="1" ht="12.75" customHeight="1" thickBot="1" x14ac:dyDescent="0.25">
      <c r="A72" s="1667" t="s">
        <v>37</v>
      </c>
      <c r="B72" s="1674" t="s">
        <v>36</v>
      </c>
      <c r="C72" s="1669">
        <f>SUM(C67:C71)</f>
        <v>234752</v>
      </c>
      <c r="D72" s="1669">
        <f t="shared" ref="D72:K72" si="9">SUM(D67:D71)</f>
        <v>48024</v>
      </c>
      <c r="E72" s="1669">
        <f t="shared" si="9"/>
        <v>4791</v>
      </c>
      <c r="F72" s="1669">
        <f t="shared" si="9"/>
        <v>17192</v>
      </c>
      <c r="G72" s="1669">
        <f t="shared" si="9"/>
        <v>630</v>
      </c>
      <c r="H72" s="1669">
        <f t="shared" si="9"/>
        <v>0</v>
      </c>
      <c r="I72" s="1669">
        <f t="shared" si="9"/>
        <v>0</v>
      </c>
      <c r="J72" s="1669">
        <f t="shared" si="9"/>
        <v>0</v>
      </c>
      <c r="K72" s="1669">
        <f t="shared" si="9"/>
        <v>305389</v>
      </c>
      <c r="L72" s="1669">
        <f>SUM(L67:L71)</f>
        <v>351488</v>
      </c>
      <c r="M72" s="609"/>
      <c r="N72" s="609"/>
    </row>
    <row r="73" spans="1:14" s="343" customFormat="1" ht="14.25" thickTop="1" thickBot="1" x14ac:dyDescent="0.25">
      <c r="A73" s="1510"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2242828</v>
      </c>
      <c r="D74" s="1676">
        <f t="shared" ref="D74:K74" si="10">SUM(D42,D47,D53,D57,D65,D72,D73)</f>
        <v>338029</v>
      </c>
      <c r="E74" s="1676">
        <f t="shared" si="10"/>
        <v>370558</v>
      </c>
      <c r="F74" s="1676">
        <f t="shared" si="10"/>
        <v>316681</v>
      </c>
      <c r="G74" s="1676">
        <f t="shared" si="10"/>
        <v>630</v>
      </c>
      <c r="H74" s="1676">
        <f t="shared" si="10"/>
        <v>50582</v>
      </c>
      <c r="I74" s="1676">
        <f t="shared" si="10"/>
        <v>0</v>
      </c>
      <c r="J74" s="1676">
        <f t="shared" si="10"/>
        <v>0</v>
      </c>
      <c r="K74" s="1676">
        <f t="shared" si="10"/>
        <v>3319308</v>
      </c>
      <c r="L74" s="1676">
        <f>SUM(L42,L47,L53,L57,L65,L72,L73)</f>
        <v>3589750</v>
      </c>
    </row>
    <row r="75" spans="1:14" s="259" customFormat="1" ht="15.75" customHeight="1" thickTop="1" thickBot="1" x14ac:dyDescent="0.25">
      <c r="A75" s="1610" t="s">
        <v>47</v>
      </c>
      <c r="B75" s="1611" t="s">
        <v>575</v>
      </c>
      <c r="C75" s="573"/>
      <c r="D75" s="573"/>
      <c r="E75" s="573">
        <v>1694</v>
      </c>
      <c r="F75" s="573">
        <v>144</v>
      </c>
      <c r="G75" s="573"/>
      <c r="H75" s="573"/>
      <c r="I75" s="531"/>
      <c r="J75" s="531"/>
      <c r="K75" s="1669">
        <f>SUM(C75:J75)</f>
        <v>1838</v>
      </c>
      <c r="L75" s="576">
        <v>3000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2648</v>
      </c>
      <c r="I78" s="477"/>
      <c r="J78" s="477"/>
      <c r="K78" s="1670">
        <f t="shared" ref="K78:K83" si="11">SUM(C78:J78)</f>
        <v>2648</v>
      </c>
      <c r="L78" s="481">
        <v>9000</v>
      </c>
    </row>
    <row r="79" spans="1:14" x14ac:dyDescent="0.2">
      <c r="A79" s="1504" t="s">
        <v>304</v>
      </c>
      <c r="B79" s="614">
        <v>4120</v>
      </c>
      <c r="C79" s="616"/>
      <c r="D79" s="616"/>
      <c r="E79" s="466"/>
      <c r="F79" s="616"/>
      <c r="G79" s="616"/>
      <c r="H79" s="466">
        <v>273647</v>
      </c>
      <c r="I79" s="477"/>
      <c r="J79" s="477"/>
      <c r="K79" s="1670">
        <f t="shared" si="11"/>
        <v>273647</v>
      </c>
      <c r="L79" s="466">
        <v>280500</v>
      </c>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v>34945</v>
      </c>
      <c r="I81" s="477"/>
      <c r="J81" s="477"/>
      <c r="K81" s="1670">
        <f t="shared" si="11"/>
        <v>34945</v>
      </c>
      <c r="L81" s="466">
        <v>35000</v>
      </c>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0</v>
      </c>
      <c r="F84" s="616"/>
      <c r="G84" s="616"/>
      <c r="H84" s="1669">
        <f>SUM(H78:H83)</f>
        <v>311240</v>
      </c>
      <c r="I84" s="477"/>
      <c r="J84" s="477"/>
      <c r="K84" s="1669">
        <f>SUM(K78:K83)</f>
        <v>311240</v>
      </c>
      <c r="L84" s="1669">
        <f>SUM(L78:L83)</f>
        <v>324500</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v>3534</v>
      </c>
      <c r="I90" s="477"/>
      <c r="J90" s="477"/>
      <c r="K90" s="1676">
        <f t="shared" si="12"/>
        <v>3534</v>
      </c>
      <c r="L90" s="530">
        <v>2500</v>
      </c>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3534</v>
      </c>
      <c r="I92" s="477"/>
      <c r="J92" s="477"/>
      <c r="K92" s="1676">
        <f t="shared" si="12"/>
        <v>3534</v>
      </c>
      <c r="L92" s="1669">
        <f>SUM(L85:L91)</f>
        <v>2500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0</v>
      </c>
      <c r="F102" s="616"/>
      <c r="G102" s="616"/>
      <c r="H102" s="1676">
        <f>SUM(H84,H92,H100,H101)</f>
        <v>314774</v>
      </c>
      <c r="I102" s="477"/>
      <c r="J102" s="477"/>
      <c r="K102" s="1676">
        <f>SUM(K84,K92,K100,K101)</f>
        <v>314774</v>
      </c>
      <c r="L102" s="1676">
        <f>SUM(L84,L92,L100,L101)</f>
        <v>327000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7218651</v>
      </c>
      <c r="D114" s="1669">
        <f t="shared" ref="D114:K114" si="13">SUM(D33,D74,D75,D102,D112,D113)</f>
        <v>1334433</v>
      </c>
      <c r="E114" s="1669">
        <f t="shared" si="13"/>
        <v>594166</v>
      </c>
      <c r="F114" s="1669">
        <f t="shared" si="13"/>
        <v>781911</v>
      </c>
      <c r="G114" s="1669">
        <f t="shared" si="13"/>
        <v>141106</v>
      </c>
      <c r="H114" s="1669">
        <f>SUM(H33,H74,H75,H102,H112,H113)</f>
        <v>866179</v>
      </c>
      <c r="I114" s="1669">
        <f t="shared" si="13"/>
        <v>0</v>
      </c>
      <c r="J114" s="1669">
        <f t="shared" si="13"/>
        <v>0</v>
      </c>
      <c r="K114" s="1669">
        <f t="shared" si="13"/>
        <v>10936446</v>
      </c>
      <c r="L114" s="1669">
        <f>SUM(L33,L74,L75,L102,L112,L113)</f>
        <v>11750220</v>
      </c>
    </row>
    <row r="115" spans="1:14" ht="13.5" thickTop="1" x14ac:dyDescent="0.2">
      <c r="A115" s="2167" t="s">
        <v>996</v>
      </c>
      <c r="B115" s="2168"/>
      <c r="C115" s="618"/>
      <c r="D115" s="618"/>
      <c r="E115" s="618"/>
      <c r="F115" s="618"/>
      <c r="G115" s="618"/>
      <c r="H115" s="618"/>
      <c r="I115" s="618"/>
      <c r="J115" s="618"/>
      <c r="K115" s="1683">
        <f>'Revenues 9-14'!C268-'Expenditures 15-22'!K114</f>
        <v>-412962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296</v>
      </c>
      <c r="B117" s="217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v>88230</v>
      </c>
      <c r="F123" s="466"/>
      <c r="G123" s="466">
        <v>30258</v>
      </c>
      <c r="H123" s="466"/>
      <c r="I123" s="467"/>
      <c r="J123" s="467"/>
      <c r="K123" s="1669">
        <f>SUM(C123:J123)</f>
        <v>118488</v>
      </c>
      <c r="L123" s="466">
        <v>155000</v>
      </c>
    </row>
    <row r="124" spans="1:14" ht="14.25" thickTop="1" thickBot="1" x14ac:dyDescent="0.25">
      <c r="A124" s="1504" t="s">
        <v>197</v>
      </c>
      <c r="B124" s="614">
        <v>2540</v>
      </c>
      <c r="C124" s="466">
        <v>560153</v>
      </c>
      <c r="D124" s="466">
        <v>98398</v>
      </c>
      <c r="E124" s="466">
        <v>406314</v>
      </c>
      <c r="F124" s="466">
        <v>422981</v>
      </c>
      <c r="G124" s="466">
        <v>53940</v>
      </c>
      <c r="H124" s="466"/>
      <c r="I124" s="467"/>
      <c r="J124" s="467"/>
      <c r="K124" s="1669">
        <f>SUM(C124:J124)</f>
        <v>1541786</v>
      </c>
      <c r="L124" s="466">
        <v>1788144</v>
      </c>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560153</v>
      </c>
      <c r="D127" s="1669">
        <f t="shared" ref="D127:L127" si="14">SUM(D122:D126)</f>
        <v>98398</v>
      </c>
      <c r="E127" s="1669">
        <f t="shared" si="14"/>
        <v>494544</v>
      </c>
      <c r="F127" s="1669">
        <f t="shared" si="14"/>
        <v>422981</v>
      </c>
      <c r="G127" s="1669">
        <f t="shared" si="14"/>
        <v>84198</v>
      </c>
      <c r="H127" s="1669">
        <f t="shared" si="14"/>
        <v>0</v>
      </c>
      <c r="I127" s="1669">
        <f t="shared" si="14"/>
        <v>0</v>
      </c>
      <c r="J127" s="1669">
        <f t="shared" si="14"/>
        <v>0</v>
      </c>
      <c r="K127" s="1669">
        <f t="shared" si="14"/>
        <v>1660274</v>
      </c>
      <c r="L127" s="1669">
        <f t="shared" si="14"/>
        <v>1943144</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560153</v>
      </c>
      <c r="D129" s="1676">
        <f t="shared" ref="D129:L129" si="15">SUM(D120,D127,D128)</f>
        <v>98398</v>
      </c>
      <c r="E129" s="1676">
        <f t="shared" si="15"/>
        <v>494544</v>
      </c>
      <c r="F129" s="1676">
        <f t="shared" si="15"/>
        <v>422981</v>
      </c>
      <c r="G129" s="1676">
        <f t="shared" si="15"/>
        <v>84198</v>
      </c>
      <c r="H129" s="1676">
        <f t="shared" si="15"/>
        <v>0</v>
      </c>
      <c r="I129" s="1676">
        <f t="shared" si="15"/>
        <v>0</v>
      </c>
      <c r="J129" s="1676">
        <f t="shared" si="15"/>
        <v>0</v>
      </c>
      <c r="K129" s="1676">
        <f t="shared" si="15"/>
        <v>1660274</v>
      </c>
      <c r="L129" s="1676">
        <f t="shared" si="15"/>
        <v>1943144</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0" t="s">
        <v>1842</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4" t="s">
        <v>620</v>
      </c>
      <c r="B151" s="2164"/>
      <c r="C151" s="1669">
        <f>SUM(C129,C130,C139,C149,C150)</f>
        <v>560153</v>
      </c>
      <c r="D151" s="1669">
        <f t="shared" ref="D151:K151" si="16">SUM(D129,D130,D139,D149,D150)</f>
        <v>98398</v>
      </c>
      <c r="E151" s="1669">
        <f t="shared" si="16"/>
        <v>494544</v>
      </c>
      <c r="F151" s="1669">
        <f t="shared" si="16"/>
        <v>422981</v>
      </c>
      <c r="G151" s="1669">
        <f t="shared" si="16"/>
        <v>84198</v>
      </c>
      <c r="H151" s="1669">
        <f t="shared" si="16"/>
        <v>0</v>
      </c>
      <c r="I151" s="1669">
        <f t="shared" si="16"/>
        <v>0</v>
      </c>
      <c r="J151" s="1669">
        <f t="shared" si="16"/>
        <v>0</v>
      </c>
      <c r="K151" s="1669">
        <f t="shared" si="16"/>
        <v>1660274</v>
      </c>
      <c r="L151" s="1669">
        <f>SUM(L129,L130,L139,L149,L150)</f>
        <v>1943144</v>
      </c>
    </row>
    <row r="152" spans="1:14" ht="12.75" customHeight="1" thickTop="1" x14ac:dyDescent="0.2">
      <c r="A152" s="2187" t="s">
        <v>1178</v>
      </c>
      <c r="B152" s="2188"/>
      <c r="C152" s="618"/>
      <c r="D152" s="618"/>
      <c r="E152" s="618"/>
      <c r="F152" s="618"/>
      <c r="G152" s="618"/>
      <c r="H152" s="618"/>
      <c r="I152" s="618"/>
      <c r="J152" s="616"/>
      <c r="K152" s="1683">
        <f>'Revenues 9-14'!D268-'Expenditures 15-22'!K151</f>
        <v>249972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621</v>
      </c>
      <c r="B154" s="217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1843</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1842</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1844</v>
      </c>
      <c r="C158" s="616"/>
      <c r="D158" s="616"/>
      <c r="E158" s="616"/>
      <c r="F158" s="616"/>
      <c r="G158" s="616"/>
      <c r="H158" s="467"/>
      <c r="I158" s="616"/>
      <c r="J158" s="616"/>
      <c r="K158" s="1670">
        <f>H158</f>
        <v>0</v>
      </c>
      <c r="L158" s="467"/>
      <c r="M158" s="619"/>
      <c r="N158" s="619"/>
    </row>
    <row r="159" spans="1:14" s="620" customFormat="1" ht="12" x14ac:dyDescent="0.2">
      <c r="A159" s="1825" t="s">
        <v>1845</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1846</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257571</v>
      </c>
      <c r="I169" s="616"/>
      <c r="J169" s="616"/>
      <c r="K169" s="1670">
        <f>SUM(C169:H169)</f>
        <v>257571</v>
      </c>
      <c r="L169" s="656">
        <v>257571</v>
      </c>
    </row>
    <row r="170" spans="1:14" ht="33.75" customHeight="1" x14ac:dyDescent="0.2">
      <c r="A170" s="669" t="s">
        <v>1670</v>
      </c>
      <c r="B170" s="671" t="s">
        <v>31</v>
      </c>
      <c r="C170" s="616"/>
      <c r="D170" s="616"/>
      <c r="E170" s="616"/>
      <c r="F170" s="616"/>
      <c r="G170" s="616"/>
      <c r="H170" s="569">
        <v>638000</v>
      </c>
      <c r="I170" s="616"/>
      <c r="J170" s="616"/>
      <c r="K170" s="1670">
        <f>SUM(C170:J170)</f>
        <v>638000</v>
      </c>
      <c r="L170" s="569">
        <v>638000</v>
      </c>
    </row>
    <row r="171" spans="1:14" ht="15.75" customHeight="1" x14ac:dyDescent="0.2">
      <c r="A171" s="621" t="s">
        <v>766</v>
      </c>
      <c r="B171" s="672" t="s">
        <v>84</v>
      </c>
      <c r="C171" s="616"/>
      <c r="D171" s="616"/>
      <c r="E171" s="466"/>
      <c r="F171" s="616"/>
      <c r="G171" s="616"/>
      <c r="H171" s="569">
        <v>1400</v>
      </c>
      <c r="I171" s="477"/>
      <c r="J171" s="616"/>
      <c r="K171" s="1670">
        <f>SUM(C171:J171)</f>
        <v>1400</v>
      </c>
      <c r="L171" s="569">
        <v>2000</v>
      </c>
    </row>
    <row r="172" spans="1:14" ht="12.75" customHeight="1" thickBot="1" x14ac:dyDescent="0.25">
      <c r="A172" s="1667" t="s">
        <v>638</v>
      </c>
      <c r="B172" s="1668" t="s">
        <v>492</v>
      </c>
      <c r="C172" s="616"/>
      <c r="D172" s="616"/>
      <c r="E172" s="1676">
        <f>SUM(E168,E169,E170,E171)</f>
        <v>0</v>
      </c>
      <c r="F172" s="616"/>
      <c r="G172" s="616"/>
      <c r="H172" s="1676">
        <f>SUM(H168,H169,H170,H171)</f>
        <v>896971</v>
      </c>
      <c r="I172" s="638"/>
      <c r="J172" s="616"/>
      <c r="K172" s="1676">
        <f>SUM(K168,K169,K170,K171)</f>
        <v>896971</v>
      </c>
      <c r="L172" s="1676">
        <f>SUM(L168,L169,L170,L171)</f>
        <v>897571</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896971</v>
      </c>
      <c r="I174" s="638"/>
      <c r="J174" s="616"/>
      <c r="K174" s="1676">
        <f>SUM(K160,K172,K173)</f>
        <v>896971</v>
      </c>
      <c r="L174" s="1676">
        <f>SUM(L160,L172,L173)</f>
        <v>897571</v>
      </c>
    </row>
    <row r="175" spans="1:14" ht="13.5" thickTop="1" x14ac:dyDescent="0.2">
      <c r="A175" s="2167" t="s">
        <v>996</v>
      </c>
      <c r="B175" s="2168"/>
      <c r="C175" s="616"/>
      <c r="D175" s="616"/>
      <c r="E175" s="616"/>
      <c r="F175" s="616"/>
      <c r="G175" s="616"/>
      <c r="H175" s="618"/>
      <c r="I175" s="616"/>
      <c r="J175" s="616"/>
      <c r="K175" s="1683">
        <f>'Revenues 9-14'!E268-'Expenditures 15-22'!K174</f>
        <v>24756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607342</v>
      </c>
      <c r="D182" s="466">
        <v>31716</v>
      </c>
      <c r="E182" s="466">
        <v>159684</v>
      </c>
      <c r="F182" s="466">
        <v>75502</v>
      </c>
      <c r="G182" s="466">
        <v>189635</v>
      </c>
      <c r="H182" s="466"/>
      <c r="I182" s="467"/>
      <c r="J182" s="467"/>
      <c r="K182" s="1670">
        <f>SUM(C182:J182)</f>
        <v>1063879</v>
      </c>
      <c r="L182" s="466">
        <v>968658</v>
      </c>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607342</v>
      </c>
      <c r="D184" s="1676">
        <f t="shared" ref="D184:J184" si="17">SUM(D180,D182,D183)</f>
        <v>31716</v>
      </c>
      <c r="E184" s="1676">
        <f t="shared" si="17"/>
        <v>159684</v>
      </c>
      <c r="F184" s="1676">
        <f t="shared" si="17"/>
        <v>75502</v>
      </c>
      <c r="G184" s="1676">
        <f t="shared" si="17"/>
        <v>189635</v>
      </c>
      <c r="H184" s="1676">
        <f t="shared" si="17"/>
        <v>0</v>
      </c>
      <c r="I184" s="1676">
        <f t="shared" si="17"/>
        <v>0</v>
      </c>
      <c r="J184" s="1676">
        <f t="shared" si="17"/>
        <v>0</v>
      </c>
      <c r="K184" s="1676">
        <f>SUM(K180,K182,K183)</f>
        <v>1063879</v>
      </c>
      <c r="L184" s="1676">
        <f>SUM(L180, L182:L183)</f>
        <v>968658</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40280</v>
      </c>
      <c r="I205" s="616"/>
      <c r="J205" s="616"/>
      <c r="K205" s="1684">
        <f>SUM(H205)</f>
        <v>40280</v>
      </c>
      <c r="L205" s="535">
        <v>38000</v>
      </c>
    </row>
    <row r="206" spans="1:14" ht="30" customHeight="1" x14ac:dyDescent="0.2">
      <c r="A206" s="681" t="s">
        <v>1671</v>
      </c>
      <c r="B206" s="672" t="s">
        <v>31</v>
      </c>
      <c r="C206" s="616"/>
      <c r="D206" s="616"/>
      <c r="E206" s="616"/>
      <c r="F206" s="616"/>
      <c r="G206" s="616"/>
      <c r="H206" s="466">
        <v>151819</v>
      </c>
      <c r="I206" s="616"/>
      <c r="J206" s="616"/>
      <c r="K206" s="1670">
        <f>SUM(H206)</f>
        <v>151819</v>
      </c>
      <c r="L206" s="466">
        <v>250000</v>
      </c>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192099</v>
      </c>
      <c r="I208" s="616"/>
      <c r="J208" s="616"/>
      <c r="K208" s="1676">
        <f>SUM(K204,K205,K206,K207)</f>
        <v>192099</v>
      </c>
      <c r="L208" s="1676">
        <f>SUM(L204,L205,L206,L207)</f>
        <v>288000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607342</v>
      </c>
      <c r="D210" s="1669">
        <f>SUM(D184,D185)</f>
        <v>31716</v>
      </c>
      <c r="E210" s="1669">
        <f>SUM(E184,E185,E196)</f>
        <v>159684</v>
      </c>
      <c r="F210" s="1669">
        <f>SUM(F184,F185)</f>
        <v>75502</v>
      </c>
      <c r="G210" s="1669">
        <f>SUM(G184,G185)</f>
        <v>189635</v>
      </c>
      <c r="H210" s="1669">
        <f>SUM(H184,H185,H196,H208,H209)</f>
        <v>192099</v>
      </c>
      <c r="I210" s="1669">
        <f>SUM(I184,I185)</f>
        <v>0</v>
      </c>
      <c r="J210" s="1669">
        <f>SUM(J184,J185)</f>
        <v>0</v>
      </c>
      <c r="K210" s="1670">
        <f>SUM(K184,K185,K196,K208,K209)</f>
        <v>1255978</v>
      </c>
      <c r="L210" s="1669">
        <f>SUM(L184,L185,L196,L208,L209)</f>
        <v>1256658</v>
      </c>
    </row>
    <row r="211" spans="1:14" ht="13.5" thickTop="1" x14ac:dyDescent="0.2">
      <c r="A211" s="2167" t="s">
        <v>996</v>
      </c>
      <c r="B211" s="2168"/>
      <c r="C211" s="618"/>
      <c r="D211" s="618"/>
      <c r="E211" s="618"/>
      <c r="F211" s="618"/>
      <c r="G211" s="618"/>
      <c r="H211" s="618"/>
      <c r="I211" s="616"/>
      <c r="J211" s="616"/>
      <c r="K211" s="1683">
        <f>'Revenues 9-14'!F268-'Expenditures 15-22'!K210</f>
        <v>24755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965</v>
      </c>
      <c r="B213" s="219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44916</v>
      </c>
      <c r="E215" s="616"/>
      <c r="F215" s="616"/>
      <c r="G215" s="616"/>
      <c r="H215" s="616"/>
      <c r="I215" s="616"/>
      <c r="J215" s="616"/>
      <c r="K215" s="1670">
        <f>D215</f>
        <v>44916</v>
      </c>
      <c r="L215" s="466">
        <v>45850</v>
      </c>
    </row>
    <row r="216" spans="1:14" x14ac:dyDescent="0.2">
      <c r="A216" s="1504" t="s">
        <v>163</v>
      </c>
      <c r="B216" s="614" t="s">
        <v>967</v>
      </c>
      <c r="C216" s="616"/>
      <c r="D216" s="467"/>
      <c r="E216" s="616"/>
      <c r="F216" s="616"/>
      <c r="G216" s="616"/>
      <c r="H216" s="616"/>
      <c r="I216" s="616"/>
      <c r="J216" s="616"/>
      <c r="K216" s="1670">
        <f t="shared" ref="K216:K228" si="19">D216</f>
        <v>0</v>
      </c>
      <c r="L216" s="466"/>
    </row>
    <row r="217" spans="1:14" x14ac:dyDescent="0.2">
      <c r="A217" s="1504" t="s">
        <v>164</v>
      </c>
      <c r="B217" s="614">
        <v>1200</v>
      </c>
      <c r="C217" s="616"/>
      <c r="D217" s="466">
        <v>69953</v>
      </c>
      <c r="E217" s="616"/>
      <c r="F217" s="616"/>
      <c r="G217" s="616"/>
      <c r="H217" s="616"/>
      <c r="I217" s="616"/>
      <c r="J217" s="616"/>
      <c r="K217" s="1670">
        <f t="shared" si="19"/>
        <v>69953</v>
      </c>
      <c r="L217" s="466">
        <v>79900</v>
      </c>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v>62</v>
      </c>
      <c r="E219" s="616"/>
      <c r="F219" s="616"/>
      <c r="G219" s="616"/>
      <c r="H219" s="616"/>
      <c r="I219" s="616"/>
      <c r="J219" s="616"/>
      <c r="K219" s="1670">
        <f t="shared" si="19"/>
        <v>62</v>
      </c>
      <c r="L219" s="466"/>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v>6669</v>
      </c>
      <c r="E222" s="616"/>
      <c r="F222" s="616"/>
      <c r="G222" s="616"/>
      <c r="H222" s="616"/>
      <c r="I222" s="616"/>
      <c r="J222" s="616"/>
      <c r="K222" s="1670">
        <f t="shared" si="19"/>
        <v>6669</v>
      </c>
      <c r="L222" s="466">
        <v>568</v>
      </c>
    </row>
    <row r="223" spans="1:14" x14ac:dyDescent="0.2">
      <c r="A223" s="1504" t="s">
        <v>963</v>
      </c>
      <c r="B223" s="614">
        <v>1500</v>
      </c>
      <c r="C223" s="616"/>
      <c r="D223" s="466">
        <v>19945</v>
      </c>
      <c r="E223" s="616"/>
      <c r="F223" s="616"/>
      <c r="G223" s="616"/>
      <c r="H223" s="616"/>
      <c r="I223" s="616"/>
      <c r="J223" s="616"/>
      <c r="K223" s="1670">
        <f t="shared" si="19"/>
        <v>19945</v>
      </c>
      <c r="L223" s="466">
        <v>7200</v>
      </c>
    </row>
    <row r="224" spans="1:14" x14ac:dyDescent="0.2">
      <c r="A224" s="1504" t="s">
        <v>964</v>
      </c>
      <c r="B224" s="614">
        <v>1600</v>
      </c>
      <c r="C224" s="616"/>
      <c r="D224" s="466">
        <v>248</v>
      </c>
      <c r="E224" s="616"/>
      <c r="F224" s="616"/>
      <c r="G224" s="616"/>
      <c r="H224" s="616"/>
      <c r="I224" s="616"/>
      <c r="J224" s="616"/>
      <c r="K224" s="1670">
        <f t="shared" si="19"/>
        <v>248</v>
      </c>
      <c r="L224" s="466">
        <v>22165</v>
      </c>
    </row>
    <row r="225" spans="1:12" x14ac:dyDescent="0.2">
      <c r="A225" s="1504" t="s">
        <v>987</v>
      </c>
      <c r="B225" s="614">
        <v>1650</v>
      </c>
      <c r="C225" s="616"/>
      <c r="D225" s="466"/>
      <c r="E225" s="616"/>
      <c r="F225" s="616"/>
      <c r="G225" s="616"/>
      <c r="H225" s="616"/>
      <c r="I225" s="616"/>
      <c r="J225" s="616"/>
      <c r="K225" s="1670">
        <f t="shared" si="19"/>
        <v>0</v>
      </c>
      <c r="L225" s="466">
        <v>325</v>
      </c>
    </row>
    <row r="226" spans="1:12" x14ac:dyDescent="0.2">
      <c r="A226" s="1504" t="s">
        <v>724</v>
      </c>
      <c r="B226" s="614" t="s">
        <v>162</v>
      </c>
      <c r="C226" s="616"/>
      <c r="D226" s="467">
        <v>812</v>
      </c>
      <c r="E226" s="616"/>
      <c r="F226" s="616"/>
      <c r="G226" s="616"/>
      <c r="H226" s="616"/>
      <c r="I226" s="616"/>
      <c r="J226" s="616"/>
      <c r="K226" s="1670">
        <f t="shared" si="19"/>
        <v>812</v>
      </c>
      <c r="L226" s="466">
        <v>860</v>
      </c>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142605</v>
      </c>
      <c r="E229" s="616"/>
      <c r="F229" s="616"/>
      <c r="G229" s="616"/>
      <c r="H229" s="616"/>
      <c r="I229" s="616"/>
      <c r="J229" s="616"/>
      <c r="K229" s="1669">
        <f>SUM(K215:K228)</f>
        <v>142605</v>
      </c>
      <c r="L229" s="1669">
        <f>SUM(L215:L228)</f>
        <v>156868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30017</v>
      </c>
      <c r="E232" s="616"/>
      <c r="F232" s="616"/>
      <c r="G232" s="616"/>
      <c r="H232" s="616"/>
      <c r="I232" s="616"/>
      <c r="J232" s="616"/>
      <c r="K232" s="1670">
        <f t="shared" ref="K232:K237" si="20">D232</f>
        <v>30017</v>
      </c>
      <c r="L232" s="466">
        <v>34385</v>
      </c>
    </row>
    <row r="233" spans="1:12" x14ac:dyDescent="0.2">
      <c r="A233" s="1504" t="s">
        <v>1090</v>
      </c>
      <c r="B233" s="614">
        <v>2120</v>
      </c>
      <c r="C233" s="616"/>
      <c r="D233" s="466">
        <v>13821</v>
      </c>
      <c r="E233" s="616"/>
      <c r="F233" s="616"/>
      <c r="G233" s="616"/>
      <c r="H233" s="616"/>
      <c r="I233" s="616"/>
      <c r="J233" s="616"/>
      <c r="K233" s="1670">
        <f t="shared" si="20"/>
        <v>13821</v>
      </c>
      <c r="L233" s="466">
        <v>15565</v>
      </c>
    </row>
    <row r="234" spans="1:12" x14ac:dyDescent="0.2">
      <c r="A234" s="1504" t="s">
        <v>198</v>
      </c>
      <c r="B234" s="614">
        <v>2130</v>
      </c>
      <c r="C234" s="616"/>
      <c r="D234" s="466">
        <v>7279</v>
      </c>
      <c r="E234" s="616"/>
      <c r="F234" s="616"/>
      <c r="G234" s="616"/>
      <c r="H234" s="616"/>
      <c r="I234" s="616"/>
      <c r="J234" s="616"/>
      <c r="K234" s="1670">
        <f t="shared" si="20"/>
        <v>7279</v>
      </c>
      <c r="L234" s="466">
        <v>7810</v>
      </c>
    </row>
    <row r="235" spans="1:12" x14ac:dyDescent="0.2">
      <c r="A235" s="1504" t="s">
        <v>199</v>
      </c>
      <c r="B235" s="614">
        <v>2140</v>
      </c>
      <c r="C235" s="616"/>
      <c r="D235" s="466"/>
      <c r="E235" s="616"/>
      <c r="F235" s="616"/>
      <c r="G235" s="616"/>
      <c r="H235" s="616"/>
      <c r="I235" s="616"/>
      <c r="J235" s="616"/>
      <c r="K235" s="1670">
        <f t="shared" si="20"/>
        <v>0</v>
      </c>
      <c r="L235" s="466"/>
    </row>
    <row r="236" spans="1:12" x14ac:dyDescent="0.2">
      <c r="A236" s="1504" t="s">
        <v>200</v>
      </c>
      <c r="B236" s="614">
        <v>2150</v>
      </c>
      <c r="C236" s="616"/>
      <c r="D236" s="466"/>
      <c r="E236" s="616"/>
      <c r="F236" s="616"/>
      <c r="G236" s="616"/>
      <c r="H236" s="616"/>
      <c r="I236" s="616"/>
      <c r="J236" s="616"/>
      <c r="K236" s="1670">
        <f t="shared" si="20"/>
        <v>0</v>
      </c>
      <c r="L236" s="466"/>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51117</v>
      </c>
      <c r="E238" s="616"/>
      <c r="F238" s="616"/>
      <c r="G238" s="616"/>
      <c r="H238" s="616"/>
      <c r="I238" s="616"/>
      <c r="J238" s="616"/>
      <c r="K238" s="1669">
        <f>SUM(K232:K237)</f>
        <v>51117</v>
      </c>
      <c r="L238" s="1669">
        <f>SUM(L232:L237)</f>
        <v>57760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1621</v>
      </c>
      <c r="E240" s="616"/>
      <c r="F240" s="616"/>
      <c r="G240" s="616"/>
      <c r="H240" s="616"/>
      <c r="I240" s="616"/>
      <c r="J240" s="616"/>
      <c r="K240" s="1671">
        <f>D240</f>
        <v>1621</v>
      </c>
      <c r="L240" s="481">
        <v>100</v>
      </c>
    </row>
    <row r="241" spans="1:12" x14ac:dyDescent="0.2">
      <c r="A241" s="1504" t="s">
        <v>815</v>
      </c>
      <c r="B241" s="614">
        <v>2220</v>
      </c>
      <c r="C241" s="616"/>
      <c r="D241" s="466">
        <v>6067</v>
      </c>
      <c r="E241" s="616"/>
      <c r="F241" s="616"/>
      <c r="G241" s="616"/>
      <c r="H241" s="616"/>
      <c r="I241" s="616"/>
      <c r="J241" s="616"/>
      <c r="K241" s="1671">
        <f>D241</f>
        <v>6067</v>
      </c>
      <c r="L241" s="466">
        <v>7010</v>
      </c>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7688</v>
      </c>
      <c r="E243" s="616"/>
      <c r="F243" s="616"/>
      <c r="G243" s="616"/>
      <c r="H243" s="616"/>
      <c r="I243" s="616"/>
      <c r="J243" s="616"/>
      <c r="K243" s="1669">
        <f>SUM(K240:K242)</f>
        <v>7688</v>
      </c>
      <c r="L243" s="1669">
        <f>SUM(L240:L242)</f>
        <v>7110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463</v>
      </c>
      <c r="E245" s="616"/>
      <c r="F245" s="616"/>
      <c r="G245" s="616"/>
      <c r="H245" s="616"/>
      <c r="I245" s="616"/>
      <c r="J245" s="616"/>
      <c r="K245" s="1671">
        <f>D245</f>
        <v>463</v>
      </c>
      <c r="L245" s="481">
        <v>470</v>
      </c>
    </row>
    <row r="246" spans="1:12" x14ac:dyDescent="0.2">
      <c r="A246" s="1504" t="s">
        <v>818</v>
      </c>
      <c r="B246" s="614">
        <v>2320</v>
      </c>
      <c r="C246" s="616"/>
      <c r="D246" s="466">
        <v>12208</v>
      </c>
      <c r="E246" s="616"/>
      <c r="F246" s="616"/>
      <c r="G246" s="616"/>
      <c r="H246" s="616"/>
      <c r="I246" s="616"/>
      <c r="J246" s="616"/>
      <c r="K246" s="1671">
        <f t="shared" ref="K246:K256" si="21">D246</f>
        <v>12208</v>
      </c>
      <c r="L246" s="466">
        <v>13500</v>
      </c>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1803</v>
      </c>
      <c r="B249" s="683" t="s">
        <v>282</v>
      </c>
      <c r="C249" s="616"/>
      <c r="D249" s="474"/>
      <c r="E249" s="616"/>
      <c r="F249" s="616"/>
      <c r="G249" s="616"/>
      <c r="H249" s="616"/>
      <c r="I249" s="616"/>
      <c r="J249" s="616"/>
      <c r="K249" s="1671">
        <f t="shared" si="21"/>
        <v>0</v>
      </c>
      <c r="L249" s="466"/>
    </row>
    <row r="250" spans="1:12" x14ac:dyDescent="0.2">
      <c r="A250" s="1505" t="s">
        <v>1804</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12671</v>
      </c>
      <c r="E257" s="616"/>
      <c r="F257" s="616"/>
      <c r="G257" s="616"/>
      <c r="H257" s="616"/>
      <c r="I257" s="616"/>
      <c r="J257" s="616"/>
      <c r="K257" s="1669">
        <f>SUM(K245:K256)</f>
        <v>12671</v>
      </c>
      <c r="L257" s="1669">
        <f>SUM(L245:L256)</f>
        <v>13970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24459</v>
      </c>
      <c r="E259" s="616"/>
      <c r="F259" s="616"/>
      <c r="G259" s="616"/>
      <c r="H259" s="616"/>
      <c r="I259" s="616"/>
      <c r="J259" s="616"/>
      <c r="K259" s="1671">
        <f>D259</f>
        <v>24459</v>
      </c>
      <c r="L259" s="481">
        <v>26000</v>
      </c>
    </row>
    <row r="260" spans="1:14" s="597" customFormat="1" x14ac:dyDescent="0.2">
      <c r="A260" s="1522" t="s">
        <v>1802</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24459</v>
      </c>
      <c r="E261" s="616"/>
      <c r="F261" s="616"/>
      <c r="G261" s="616"/>
      <c r="H261" s="616"/>
      <c r="I261" s="616"/>
      <c r="J261" s="616"/>
      <c r="K261" s="1669">
        <f>SUM(K259:K260)</f>
        <v>24459</v>
      </c>
      <c r="L261" s="1669">
        <f>SUM(L259:L260)</f>
        <v>26000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7964</v>
      </c>
      <c r="E263" s="616"/>
      <c r="F263" s="616"/>
      <c r="G263" s="616"/>
      <c r="H263" s="616"/>
      <c r="I263" s="616"/>
      <c r="J263" s="616"/>
      <c r="K263" s="1671">
        <f>D263</f>
        <v>7964</v>
      </c>
      <c r="L263" s="481">
        <v>8500</v>
      </c>
    </row>
    <row r="264" spans="1:14" x14ac:dyDescent="0.2">
      <c r="A264" s="1504" t="s">
        <v>463</v>
      </c>
      <c r="B264" s="685">
        <v>2520</v>
      </c>
      <c r="C264" s="616"/>
      <c r="D264" s="466">
        <v>59</v>
      </c>
      <c r="E264" s="616"/>
      <c r="F264" s="616"/>
      <c r="G264" s="616"/>
      <c r="H264" s="616"/>
      <c r="I264" s="616"/>
      <c r="J264" s="616"/>
      <c r="K264" s="1671">
        <f t="shared" ref="K264:K269" si="22">D264</f>
        <v>59</v>
      </c>
      <c r="L264" s="466"/>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v>90407</v>
      </c>
      <c r="E266" s="616"/>
      <c r="F266" s="616"/>
      <c r="G266" s="616"/>
      <c r="H266" s="616"/>
      <c r="I266" s="616"/>
      <c r="J266" s="616"/>
      <c r="K266" s="1671">
        <f t="shared" si="22"/>
        <v>90407</v>
      </c>
      <c r="L266" s="466">
        <v>110000</v>
      </c>
    </row>
    <row r="267" spans="1:14" x14ac:dyDescent="0.2">
      <c r="A267" s="1504" t="s">
        <v>953</v>
      </c>
      <c r="B267" s="614">
        <v>2550</v>
      </c>
      <c r="C267" s="616"/>
      <c r="D267" s="466">
        <v>84686</v>
      </c>
      <c r="E267" s="616"/>
      <c r="F267" s="616"/>
      <c r="G267" s="616"/>
      <c r="H267" s="616"/>
      <c r="I267" s="616"/>
      <c r="J267" s="616"/>
      <c r="K267" s="1671">
        <f t="shared" si="22"/>
        <v>84686</v>
      </c>
      <c r="L267" s="466">
        <v>91000</v>
      </c>
    </row>
    <row r="268" spans="1:14" x14ac:dyDescent="0.2">
      <c r="A268" s="1504" t="s">
        <v>100</v>
      </c>
      <c r="B268" s="614">
        <v>2560</v>
      </c>
      <c r="C268" s="616"/>
      <c r="D268" s="466">
        <v>39769</v>
      </c>
      <c r="E268" s="616"/>
      <c r="F268" s="616"/>
      <c r="G268" s="616"/>
      <c r="H268" s="616"/>
      <c r="I268" s="616"/>
      <c r="J268" s="616"/>
      <c r="K268" s="1671">
        <f t="shared" si="22"/>
        <v>39769</v>
      </c>
      <c r="L268" s="466">
        <v>45000</v>
      </c>
    </row>
    <row r="269" spans="1:14" x14ac:dyDescent="0.2">
      <c r="A269" s="1504" t="s">
        <v>101</v>
      </c>
      <c r="B269" s="614">
        <v>2570</v>
      </c>
      <c r="C269" s="616"/>
      <c r="D269" s="466"/>
      <c r="E269" s="616"/>
      <c r="F269" s="616"/>
      <c r="G269" s="616"/>
      <c r="H269" s="616"/>
      <c r="I269" s="616"/>
      <c r="J269" s="616"/>
      <c r="K269" s="1671">
        <f t="shared" si="22"/>
        <v>0</v>
      </c>
      <c r="L269" s="466">
        <v>42500</v>
      </c>
    </row>
    <row r="270" spans="1:14" ht="12.75" customHeight="1" thickBot="1" x14ac:dyDescent="0.25">
      <c r="A270" s="1667" t="s">
        <v>719</v>
      </c>
      <c r="B270" s="1674" t="s">
        <v>35</v>
      </c>
      <c r="C270" s="616"/>
      <c r="D270" s="1669">
        <f>SUM(D263:D269)</f>
        <v>222885</v>
      </c>
      <c r="E270" s="616"/>
      <c r="F270" s="616"/>
      <c r="G270" s="616"/>
      <c r="H270" s="616"/>
      <c r="I270" s="616"/>
      <c r="J270" s="616"/>
      <c r="K270" s="1669">
        <f>SUM(K263:K269)</f>
        <v>222885</v>
      </c>
      <c r="L270" s="1669">
        <f>SUM(L263:L269)</f>
        <v>297000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v>38888</v>
      </c>
      <c r="E276" s="616"/>
      <c r="F276" s="616"/>
      <c r="G276" s="616"/>
      <c r="H276" s="616"/>
      <c r="I276" s="616"/>
      <c r="J276" s="616"/>
      <c r="K276" s="1671">
        <f>D276</f>
        <v>38888</v>
      </c>
      <c r="L276" s="466"/>
    </row>
    <row r="277" spans="1:12" ht="12.75" customHeight="1" thickBot="1" x14ac:dyDescent="0.25">
      <c r="A277" s="1690" t="s">
        <v>37</v>
      </c>
      <c r="B277" s="1668" t="s">
        <v>36</v>
      </c>
      <c r="C277" s="616"/>
      <c r="D277" s="1669">
        <f>SUM(D272:D276)</f>
        <v>38888</v>
      </c>
      <c r="E277" s="616"/>
      <c r="F277" s="616"/>
      <c r="G277" s="616"/>
      <c r="H277" s="616"/>
      <c r="I277" s="616"/>
      <c r="J277" s="616"/>
      <c r="K277" s="1669">
        <f>SUM(K272:K276)</f>
        <v>38888</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357708</v>
      </c>
      <c r="E279" s="616"/>
      <c r="F279" s="616"/>
      <c r="G279" s="616"/>
      <c r="H279" s="616"/>
      <c r="I279" s="616"/>
      <c r="J279" s="616"/>
      <c r="K279" s="1676">
        <f>SUM(K238,K243,K257,K261,K270,K277,K278)</f>
        <v>357708</v>
      </c>
      <c r="L279" s="1676">
        <f>SUM(L238,L243,L257,L261,L270,L277,L278)</f>
        <v>401840</v>
      </c>
    </row>
    <row r="280" spans="1:12" ht="15.75" customHeight="1" thickTop="1" thickBot="1" x14ac:dyDescent="0.25">
      <c r="A280" s="1624" t="s">
        <v>875</v>
      </c>
      <c r="B280" s="1613">
        <v>3000</v>
      </c>
      <c r="C280" s="616"/>
      <c r="D280" s="576"/>
      <c r="E280" s="616"/>
      <c r="F280" s="616"/>
      <c r="G280" s="616"/>
      <c r="H280" s="616"/>
      <c r="I280" s="616"/>
      <c r="J280" s="616"/>
      <c r="K280" s="1678">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1842</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5" t="s">
        <v>505</v>
      </c>
      <c r="B295" s="2186"/>
      <c r="C295" s="616"/>
      <c r="D295" s="1669">
        <f>SUM(D229,D279,D280,D285)</f>
        <v>500313</v>
      </c>
      <c r="E295" s="616"/>
      <c r="F295" s="616"/>
      <c r="G295" s="616"/>
      <c r="H295" s="1669">
        <f>H293</f>
        <v>0</v>
      </c>
      <c r="I295" s="616"/>
      <c r="J295" s="616"/>
      <c r="K295" s="1669">
        <f>SUM(K229,K279,K280,K285,K293,K294)</f>
        <v>500313</v>
      </c>
      <c r="L295" s="1669">
        <f>SUM(L229,L279,L280,L285,L293,L294)</f>
        <v>558708</v>
      </c>
    </row>
    <row r="296" spans="1:14" ht="13.5" thickTop="1" x14ac:dyDescent="0.2">
      <c r="A296" s="2167" t="s">
        <v>996</v>
      </c>
      <c r="B296" s="2168"/>
      <c r="C296" s="616"/>
      <c r="D296" s="618"/>
      <c r="E296" s="616"/>
      <c r="F296" s="616"/>
      <c r="G296" s="616"/>
      <c r="H296" s="687"/>
      <c r="I296" s="616"/>
      <c r="J296" s="616"/>
      <c r="K296" s="1683">
        <f>'Revenues 9-14'!G268-'Expenditures 15-22'!K295</f>
        <v>59137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143</v>
      </c>
      <c r="B298" s="217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1357525</v>
      </c>
      <c r="H301" s="466"/>
      <c r="I301" s="467"/>
      <c r="J301" s="467"/>
      <c r="K301" s="1670">
        <f>SUM(C301:J301)</f>
        <v>1357525</v>
      </c>
      <c r="L301" s="467">
        <v>1550000</v>
      </c>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1357525</v>
      </c>
      <c r="H303" s="1676">
        <f t="shared" si="23"/>
        <v>0</v>
      </c>
      <c r="I303" s="1676">
        <f t="shared" si="23"/>
        <v>0</v>
      </c>
      <c r="J303" s="1676">
        <f t="shared" si="23"/>
        <v>0</v>
      </c>
      <c r="K303" s="1676">
        <f t="shared" si="23"/>
        <v>1357525</v>
      </c>
      <c r="L303" s="1676">
        <f t="shared" si="23"/>
        <v>1550000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2" t="s">
        <v>277</v>
      </c>
      <c r="B312" s="2183"/>
      <c r="C312" s="1669">
        <f>SUM(C303)</f>
        <v>0</v>
      </c>
      <c r="D312" s="1669">
        <f>SUM(D303)</f>
        <v>0</v>
      </c>
      <c r="E312" s="1669">
        <f>SUM(E303,E310)</f>
        <v>0</v>
      </c>
      <c r="F312" s="1669">
        <f>SUM(F303)</f>
        <v>0</v>
      </c>
      <c r="G312" s="1669">
        <f>SUM(G303)</f>
        <v>1357525</v>
      </c>
      <c r="H312" s="1669">
        <f>SUM(H303,H310)</f>
        <v>0</v>
      </c>
      <c r="I312" s="1669">
        <f>SUM(I303)</f>
        <v>0</v>
      </c>
      <c r="J312" s="1669">
        <f>SUM(J303)</f>
        <v>0</v>
      </c>
      <c r="K312" s="1669">
        <f>SUM(K303,K310,K311)</f>
        <v>1357525</v>
      </c>
      <c r="L312" s="1669">
        <f>SUM(L303,L310,L311)</f>
        <v>1550000</v>
      </c>
      <c r="M312" s="665"/>
      <c r="N312" s="665"/>
    </row>
    <row r="313" spans="1:14" ht="13.5" thickTop="1" x14ac:dyDescent="0.2">
      <c r="A313" s="2178" t="s">
        <v>996</v>
      </c>
      <c r="B313" s="2179"/>
      <c r="C313" s="626"/>
      <c r="D313" s="626"/>
      <c r="E313" s="626"/>
      <c r="F313" s="626"/>
      <c r="G313" s="626"/>
      <c r="H313" s="626"/>
      <c r="I313" s="626"/>
      <c r="J313" s="626"/>
      <c r="K313" s="1684">
        <f>'Revenues 9-14'!H268-'Expenditures 15-22'!K312</f>
        <v>-1308783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149</v>
      </c>
      <c r="B315" s="219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898</v>
      </c>
      <c r="B317" s="219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1803</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0">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1848</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1842</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1844</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1849</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80" t="s">
        <v>996</v>
      </c>
      <c r="B343" s="2181"/>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966</v>
      </c>
      <c r="B345" s="217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11535</v>
      </c>
      <c r="H348" s="466"/>
      <c r="I348" s="467"/>
      <c r="J348" s="467"/>
      <c r="K348" s="1670">
        <f>SUM(C348:J348)</f>
        <v>11535</v>
      </c>
      <c r="L348" s="466">
        <v>180000</v>
      </c>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11535</v>
      </c>
      <c r="H350" s="1669">
        <f t="shared" si="26"/>
        <v>0</v>
      </c>
      <c r="I350" s="1669">
        <f t="shared" si="26"/>
        <v>0</v>
      </c>
      <c r="J350" s="1669">
        <f t="shared" si="26"/>
        <v>0</v>
      </c>
      <c r="K350" s="1669">
        <f t="shared" si="26"/>
        <v>11535</v>
      </c>
      <c r="L350" s="1669">
        <f t="shared" si="26"/>
        <v>180000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11535</v>
      </c>
      <c r="H352" s="1669">
        <f t="shared" si="27"/>
        <v>0</v>
      </c>
      <c r="I352" s="1669">
        <f t="shared" si="27"/>
        <v>0</v>
      </c>
      <c r="J352" s="1669">
        <f t="shared" si="27"/>
        <v>0</v>
      </c>
      <c r="K352" s="1669">
        <f t="shared" si="27"/>
        <v>11535</v>
      </c>
      <c r="L352" s="1669">
        <f t="shared" si="27"/>
        <v>180000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1850</v>
      </c>
      <c r="B354" s="683" t="s">
        <v>1842</v>
      </c>
      <c r="C354" s="616"/>
      <c r="D354" s="616"/>
      <c r="E354" s="616"/>
      <c r="F354" s="616"/>
      <c r="G354" s="616"/>
      <c r="H354" s="474"/>
      <c r="I354" s="701"/>
      <c r="J354" s="616"/>
      <c r="K354" s="1698">
        <f>H354</f>
        <v>0</v>
      </c>
      <c r="L354" s="471"/>
    </row>
    <row r="355" spans="1:14" ht="12.75" customHeight="1" x14ac:dyDescent="0.2">
      <c r="A355" s="1513" t="s">
        <v>1851</v>
      </c>
      <c r="B355" s="690" t="s">
        <v>1844</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11535</v>
      </c>
      <c r="H367" s="1669">
        <f t="shared" si="28"/>
        <v>0</v>
      </c>
      <c r="I367" s="1669">
        <f t="shared" si="28"/>
        <v>0</v>
      </c>
      <c r="J367" s="1669">
        <f t="shared" si="28"/>
        <v>0</v>
      </c>
      <c r="K367" s="1669">
        <f t="shared" si="28"/>
        <v>11535</v>
      </c>
      <c r="L367" s="1669">
        <f t="shared" si="28"/>
        <v>180000</v>
      </c>
    </row>
    <row r="368" spans="1:14" ht="13.5" thickTop="1" x14ac:dyDescent="0.2">
      <c r="A368" s="2167" t="s">
        <v>996</v>
      </c>
      <c r="B368" s="2168"/>
      <c r="C368" s="654"/>
      <c r="D368" s="654"/>
      <c r="E368" s="626"/>
      <c r="F368" s="626"/>
      <c r="G368" s="626"/>
      <c r="H368" s="626"/>
      <c r="I368" s="626"/>
      <c r="J368" s="623"/>
      <c r="K368" s="1670">
        <f>'Revenues 9-14'!K268-'Expenditures 15-22'!K367</f>
        <v>287596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L31" sqref="L3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94" t="s">
        <v>1800</v>
      </c>
      <c r="B2" s="1528" t="s">
        <v>1948</v>
      </c>
      <c r="C2" s="714" t="s">
        <v>1949</v>
      </c>
      <c r="D2" s="714" t="s">
        <v>1950</v>
      </c>
      <c r="E2" s="714" t="s">
        <v>1951</v>
      </c>
      <c r="F2" s="714" t="s">
        <v>1952</v>
      </c>
    </row>
    <row r="3" spans="1:6" ht="12" customHeight="1" x14ac:dyDescent="0.2">
      <c r="A3" s="2195"/>
      <c r="B3" s="1525"/>
      <c r="C3" s="1526"/>
      <c r="D3" s="1527" t="s">
        <v>256</v>
      </c>
      <c r="E3" s="1526"/>
      <c r="F3" s="1527" t="s">
        <v>257</v>
      </c>
    </row>
    <row r="4" spans="1:6" ht="13.7" customHeight="1" x14ac:dyDescent="0.2">
      <c r="A4" s="715" t="s">
        <v>1155</v>
      </c>
      <c r="B4" s="1748">
        <f>'Revenues 9-14'!C5</f>
        <v>5679042</v>
      </c>
      <c r="C4" s="1524"/>
      <c r="D4" s="1751">
        <f>B4-C4</f>
        <v>5679042</v>
      </c>
      <c r="E4" s="1524">
        <v>5842768</v>
      </c>
      <c r="F4" s="1751">
        <f>E4-C4</f>
        <v>5842768</v>
      </c>
    </row>
    <row r="5" spans="1:6" ht="13.7" customHeight="1" x14ac:dyDescent="0.2">
      <c r="A5" s="715" t="s">
        <v>870</v>
      </c>
      <c r="B5" s="1749">
        <f>'Revenues 9-14'!D5</f>
        <v>1526773</v>
      </c>
      <c r="C5" s="585"/>
      <c r="D5" s="1752">
        <f t="shared" ref="D5:D18" si="0">B5-C5</f>
        <v>1526773</v>
      </c>
      <c r="E5" s="585">
        <v>1570878</v>
      </c>
      <c r="F5" s="1752">
        <f>E5-C5</f>
        <v>1570878</v>
      </c>
    </row>
    <row r="6" spans="1:6" ht="13.7" customHeight="1" x14ac:dyDescent="0.2">
      <c r="A6" s="715" t="s">
        <v>411</v>
      </c>
      <c r="B6" s="1749">
        <f>'Revenues 9-14'!E5</f>
        <v>498684</v>
      </c>
      <c r="C6" s="585"/>
      <c r="D6" s="1752">
        <f t="shared" si="0"/>
        <v>498684</v>
      </c>
      <c r="E6" s="585">
        <v>493570</v>
      </c>
      <c r="F6" s="1752">
        <f t="shared" ref="F6:F18" si="1">E6-C6</f>
        <v>493570</v>
      </c>
    </row>
    <row r="7" spans="1:6" ht="13.7" customHeight="1" x14ac:dyDescent="0.2">
      <c r="A7" s="715" t="s">
        <v>155</v>
      </c>
      <c r="B7" s="1749">
        <f>'Revenues 9-14'!F5</f>
        <v>735713</v>
      </c>
      <c r="C7" s="585"/>
      <c r="D7" s="1752">
        <f t="shared" si="0"/>
        <v>735713</v>
      </c>
      <c r="E7" s="585">
        <v>757003</v>
      </c>
      <c r="F7" s="1752">
        <f t="shared" si="1"/>
        <v>757003</v>
      </c>
    </row>
    <row r="8" spans="1:6" ht="13.7" customHeight="1" x14ac:dyDescent="0.2">
      <c r="A8" s="715" t="s">
        <v>1179</v>
      </c>
      <c r="B8" s="1749">
        <f>'Revenues 9-14'!G5</f>
        <v>173484</v>
      </c>
      <c r="C8" s="585"/>
      <c r="D8" s="1752">
        <f t="shared" si="0"/>
        <v>173484</v>
      </c>
      <c r="E8" s="585">
        <v>178520</v>
      </c>
      <c r="F8" s="1752">
        <f t="shared" si="1"/>
        <v>178520</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213602</v>
      </c>
      <c r="C10" s="585"/>
      <c r="D10" s="1752">
        <f t="shared" si="0"/>
        <v>213602</v>
      </c>
      <c r="E10" s="585">
        <v>217210</v>
      </c>
      <c r="F10" s="1752">
        <f t="shared" si="1"/>
        <v>217210</v>
      </c>
    </row>
    <row r="11" spans="1:6" x14ac:dyDescent="0.2">
      <c r="A11" s="715" t="s">
        <v>409</v>
      </c>
      <c r="B11" s="1749">
        <f>'Revenues 9-14'!J5</f>
        <v>0</v>
      </c>
      <c r="C11" s="585"/>
      <c r="D11" s="1752">
        <f t="shared" si="0"/>
        <v>0</v>
      </c>
      <c r="E11" s="585"/>
      <c r="F11" s="1752">
        <f t="shared" si="1"/>
        <v>0</v>
      </c>
    </row>
    <row r="12" spans="1:6" ht="13.7" customHeight="1" x14ac:dyDescent="0.2">
      <c r="A12" s="715" t="s">
        <v>157</v>
      </c>
      <c r="B12" s="1749">
        <f>'Revenues 9-14'!K5</f>
        <v>277707</v>
      </c>
      <c r="C12" s="585"/>
      <c r="D12" s="1752">
        <f t="shared" si="0"/>
        <v>277707</v>
      </c>
      <c r="E12" s="585">
        <v>285800</v>
      </c>
      <c r="F12" s="1752">
        <f t="shared" si="1"/>
        <v>285800</v>
      </c>
    </row>
    <row r="13" spans="1:6" ht="13.7" customHeight="1" x14ac:dyDescent="0.2">
      <c r="A13" s="715" t="s">
        <v>936</v>
      </c>
      <c r="B13" s="1749">
        <f>SUM('Revenues 9-14'!C6:D6)</f>
        <v>277708</v>
      </c>
      <c r="C13" s="585"/>
      <c r="D13" s="1752">
        <f t="shared" si="0"/>
        <v>277708</v>
      </c>
      <c r="E13" s="585">
        <v>284405</v>
      </c>
      <c r="F13" s="1752">
        <f t="shared" si="1"/>
        <v>284405</v>
      </c>
    </row>
    <row r="14" spans="1:6" ht="13.7" customHeight="1" x14ac:dyDescent="0.2">
      <c r="A14" s="715" t="s">
        <v>410</v>
      </c>
      <c r="B14" s="1749">
        <f>SUM('Revenues 9-14'!C7:D7,'Revenues 9-14'!F7:H7)</f>
        <v>111872</v>
      </c>
      <c r="C14" s="585"/>
      <c r="D14" s="1752">
        <f t="shared" si="0"/>
        <v>111872</v>
      </c>
      <c r="E14" s="585">
        <v>115697</v>
      </c>
      <c r="F14" s="1752">
        <f t="shared" si="1"/>
        <v>115697</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323953</v>
      </c>
      <c r="C16" s="585"/>
      <c r="D16" s="1752">
        <f t="shared" si="0"/>
        <v>323953</v>
      </c>
      <c r="E16" s="585">
        <v>339742</v>
      </c>
      <c r="F16" s="1752">
        <f t="shared" si="1"/>
        <v>339742</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9818538</v>
      </c>
      <c r="C19" s="1750">
        <f>SUM(C4:C18)</f>
        <v>0</v>
      </c>
      <c r="D19" s="1750">
        <f>SUM(D4:D18)</f>
        <v>9818538</v>
      </c>
      <c r="E19" s="1750">
        <f>SUM(E4:E18)</f>
        <v>10085593</v>
      </c>
      <c r="F19" s="1750">
        <f>SUM(F4:F18)</f>
        <v>10085593</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H33" sqref="H31:H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629</v>
      </c>
      <c r="B1" s="2214"/>
      <c r="C1" s="721"/>
    </row>
    <row r="2" spans="1:7" ht="33.75" x14ac:dyDescent="0.2">
      <c r="A2" s="2221" t="s">
        <v>1800</v>
      </c>
      <c r="B2" s="2222"/>
      <c r="C2" s="1883" t="s">
        <v>1953</v>
      </c>
      <c r="D2" s="723" t="s">
        <v>1954</v>
      </c>
      <c r="E2" s="723" t="s">
        <v>1955</v>
      </c>
      <c r="F2" s="1883" t="s">
        <v>1956</v>
      </c>
    </row>
    <row r="3" spans="1:7" ht="15.75" customHeight="1" x14ac:dyDescent="0.2">
      <c r="A3" s="2223" t="s">
        <v>1114</v>
      </c>
      <c r="B3" s="2224"/>
      <c r="C3" s="2217"/>
      <c r="D3" s="2218"/>
      <c r="E3" s="2218"/>
      <c r="F3" s="2219"/>
    </row>
    <row r="4" spans="1:7" ht="12.75" customHeight="1" thickBot="1" x14ac:dyDescent="0.25">
      <c r="A4" s="2211" t="s">
        <v>630</v>
      </c>
      <c r="B4" s="2212"/>
      <c r="C4" s="581"/>
      <c r="D4" s="581"/>
      <c r="E4" s="581"/>
      <c r="F4" s="1754">
        <f>SUM(C4+D4)-E4</f>
        <v>0</v>
      </c>
    </row>
    <row r="5" spans="1:7" ht="15.75" customHeight="1" thickTop="1" x14ac:dyDescent="0.2">
      <c r="A5" s="2215" t="s">
        <v>1110</v>
      </c>
      <c r="B5" s="2210"/>
      <c r="C5" s="2204"/>
      <c r="D5" s="2205"/>
      <c r="E5" s="2205"/>
      <c r="F5" s="220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07" t="s">
        <v>631</v>
      </c>
      <c r="B15" s="2208"/>
      <c r="C15" s="1754">
        <f>SUM(C6:C14)</f>
        <v>0</v>
      </c>
      <c r="D15" s="1754">
        <f>SUM(D6:D14)</f>
        <v>0</v>
      </c>
      <c r="E15" s="1754">
        <f>SUM(E6:E14)</f>
        <v>0</v>
      </c>
      <c r="F15" s="1754">
        <f>SUM(F6:F14)</f>
        <v>0</v>
      </c>
      <c r="G15" s="552"/>
    </row>
    <row r="16" spans="1:7" s="202" customFormat="1" ht="15.75" customHeight="1" thickTop="1" x14ac:dyDescent="0.2">
      <c r="A16" s="2220" t="s">
        <v>1111</v>
      </c>
      <c r="B16" s="2210"/>
      <c r="C16" s="2204"/>
      <c r="D16" s="2205"/>
      <c r="E16" s="2205"/>
      <c r="F16" s="2206"/>
    </row>
    <row r="17" spans="1:11" ht="12.75" customHeight="1" thickBot="1" x14ac:dyDescent="0.25">
      <c r="A17" s="2202" t="s">
        <v>64</v>
      </c>
      <c r="B17" s="2203"/>
      <c r="C17" s="726"/>
      <c r="D17" s="585"/>
      <c r="E17" s="726"/>
      <c r="F17" s="1754">
        <f>SUM(C17+D17)-E17</f>
        <v>0</v>
      </c>
    </row>
    <row r="18" spans="1:11" ht="12.75" customHeight="1" thickTop="1" thickBot="1" x14ac:dyDescent="0.25">
      <c r="A18" s="2202" t="s">
        <v>6</v>
      </c>
      <c r="B18" s="2203"/>
      <c r="C18" s="726"/>
      <c r="D18" s="585"/>
      <c r="E18" s="726"/>
      <c r="F18" s="1754">
        <f>SUM(C18+D18)-E18</f>
        <v>0</v>
      </c>
    </row>
    <row r="19" spans="1:11" ht="12.75" customHeight="1" thickTop="1" thickBot="1" x14ac:dyDescent="0.25">
      <c r="A19" s="2202" t="s">
        <v>388</v>
      </c>
      <c r="B19" s="2203"/>
      <c r="C19" s="726"/>
      <c r="D19" s="585"/>
      <c r="E19" s="726"/>
      <c r="F19" s="1754">
        <f>SUM(C19+D19)-E19</f>
        <v>0</v>
      </c>
    </row>
    <row r="20" spans="1:11" ht="12.75" customHeight="1" thickTop="1" thickBot="1" x14ac:dyDescent="0.25">
      <c r="A20" s="2202" t="s">
        <v>448</v>
      </c>
      <c r="B20" s="2203"/>
      <c r="C20" s="726"/>
      <c r="D20" s="585"/>
      <c r="E20" s="726"/>
      <c r="F20" s="1754">
        <f>SUM(C20+D20)-E20</f>
        <v>0</v>
      </c>
    </row>
    <row r="21" spans="1:11" ht="14.25" thickTop="1" thickBot="1" x14ac:dyDescent="0.25">
      <c r="A21" s="2207" t="s">
        <v>632</v>
      </c>
      <c r="B21" s="2208"/>
      <c r="C21" s="1754">
        <f>SUM(C17:C20)</f>
        <v>0</v>
      </c>
      <c r="D21" s="1754">
        <f>SUM(D17:D20)</f>
        <v>0</v>
      </c>
      <c r="E21" s="1754">
        <f>SUM(E17:E20)</f>
        <v>0</v>
      </c>
      <c r="F21" s="1754">
        <f>SUM(F17:F20)</f>
        <v>0</v>
      </c>
      <c r="G21" s="552"/>
    </row>
    <row r="22" spans="1:11" ht="15.75" customHeight="1" thickTop="1" x14ac:dyDescent="0.2">
      <c r="A22" s="2209" t="s">
        <v>1112</v>
      </c>
      <c r="B22" s="2210"/>
      <c r="C22" s="2204"/>
      <c r="D22" s="2205"/>
      <c r="E22" s="2205"/>
      <c r="F22" s="2206"/>
    </row>
    <row r="23" spans="1:11" ht="13.5" thickBot="1" x14ac:dyDescent="0.25">
      <c r="A23" s="2211" t="s">
        <v>633</v>
      </c>
      <c r="B23" s="2212"/>
      <c r="C23" s="581"/>
      <c r="D23" s="581"/>
      <c r="E23" s="581"/>
      <c r="F23" s="1754">
        <f>SUM(C23+D23)-E23</f>
        <v>0</v>
      </c>
      <c r="G23" s="552"/>
    </row>
    <row r="24" spans="1:11" ht="15.75" customHeight="1" thickTop="1" x14ac:dyDescent="0.2">
      <c r="A24" s="2209" t="s">
        <v>1113</v>
      </c>
      <c r="B24" s="2210"/>
      <c r="C24" s="2204"/>
      <c r="D24" s="2205"/>
      <c r="E24" s="2205"/>
      <c r="F24" s="2206"/>
    </row>
    <row r="25" spans="1:11" ht="13.5" thickBot="1" x14ac:dyDescent="0.25">
      <c r="A25" s="2211" t="s">
        <v>634</v>
      </c>
      <c r="B25" s="2212"/>
      <c r="C25" s="581"/>
      <c r="D25" s="581"/>
      <c r="E25" s="581"/>
      <c r="F25" s="1754">
        <f>SUM(C25+D25)-E25</f>
        <v>0</v>
      </c>
      <c r="G25" s="552"/>
    </row>
    <row r="26" spans="1:11" ht="15.75" customHeight="1" thickTop="1" x14ac:dyDescent="0.2">
      <c r="A26" s="2215" t="s">
        <v>657</v>
      </c>
      <c r="B26" s="2210"/>
      <c r="C26" s="727"/>
      <c r="D26" s="727"/>
      <c r="E26" s="727"/>
      <c r="F26" s="728"/>
    </row>
    <row r="27" spans="1:11" ht="13.5" thickBot="1" x14ac:dyDescent="0.25">
      <c r="A27" s="2207" t="s">
        <v>1070</v>
      </c>
      <c r="B27" s="2208"/>
      <c r="C27" s="585"/>
      <c r="D27" s="585"/>
      <c r="E27" s="585"/>
      <c r="F27" s="1754">
        <f>SUM(C27+D27)-E27</f>
        <v>0</v>
      </c>
      <c r="G27" s="552"/>
    </row>
    <row r="28" spans="1:11" ht="7.5" customHeight="1" thickTop="1" x14ac:dyDescent="0.2">
      <c r="A28" s="593"/>
    </row>
    <row r="29" spans="1:11" ht="23.25" customHeight="1" x14ac:dyDescent="0.2">
      <c r="A29" s="2213" t="s">
        <v>582</v>
      </c>
      <c r="B29" s="2214"/>
      <c r="C29" s="729"/>
      <c r="D29" s="729"/>
      <c r="E29" s="729"/>
      <c r="F29" s="729"/>
      <c r="G29" s="729"/>
      <c r="H29" s="729"/>
      <c r="I29" s="729"/>
      <c r="J29" s="729"/>
    </row>
    <row r="30" spans="1:11" ht="33.75" x14ac:dyDescent="0.2">
      <c r="A30" s="1529" t="s">
        <v>1071</v>
      </c>
      <c r="B30" s="730" t="s">
        <v>1124</v>
      </c>
      <c r="C30" s="1884" t="s">
        <v>583</v>
      </c>
      <c r="D30" s="1884" t="s">
        <v>1673</v>
      </c>
      <c r="E30" s="1884" t="s">
        <v>1957</v>
      </c>
      <c r="F30" s="1884" t="s">
        <v>1958</v>
      </c>
      <c r="G30" s="1884" t="s">
        <v>1908</v>
      </c>
      <c r="H30" s="1884" t="s">
        <v>1959</v>
      </c>
      <c r="I30" s="1884" t="s">
        <v>1960</v>
      </c>
      <c r="J30" s="1885" t="s">
        <v>2</v>
      </c>
      <c r="K30" s="731"/>
    </row>
    <row r="31" spans="1:11" ht="12" customHeight="1" x14ac:dyDescent="0.2">
      <c r="A31" s="732" t="s">
        <v>2071</v>
      </c>
      <c r="B31" s="733">
        <v>40787</v>
      </c>
      <c r="C31" s="734">
        <v>1936000</v>
      </c>
      <c r="D31" s="735">
        <v>6</v>
      </c>
      <c r="E31" s="734">
        <v>1439000</v>
      </c>
      <c r="F31" s="734"/>
      <c r="G31" s="734"/>
      <c r="H31" s="734">
        <v>88000</v>
      </c>
      <c r="I31" s="1755">
        <f>((E31+F31)-H31)+G31</f>
        <v>1351000</v>
      </c>
      <c r="J31" s="734">
        <v>1351000</v>
      </c>
      <c r="K31" s="736"/>
    </row>
    <row r="32" spans="1:11" ht="12" customHeight="1" x14ac:dyDescent="0.2">
      <c r="A32" s="732" t="s">
        <v>2072</v>
      </c>
      <c r="B32" s="733">
        <v>41403</v>
      </c>
      <c r="C32" s="734">
        <v>3400000</v>
      </c>
      <c r="D32" s="735">
        <v>3</v>
      </c>
      <c r="E32" s="734">
        <v>2680000</v>
      </c>
      <c r="F32" s="734"/>
      <c r="G32" s="734"/>
      <c r="H32" s="734">
        <v>190000</v>
      </c>
      <c r="I32" s="1755">
        <f>((E32+F32)-H32)+G32</f>
        <v>2490000</v>
      </c>
      <c r="J32" s="734">
        <v>2490000</v>
      </c>
      <c r="K32" s="736"/>
    </row>
    <row r="33" spans="1:11" ht="12" customHeight="1" x14ac:dyDescent="0.2">
      <c r="A33" s="732" t="s">
        <v>2072</v>
      </c>
      <c r="B33" s="733">
        <v>41403</v>
      </c>
      <c r="C33" s="734">
        <v>6410000</v>
      </c>
      <c r="D33" s="735">
        <v>3</v>
      </c>
      <c r="E33" s="734">
        <v>4665000</v>
      </c>
      <c r="F33" s="734"/>
      <c r="G33" s="734"/>
      <c r="H33" s="734">
        <v>360000</v>
      </c>
      <c r="I33" s="1755">
        <f t="shared" ref="I33:I48" si="1">((E33+F33)-H33)+G33</f>
        <v>4305000</v>
      </c>
      <c r="J33" s="734">
        <v>4305000</v>
      </c>
      <c r="K33" s="736"/>
    </row>
    <row r="34" spans="1:11" ht="12" customHeight="1" x14ac:dyDescent="0.2">
      <c r="A34" s="732" t="s">
        <v>2073</v>
      </c>
      <c r="B34" s="733" t="s">
        <v>2076</v>
      </c>
      <c r="C34" s="734"/>
      <c r="D34" s="735">
        <v>7</v>
      </c>
      <c r="E34" s="734">
        <v>1613793</v>
      </c>
      <c r="F34" s="734"/>
      <c r="G34" s="734">
        <f>922404-390181</f>
        <v>532223</v>
      </c>
      <c r="H34" s="734">
        <v>269545</v>
      </c>
      <c r="I34" s="1755">
        <f t="shared" si="1"/>
        <v>1876471</v>
      </c>
      <c r="J34" s="734">
        <v>1876471</v>
      </c>
      <c r="K34" s="737"/>
    </row>
    <row r="35" spans="1:11" ht="12" customHeight="1" x14ac:dyDescent="0.2">
      <c r="A35" s="732" t="s">
        <v>2074</v>
      </c>
      <c r="B35" s="733">
        <v>42039</v>
      </c>
      <c r="C35" s="738">
        <v>2303639</v>
      </c>
      <c r="D35" s="735">
        <v>7</v>
      </c>
      <c r="E35" s="738">
        <v>1801240</v>
      </c>
      <c r="F35" s="738"/>
      <c r="G35" s="738"/>
      <c r="H35" s="738">
        <v>177488</v>
      </c>
      <c r="I35" s="1755">
        <f t="shared" si="1"/>
        <v>1623752</v>
      </c>
      <c r="J35" s="738">
        <f>1623752-1268127</f>
        <v>355625</v>
      </c>
      <c r="K35" s="737"/>
    </row>
    <row r="36" spans="1:11" ht="12" customHeight="1" x14ac:dyDescent="0.2">
      <c r="A36" s="732" t="s">
        <v>2075</v>
      </c>
      <c r="B36" s="733">
        <v>42816</v>
      </c>
      <c r="C36" s="734">
        <v>87622</v>
      </c>
      <c r="D36" s="735">
        <v>7</v>
      </c>
      <c r="E36" s="734">
        <v>61966</v>
      </c>
      <c r="F36" s="734"/>
      <c r="G36" s="734"/>
      <c r="H36" s="734">
        <v>21624</v>
      </c>
      <c r="I36" s="1755">
        <f t="shared" si="1"/>
        <v>40342</v>
      </c>
      <c r="J36" s="734">
        <v>40342</v>
      </c>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14137261</v>
      </c>
      <c r="D49" s="745"/>
      <c r="E49" s="1755">
        <f t="shared" ref="E49:J49" si="2">SUM(E31:E48)</f>
        <v>12260999</v>
      </c>
      <c r="F49" s="1755">
        <f t="shared" si="2"/>
        <v>0</v>
      </c>
      <c r="G49" s="1755">
        <f t="shared" si="2"/>
        <v>532223</v>
      </c>
      <c r="H49" s="1755">
        <f t="shared" si="2"/>
        <v>1106657</v>
      </c>
      <c r="I49" s="1755">
        <f t="shared" si="2"/>
        <v>11686565</v>
      </c>
      <c r="J49" s="1755">
        <f t="shared" si="2"/>
        <v>10418438</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96" t="s">
        <v>584</v>
      </c>
      <c r="C52" s="2197"/>
      <c r="D52" s="2197"/>
      <c r="E52" s="749" t="s">
        <v>845</v>
      </c>
      <c r="F52" s="2198" t="s">
        <v>2152</v>
      </c>
      <c r="G52" s="2199"/>
      <c r="H52" s="736"/>
      <c r="I52" s="736"/>
      <c r="J52" s="746"/>
    </row>
    <row r="53" spans="1:11" ht="11.25" customHeight="1" x14ac:dyDescent="0.2">
      <c r="A53" s="750" t="s">
        <v>913</v>
      </c>
      <c r="B53" s="751" t="s">
        <v>951</v>
      </c>
      <c r="C53" s="746"/>
      <c r="D53" s="737"/>
      <c r="E53" s="749" t="s">
        <v>497</v>
      </c>
      <c r="F53" s="2200"/>
      <c r="G53" s="2201"/>
      <c r="H53" s="736"/>
      <c r="I53" s="736"/>
      <c r="J53" s="746"/>
    </row>
    <row r="54" spans="1:11" ht="11.25" customHeight="1" x14ac:dyDescent="0.2">
      <c r="A54" s="752" t="s">
        <v>914</v>
      </c>
      <c r="B54" s="747" t="s">
        <v>952</v>
      </c>
      <c r="C54" s="746"/>
      <c r="D54" s="737"/>
      <c r="E54" s="749" t="s">
        <v>498</v>
      </c>
      <c r="F54" s="2200"/>
      <c r="G54" s="220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5" t="s">
        <v>856</v>
      </c>
      <c r="B1" s="2226"/>
      <c r="C1" s="2226"/>
      <c r="D1" s="2226"/>
      <c r="E1" s="2226"/>
      <c r="F1" s="2226"/>
      <c r="G1" s="2227"/>
      <c r="H1" s="1530"/>
      <c r="I1" s="760"/>
      <c r="J1" s="433"/>
    </row>
    <row r="2" spans="1:11" ht="26.25" x14ac:dyDescent="0.2">
      <c r="A2" s="2244" t="s">
        <v>1677</v>
      </c>
      <c r="B2" s="2245"/>
      <c r="C2" s="2245"/>
      <c r="D2" s="2245"/>
      <c r="E2" s="2246"/>
      <c r="F2" s="761" t="s">
        <v>904</v>
      </c>
      <c r="G2" s="762" t="s">
        <v>1674</v>
      </c>
      <c r="H2" s="762" t="s">
        <v>410</v>
      </c>
      <c r="I2" s="762" t="s">
        <v>1158</v>
      </c>
      <c r="J2" s="762" t="s">
        <v>1810</v>
      </c>
      <c r="K2" s="762" t="s">
        <v>138</v>
      </c>
    </row>
    <row r="3" spans="1:11" x14ac:dyDescent="0.2">
      <c r="A3" s="2247" t="s">
        <v>1961</v>
      </c>
      <c r="B3" s="2248"/>
      <c r="C3" s="2248"/>
      <c r="D3" s="2248"/>
      <c r="E3" s="2249"/>
      <c r="F3" s="763"/>
      <c r="G3" s="764"/>
      <c r="H3" s="764"/>
      <c r="I3" s="764"/>
      <c r="J3" s="765"/>
      <c r="K3" s="765"/>
    </row>
    <row r="4" spans="1:11" x14ac:dyDescent="0.2">
      <c r="A4" s="2250" t="s">
        <v>369</v>
      </c>
      <c r="B4" s="2251"/>
      <c r="C4" s="2251"/>
      <c r="D4" s="2251"/>
      <c r="E4" s="2197"/>
      <c r="F4" s="766"/>
      <c r="G4" s="767"/>
      <c r="H4" s="768"/>
      <c r="I4" s="767"/>
      <c r="J4" s="769"/>
      <c r="K4" s="769"/>
    </row>
    <row r="5" spans="1:11" x14ac:dyDescent="0.2">
      <c r="A5" s="2228" t="s">
        <v>1069</v>
      </c>
      <c r="B5" s="2229"/>
      <c r="C5" s="2229"/>
      <c r="D5" s="2229"/>
      <c r="E5" s="2230"/>
      <c r="F5" s="770" t="s">
        <v>848</v>
      </c>
      <c r="G5" s="771"/>
      <c r="H5" s="764">
        <v>111872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4900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40163</v>
      </c>
    </row>
    <row r="10" spans="1:11" x14ac:dyDescent="0.2">
      <c r="A10" s="2228" t="s">
        <v>1811</v>
      </c>
      <c r="B10" s="2229"/>
      <c r="C10" s="2229"/>
      <c r="D10" s="2229"/>
      <c r="E10" s="2231"/>
      <c r="F10" s="783" t="s">
        <v>862</v>
      </c>
      <c r="G10" s="782"/>
      <c r="H10" s="784"/>
      <c r="I10" s="764"/>
      <c r="J10" s="765"/>
      <c r="K10" s="765"/>
    </row>
    <row r="11" spans="1:11" x14ac:dyDescent="0.2">
      <c r="A11" s="2228" t="s">
        <v>160</v>
      </c>
      <c r="B11" s="2229"/>
      <c r="C11" s="2229"/>
      <c r="D11" s="2229"/>
      <c r="E11" s="2230"/>
      <c r="F11" s="770" t="s">
        <v>852</v>
      </c>
      <c r="G11" s="771"/>
      <c r="H11" s="764"/>
      <c r="I11" s="764"/>
      <c r="J11" s="765"/>
      <c r="K11" s="773"/>
    </row>
    <row r="12" spans="1:11" ht="13.5" thickBot="1" x14ac:dyDescent="0.25">
      <c r="A12" s="2255" t="s">
        <v>905</v>
      </c>
      <c r="B12" s="2256"/>
      <c r="C12" s="2256"/>
      <c r="D12" s="2256"/>
      <c r="E12" s="2257"/>
      <c r="F12" s="1756"/>
      <c r="G12" s="1757">
        <f>SUM(G5:G11)</f>
        <v>0</v>
      </c>
      <c r="H12" s="1757">
        <f>SUM(H5:H11)</f>
        <v>111872</v>
      </c>
      <c r="I12" s="1757">
        <f>SUM(I5:I11)</f>
        <v>0</v>
      </c>
      <c r="J12" s="1757">
        <f>SUM(J5:J11)</f>
        <v>0</v>
      </c>
      <c r="K12" s="1757">
        <f>SUM(K5:K11)</f>
        <v>45063</v>
      </c>
    </row>
    <row r="13" spans="1:11" ht="13.5" thickTop="1" x14ac:dyDescent="0.2">
      <c r="A13" s="2252" t="s">
        <v>370</v>
      </c>
      <c r="B13" s="2253"/>
      <c r="C13" s="2253"/>
      <c r="D13" s="2253"/>
      <c r="E13" s="2254"/>
      <c r="F13" s="785"/>
      <c r="G13" s="786"/>
      <c r="H13" s="787"/>
      <c r="I13" s="788"/>
      <c r="J13" s="788"/>
      <c r="K13" s="788"/>
    </row>
    <row r="14" spans="1:11" x14ac:dyDescent="0.2">
      <c r="A14" s="2235" t="s">
        <v>456</v>
      </c>
      <c r="B14" s="2235"/>
      <c r="C14" s="2235"/>
      <c r="D14" s="2235"/>
      <c r="E14" s="2236"/>
      <c r="F14" s="789" t="s">
        <v>854</v>
      </c>
      <c r="G14" s="782"/>
      <c r="H14" s="764">
        <v>111872</v>
      </c>
      <c r="I14" s="771"/>
      <c r="J14" s="773"/>
      <c r="K14" s="765">
        <v>45063</v>
      </c>
    </row>
    <row r="15" spans="1:11" x14ac:dyDescent="0.2">
      <c r="A15" s="2229" t="s">
        <v>4</v>
      </c>
      <c r="B15" s="2229"/>
      <c r="C15" s="2229"/>
      <c r="D15" s="2229"/>
      <c r="E15" s="2230"/>
      <c r="F15" s="789" t="s">
        <v>855</v>
      </c>
      <c r="G15" s="771"/>
      <c r="H15" s="764"/>
      <c r="I15" s="764"/>
      <c r="J15" s="765"/>
      <c r="K15" s="765"/>
    </row>
    <row r="16" spans="1:11" x14ac:dyDescent="0.2">
      <c r="A16" s="2229" t="s">
        <v>298</v>
      </c>
      <c r="B16" s="2229"/>
      <c r="C16" s="2229"/>
      <c r="D16" s="2229"/>
      <c r="E16" s="2230"/>
      <c r="F16" s="789" t="s">
        <v>923</v>
      </c>
      <c r="G16" s="772"/>
      <c r="H16" s="767"/>
      <c r="I16" s="767"/>
      <c r="J16" s="769"/>
      <c r="K16" s="769"/>
    </row>
    <row r="17" spans="1:11" x14ac:dyDescent="0.2">
      <c r="A17" s="2260" t="s">
        <v>935</v>
      </c>
      <c r="B17" s="2260"/>
      <c r="C17" s="2260"/>
      <c r="D17" s="2260"/>
      <c r="E17" s="2261"/>
      <c r="F17" s="790"/>
      <c r="G17" s="791"/>
      <c r="H17" s="792"/>
      <c r="I17" s="792"/>
      <c r="J17" s="793"/>
      <c r="K17" s="794"/>
    </row>
    <row r="18" spans="1:11" x14ac:dyDescent="0.2">
      <c r="A18" s="2239" t="s">
        <v>368</v>
      </c>
      <c r="B18" s="2240"/>
      <c r="C18" s="2240"/>
      <c r="D18" s="2240"/>
      <c r="E18" s="2241"/>
      <c r="F18" s="789" t="s">
        <v>932</v>
      </c>
      <c r="G18" s="782"/>
      <c r="H18" s="782"/>
      <c r="I18" s="782"/>
      <c r="J18" s="765"/>
      <c r="K18" s="795"/>
    </row>
    <row r="19" spans="1:11" ht="21.75" customHeight="1" x14ac:dyDescent="0.2">
      <c r="A19" s="2237" t="s">
        <v>1807</v>
      </c>
      <c r="B19" s="2237"/>
      <c r="C19" s="2237"/>
      <c r="D19" s="2237"/>
      <c r="E19" s="2238"/>
      <c r="F19" s="789" t="s">
        <v>933</v>
      </c>
      <c r="G19" s="782"/>
      <c r="H19" s="782"/>
      <c r="I19" s="782"/>
      <c r="J19" s="765"/>
      <c r="K19" s="795"/>
    </row>
    <row r="20" spans="1:11" x14ac:dyDescent="0.2">
      <c r="A20" s="2239" t="s">
        <v>1812</v>
      </c>
      <c r="B20" s="2240"/>
      <c r="C20" s="2240"/>
      <c r="D20" s="2240"/>
      <c r="E20" s="2241"/>
      <c r="F20" s="789" t="s">
        <v>934</v>
      </c>
      <c r="G20" s="782"/>
      <c r="H20" s="782"/>
      <c r="I20" s="782"/>
      <c r="J20" s="765"/>
      <c r="K20" s="795"/>
    </row>
    <row r="21" spans="1:11" ht="13.5" thickBot="1" x14ac:dyDescent="0.25">
      <c r="A21" s="2258" t="s">
        <v>638</v>
      </c>
      <c r="B21" s="2258"/>
      <c r="C21" s="2258"/>
      <c r="D21" s="2258"/>
      <c r="E21" s="2258"/>
      <c r="F21" s="1758"/>
      <c r="G21" s="792"/>
      <c r="H21" s="796"/>
      <c r="I21" s="796"/>
      <c r="J21" s="1759">
        <f>SUM(J18:J20)</f>
        <v>0</v>
      </c>
      <c r="K21" s="793"/>
    </row>
    <row r="22" spans="1:11" ht="13.5" thickTop="1" x14ac:dyDescent="0.2">
      <c r="A22" s="2229" t="s">
        <v>1813</v>
      </c>
      <c r="B22" s="2229"/>
      <c r="C22" s="2229"/>
      <c r="D22" s="2229"/>
      <c r="E22" s="2230"/>
      <c r="F22" s="789" t="s">
        <v>862</v>
      </c>
      <c r="G22" s="782"/>
      <c r="H22" s="764"/>
      <c r="I22" s="764"/>
      <c r="J22" s="797"/>
      <c r="K22" s="765"/>
    </row>
    <row r="23" spans="1:11" ht="13.5" thickBot="1" x14ac:dyDescent="0.25">
      <c r="A23" s="2259" t="s">
        <v>906</v>
      </c>
      <c r="B23" s="2258"/>
      <c r="C23" s="2258"/>
      <c r="D23" s="2258"/>
      <c r="E23" s="2258"/>
      <c r="F23" s="1760"/>
      <c r="G23" s="1757">
        <f>SUM(G14:G16,G21,G22)</f>
        <v>0</v>
      </c>
      <c r="H23" s="1757">
        <f>SUM(H14:H16,H21,H22)</f>
        <v>111872</v>
      </c>
      <c r="I23" s="1757">
        <f>SUM(I14:I16,I21,I22)</f>
        <v>0</v>
      </c>
      <c r="J23" s="1757">
        <f>SUM(J14:J16,J21,J22)</f>
        <v>0</v>
      </c>
      <c r="K23" s="1757">
        <f>SUM(K14:K16,K21,K22)</f>
        <v>45063</v>
      </c>
    </row>
    <row r="24" spans="1:11" ht="14.25" thickTop="1" thickBot="1" x14ac:dyDescent="0.25">
      <c r="A24" s="2259" t="s">
        <v>1962</v>
      </c>
      <c r="B24" s="2258"/>
      <c r="C24" s="2258"/>
      <c r="D24" s="2258"/>
      <c r="E24" s="2258"/>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1907</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2"/>
      <c r="I31" s="2233"/>
      <c r="J31" s="2233"/>
      <c r="K31" s="2233"/>
    </row>
    <row r="32" spans="1:11" x14ac:dyDescent="0.2">
      <c r="A32" s="809"/>
      <c r="B32" s="237"/>
      <c r="C32" s="237"/>
      <c r="D32" s="237"/>
      <c r="E32" s="805"/>
      <c r="F32" s="811" t="s">
        <v>540</v>
      </c>
      <c r="G32" s="764"/>
      <c r="H32" s="2234"/>
      <c r="I32" s="2233"/>
      <c r="J32" s="2233"/>
      <c r="K32" s="2233"/>
    </row>
    <row r="33" spans="1:11" ht="1.5" customHeight="1" x14ac:dyDescent="0.2">
      <c r="A33" s="812" t="s">
        <v>1169</v>
      </c>
      <c r="B33" s="364"/>
      <c r="C33" s="364"/>
      <c r="D33" s="364"/>
      <c r="E33" s="364"/>
      <c r="F33" s="364"/>
      <c r="G33" s="813"/>
      <c r="H33" s="2234"/>
      <c r="I33" s="2233"/>
      <c r="J33" s="2233"/>
      <c r="K33" s="2233"/>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9" t="s">
        <v>541</v>
      </c>
      <c r="B41" s="2242"/>
      <c r="C41" s="2242"/>
      <c r="D41" s="2242"/>
      <c r="E41" s="2242"/>
      <c r="F41" s="224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L31" sqref="L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1906</v>
      </c>
      <c r="B1" s="2265"/>
      <c r="C1" s="2266"/>
      <c r="D1" s="826"/>
      <c r="E1" s="827"/>
      <c r="F1" s="827"/>
      <c r="G1" s="828"/>
      <c r="H1" s="829"/>
      <c r="I1" s="830"/>
      <c r="J1" s="2262"/>
      <c r="K1" s="2263"/>
      <c r="L1" s="2263"/>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60099</v>
      </c>
      <c r="D5" s="841"/>
      <c r="E5" s="841"/>
      <c r="F5" s="1759">
        <f>(C5+D5)-E5</f>
        <v>60099</v>
      </c>
      <c r="G5" s="837"/>
      <c r="H5" s="842"/>
      <c r="I5" s="842"/>
      <c r="J5" s="842"/>
      <c r="K5" s="793"/>
      <c r="L5" s="1768">
        <f>F5-K5</f>
        <v>60099</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31370472</v>
      </c>
      <c r="D8" s="844">
        <v>531699</v>
      </c>
      <c r="E8" s="844"/>
      <c r="F8" s="1759">
        <f>(C8+D8)-E8</f>
        <v>31902171</v>
      </c>
      <c r="G8" s="843">
        <v>50</v>
      </c>
      <c r="H8" s="765">
        <v>12819409</v>
      </c>
      <c r="I8" s="765">
        <v>552996</v>
      </c>
      <c r="J8" s="765"/>
      <c r="K8" s="1768">
        <f>(H8+I8)-J8</f>
        <v>13372405</v>
      </c>
      <c r="L8" s="1768">
        <f>F8-K8</f>
        <v>18529766</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1678543</v>
      </c>
      <c r="D10" s="846"/>
      <c r="E10" s="846"/>
      <c r="F10" s="1763">
        <f>(C10+D10)-E10</f>
        <v>1678543</v>
      </c>
      <c r="G10" s="843">
        <v>20</v>
      </c>
      <c r="H10" s="847">
        <v>547695</v>
      </c>
      <c r="I10" s="847">
        <v>74396</v>
      </c>
      <c r="J10" s="847"/>
      <c r="K10" s="1768">
        <f>(H10+I10)-J10</f>
        <v>622091</v>
      </c>
      <c r="L10" s="1768">
        <f>F10-K10</f>
        <v>1056452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2579684</v>
      </c>
      <c r="D12" s="844">
        <v>237762</v>
      </c>
      <c r="E12" s="844">
        <v>80348</v>
      </c>
      <c r="F12" s="1759">
        <f>(C12+D12)-E12</f>
        <v>2737098</v>
      </c>
      <c r="G12" s="843">
        <v>10</v>
      </c>
      <c r="H12" s="765">
        <v>1576656</v>
      </c>
      <c r="I12" s="765">
        <v>266075</v>
      </c>
      <c r="J12" s="765">
        <v>80348</v>
      </c>
      <c r="K12" s="1768">
        <f>(H12+I12)-J12</f>
        <v>1762383</v>
      </c>
      <c r="L12" s="1768">
        <f>F12-K12</f>
        <v>974715</v>
      </c>
    </row>
    <row r="13" spans="1:14" ht="14.25" thickTop="1" thickBot="1" x14ac:dyDescent="0.25">
      <c r="A13" s="848" t="s">
        <v>1122</v>
      </c>
      <c r="B13" s="840">
        <v>252</v>
      </c>
      <c r="C13" s="844">
        <v>2259404</v>
      </c>
      <c r="D13" s="844">
        <v>117726</v>
      </c>
      <c r="E13" s="844">
        <v>779338</v>
      </c>
      <c r="F13" s="1759">
        <f>(C13+D13)-E13</f>
        <v>1597792</v>
      </c>
      <c r="G13" s="843">
        <v>5</v>
      </c>
      <c r="H13" s="765">
        <v>679020</v>
      </c>
      <c r="I13" s="765">
        <v>249779</v>
      </c>
      <c r="J13" s="765">
        <v>389154</v>
      </c>
      <c r="K13" s="1768">
        <f>(H13+I13)-J13</f>
        <v>539645</v>
      </c>
      <c r="L13" s="1768">
        <f>F13-K13</f>
        <v>1058147</v>
      </c>
    </row>
    <row r="14" spans="1:14" ht="14.25" thickTop="1" thickBot="1" x14ac:dyDescent="0.25">
      <c r="A14" s="848" t="s">
        <v>1123</v>
      </c>
      <c r="B14" s="840">
        <v>253</v>
      </c>
      <c r="C14" s="765"/>
      <c r="D14" s="765"/>
      <c r="E14" s="765"/>
      <c r="F14" s="1759">
        <f>(C14+D14)-E14</f>
        <v>0</v>
      </c>
      <c r="G14" s="843">
        <v>3</v>
      </c>
      <c r="H14" s="765">
        <v>0</v>
      </c>
      <c r="I14" s="765"/>
      <c r="J14" s="765"/>
      <c r="K14" s="1768">
        <f>(H14+I14)-J14</f>
        <v>0</v>
      </c>
      <c r="L14" s="1768">
        <f>F14-K14</f>
        <v>0</v>
      </c>
    </row>
    <row r="15" spans="1:14" ht="15" customHeight="1" thickTop="1" thickBot="1" x14ac:dyDescent="0.25">
      <c r="A15" s="1631" t="s">
        <v>528</v>
      </c>
      <c r="B15" s="1630">
        <v>260</v>
      </c>
      <c r="C15" s="844"/>
      <c r="D15" s="844">
        <v>896812</v>
      </c>
      <c r="E15" s="844"/>
      <c r="F15" s="1759">
        <f>(C15+D15)-E15</f>
        <v>896812</v>
      </c>
      <c r="G15" s="849" t="s">
        <v>862</v>
      </c>
      <c r="H15" s="781"/>
      <c r="I15" s="781"/>
      <c r="J15" s="781"/>
      <c r="K15" s="781"/>
      <c r="L15" s="1768">
        <f>F15-K15</f>
        <v>896812</v>
      </c>
    </row>
    <row r="16" spans="1:14" ht="15" customHeight="1" thickTop="1" thickBot="1" x14ac:dyDescent="0.25">
      <c r="A16" s="1764" t="s">
        <v>643</v>
      </c>
      <c r="B16" s="1765">
        <v>200</v>
      </c>
      <c r="C16" s="1759">
        <f>SUM(C3,C5:C6,C8:C10,C12:C15)</f>
        <v>37948202</v>
      </c>
      <c r="D16" s="1759">
        <f>SUM(D3,D5:D6,D8:D10,D12:D15)</f>
        <v>1783999</v>
      </c>
      <c r="E16" s="1759">
        <f>SUM(E3,E5:E6,E8:E10,E12:E15)</f>
        <v>859686</v>
      </c>
      <c r="F16" s="1759">
        <f>SUM(F3,F5:F6,F8:F10,F12:F15)</f>
        <v>38872515</v>
      </c>
      <c r="G16" s="843"/>
      <c r="H16" s="1759">
        <f>SUM(H3,H6,H8:H10,H12:H14,)</f>
        <v>15622780</v>
      </c>
      <c r="I16" s="1759">
        <f>SUM(I3,I6,I8:I10,I12:I14,)</f>
        <v>1143246</v>
      </c>
      <c r="J16" s="1759">
        <f>SUM(J3,J6,J8:J10,J12:J14,)</f>
        <v>469502</v>
      </c>
      <c r="K16" s="1759">
        <f>(H16+I16)-J16</f>
        <v>16296524</v>
      </c>
      <c r="L16" s="1759">
        <f>F16-K16</f>
        <v>22575991</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1143246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8" activePane="bottomLeft" state="frozen"/>
      <selection activeCell="L31" sqref="L31"/>
      <selection pane="bottomLeft" activeCell="I79" sqref="I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0" t="s">
        <v>1972</v>
      </c>
      <c r="B1" s="2271"/>
      <c r="C1" s="2271"/>
      <c r="D1" s="2271"/>
      <c r="E1" s="2271"/>
      <c r="F1" s="2272"/>
      <c r="G1" s="855"/>
    </row>
    <row r="2" spans="1:7" ht="15" customHeight="1" thickBot="1" x14ac:dyDescent="0.25">
      <c r="A2" s="2273" t="s">
        <v>477</v>
      </c>
      <c r="B2" s="2274"/>
      <c r="C2" s="2274"/>
      <c r="D2" s="2274"/>
      <c r="E2" s="2274"/>
      <c r="F2" s="227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6"/>
      <c r="B5" s="2277"/>
      <c r="C5" s="2277"/>
      <c r="D5" s="2277"/>
      <c r="E5" s="2277"/>
      <c r="F5" s="2277"/>
    </row>
    <row r="6" spans="1:7" ht="13.5" customHeight="1" thickBot="1" x14ac:dyDescent="0.25">
      <c r="A6" s="2267" t="s">
        <v>1104</v>
      </c>
      <c r="B6" s="2268"/>
      <c r="C6" s="2268"/>
      <c r="D6" s="2268"/>
      <c r="E6" s="2268"/>
      <c r="F6" s="226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10936446</v>
      </c>
      <c r="G8" s="865"/>
    </row>
    <row r="9" spans="1:7" x14ac:dyDescent="0.2">
      <c r="A9" s="869" t="s">
        <v>460</v>
      </c>
      <c r="B9" s="870" t="s">
        <v>1874</v>
      </c>
      <c r="C9" s="871"/>
      <c r="D9" s="869" t="s">
        <v>501</v>
      </c>
      <c r="E9" s="868"/>
      <c r="F9" s="1908">
        <f>'Expenditures 15-22'!K151</f>
        <v>1660274</v>
      </c>
      <c r="G9" s="872"/>
    </row>
    <row r="10" spans="1:7" x14ac:dyDescent="0.2">
      <c r="A10" s="869" t="s">
        <v>499</v>
      </c>
      <c r="B10" s="870" t="s">
        <v>1875</v>
      </c>
      <c r="C10" s="871"/>
      <c r="D10" s="869" t="s">
        <v>501</v>
      </c>
      <c r="E10" s="868"/>
      <c r="F10" s="1908">
        <f>'Expenditures 15-22'!K174</f>
        <v>896971</v>
      </c>
      <c r="G10" s="872"/>
    </row>
    <row r="11" spans="1:7" x14ac:dyDescent="0.2">
      <c r="A11" s="869" t="s">
        <v>461</v>
      </c>
      <c r="B11" s="870" t="s">
        <v>1876</v>
      </c>
      <c r="C11" s="871"/>
      <c r="D11" s="869" t="s">
        <v>501</v>
      </c>
      <c r="E11" s="868"/>
      <c r="F11" s="1908">
        <f>'Expenditures 15-22'!K210</f>
        <v>1255978</v>
      </c>
      <c r="G11" s="872"/>
    </row>
    <row r="12" spans="1:7" x14ac:dyDescent="0.2">
      <c r="A12" s="869" t="s">
        <v>462</v>
      </c>
      <c r="B12" s="870" t="s">
        <v>1877</v>
      </c>
      <c r="C12" s="871"/>
      <c r="D12" s="869" t="s">
        <v>501</v>
      </c>
      <c r="E12" s="868"/>
      <c r="F12" s="1908">
        <f>'Expenditures 15-22'!K295</f>
        <v>500313</v>
      </c>
      <c r="G12" s="872"/>
    </row>
    <row r="13" spans="1:7" x14ac:dyDescent="0.2">
      <c r="A13" s="869" t="s">
        <v>106</v>
      </c>
      <c r="B13" s="870" t="s">
        <v>1878</v>
      </c>
      <c r="C13" s="871"/>
      <c r="D13" s="869" t="s">
        <v>501</v>
      </c>
      <c r="E13" s="868"/>
      <c r="F13" s="1908">
        <f>'Expenditures 15-22'!K342</f>
        <v>0</v>
      </c>
      <c r="G13" s="873"/>
    </row>
    <row r="14" spans="1:7" ht="12" customHeight="1" thickBot="1" x14ac:dyDescent="0.25">
      <c r="A14" s="1769"/>
      <c r="B14" s="1770"/>
      <c r="C14" s="1771"/>
      <c r="D14" s="1772" t="s">
        <v>501</v>
      </c>
      <c r="E14" s="1773" t="s">
        <v>958</v>
      </c>
      <c r="F14" s="1774">
        <f>SUM(F8:F13)</f>
        <v>15249982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3">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1999</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2152</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500823</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1838</v>
      </c>
      <c r="G52" s="865"/>
    </row>
    <row r="53" spans="1:7" x14ac:dyDescent="0.2">
      <c r="A53" s="869" t="s">
        <v>459</v>
      </c>
      <c r="B53" s="869" t="s">
        <v>1475</v>
      </c>
      <c r="C53" s="889">
        <f>'Expenditures 15-22'!B102</f>
        <v>4000</v>
      </c>
      <c r="D53" s="888" t="str">
        <f>'Expenditures 15-22'!A102</f>
        <v>Total Payments to Other Govt Units</v>
      </c>
      <c r="E53" s="868"/>
      <c r="F53" s="1912">
        <f>'Expenditures 15-22'!K102</f>
        <v>314774</v>
      </c>
      <c r="G53" s="865"/>
    </row>
    <row r="54" spans="1:7" x14ac:dyDescent="0.2">
      <c r="A54" s="869" t="s">
        <v>459</v>
      </c>
      <c r="B54" s="869" t="s">
        <v>1476</v>
      </c>
      <c r="C54" s="889" t="s">
        <v>982</v>
      </c>
      <c r="D54" s="885" t="s">
        <v>1095</v>
      </c>
      <c r="E54" s="868"/>
      <c r="F54" s="1912">
        <f>'Expenditures 15-22'!G114</f>
        <v>141106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2">
        <f>'Expenditures 15-22'!K139</f>
        <v>0</v>
      </c>
      <c r="G57" s="865"/>
    </row>
    <row r="58" spans="1:7" x14ac:dyDescent="0.2">
      <c r="A58" s="869" t="s">
        <v>460</v>
      </c>
      <c r="B58" s="869" t="s">
        <v>1880</v>
      </c>
      <c r="C58" s="886" t="s">
        <v>982</v>
      </c>
      <c r="D58" s="885" t="s">
        <v>1095</v>
      </c>
      <c r="E58" s="868"/>
      <c r="F58" s="1914">
        <f>'Expenditures 15-22'!G151</f>
        <v>84198</v>
      </c>
      <c r="G58" s="865"/>
    </row>
    <row r="59" spans="1:7" x14ac:dyDescent="0.2">
      <c r="A59" s="893" t="s">
        <v>460</v>
      </c>
      <c r="B59" s="856" t="s">
        <v>1881</v>
      </c>
      <c r="C59" s="894" t="s">
        <v>982</v>
      </c>
      <c r="D59" s="856" t="s">
        <v>291</v>
      </c>
      <c r="F59" s="1915">
        <f>'Expenditures 15-22'!I151</f>
        <v>0</v>
      </c>
      <c r="G59" s="865"/>
    </row>
    <row r="60" spans="1:7" x14ac:dyDescent="0.2">
      <c r="A60" s="893" t="s">
        <v>499</v>
      </c>
      <c r="B60" s="856" t="s">
        <v>1882</v>
      </c>
      <c r="C60" s="894">
        <v>4000</v>
      </c>
      <c r="D60" s="856" t="s">
        <v>312</v>
      </c>
      <c r="F60" s="1913">
        <f>'Expenditures 15-22'!K160</f>
        <v>0</v>
      </c>
      <c r="G60" s="865"/>
    </row>
    <row r="61" spans="1:7" x14ac:dyDescent="0.2">
      <c r="A61" s="895" t="s">
        <v>499</v>
      </c>
      <c r="B61" s="895" t="s">
        <v>1883</v>
      </c>
      <c r="C61" s="896" t="str">
        <f>'Expenditures 15-22'!B170</f>
        <v>5300</v>
      </c>
      <c r="D61" s="897" t="s">
        <v>311</v>
      </c>
      <c r="E61" s="879"/>
      <c r="F61" s="1912">
        <f>'Expenditures 15-22'!K170</f>
        <v>638000</v>
      </c>
      <c r="G61" s="865"/>
    </row>
    <row r="62" spans="1:7" x14ac:dyDescent="0.2">
      <c r="A62" s="869" t="s">
        <v>461</v>
      </c>
      <c r="B62" s="869" t="s">
        <v>1884</v>
      </c>
      <c r="C62" s="886">
        <f>'Expenditures 15-22'!B185</f>
        <v>3000</v>
      </c>
      <c r="D62" s="876" t="s">
        <v>449</v>
      </c>
      <c r="E62" s="868"/>
      <c r="F62" s="1912">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1886</v>
      </c>
      <c r="C64" s="896" t="str">
        <f>'Expenditures 15-22'!B206</f>
        <v>5300</v>
      </c>
      <c r="D64" s="892" t="s">
        <v>311</v>
      </c>
      <c r="E64" s="868"/>
      <c r="F64" s="1912">
        <f>'Expenditures 15-22'!K206</f>
        <v>151819</v>
      </c>
      <c r="G64" s="865"/>
    </row>
    <row r="65" spans="1:8" x14ac:dyDescent="0.2">
      <c r="A65" s="869" t="s">
        <v>461</v>
      </c>
      <c r="B65" s="869" t="s">
        <v>1887</v>
      </c>
      <c r="C65" s="886" t="s">
        <v>982</v>
      </c>
      <c r="D65" s="885" t="s">
        <v>1095</v>
      </c>
      <c r="E65" s="868"/>
      <c r="F65" s="1912">
        <f>'Expenditures 15-22'!G210</f>
        <v>189635</v>
      </c>
      <c r="G65" s="865"/>
    </row>
    <row r="66" spans="1:8" x14ac:dyDescent="0.2">
      <c r="A66" s="869" t="s">
        <v>461</v>
      </c>
      <c r="B66" s="869" t="s">
        <v>1888</v>
      </c>
      <c r="C66" s="886" t="s">
        <v>982</v>
      </c>
      <c r="D66" s="885" t="s">
        <v>291</v>
      </c>
      <c r="E66" s="868"/>
      <c r="F66" s="1912">
        <f>'Expenditures 15-22'!I210</f>
        <v>0</v>
      </c>
      <c r="G66" s="865"/>
    </row>
    <row r="67" spans="1:8" x14ac:dyDescent="0.2">
      <c r="A67" s="869" t="s">
        <v>462</v>
      </c>
      <c r="B67" s="869" t="s">
        <v>1889</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1891</v>
      </c>
      <c r="C70" s="886">
        <f>'Expenditures 15-22'!B221</f>
        <v>1300</v>
      </c>
      <c r="D70" s="887" t="str">
        <f>'Expenditures 15-22'!A221</f>
        <v>Adult/Continuing Education Programs</v>
      </c>
      <c r="E70" s="868"/>
      <c r="F70" s="1912">
        <f>'Expenditures 15-22'!K221</f>
        <v>0</v>
      </c>
      <c r="G70" s="865"/>
    </row>
    <row r="71" spans="1:8" x14ac:dyDescent="0.2">
      <c r="A71" s="869" t="s">
        <v>462</v>
      </c>
      <c r="B71" s="869" t="s">
        <v>1892</v>
      </c>
      <c r="C71" s="886">
        <f>'Expenditures 15-22'!B224</f>
        <v>1600</v>
      </c>
      <c r="D71" s="887" t="str">
        <f>'Expenditures 15-22'!A224</f>
        <v>Summer School Programs</v>
      </c>
      <c r="E71" s="868"/>
      <c r="F71" s="1912">
        <f>'Expenditures 15-22'!K224</f>
        <v>248</v>
      </c>
      <c r="G71" s="865"/>
    </row>
    <row r="72" spans="1:8" x14ac:dyDescent="0.2">
      <c r="A72" s="869" t="s">
        <v>462</v>
      </c>
      <c r="B72" s="869" t="s">
        <v>1893</v>
      </c>
      <c r="C72" s="886">
        <f>'Expenditures 15-22'!B280</f>
        <v>3000</v>
      </c>
      <c r="D72" s="876" t="s">
        <v>449</v>
      </c>
      <c r="E72" s="868"/>
      <c r="F72" s="1912">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1895</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1896</v>
      </c>
      <c r="E76" s="1773" t="s">
        <v>958</v>
      </c>
      <c r="F76" s="1777">
        <f>SUM(F18:F74)</f>
        <v>2024593</v>
      </c>
      <c r="G76" s="865"/>
    </row>
    <row r="77" spans="1:8" s="893" customFormat="1" ht="12" customHeight="1" thickTop="1" thickBot="1" x14ac:dyDescent="0.25">
      <c r="A77" s="1778"/>
      <c r="B77" s="1775"/>
      <c r="C77" s="1771"/>
      <c r="D77" s="1776" t="s">
        <v>1897</v>
      </c>
      <c r="E77" s="1773"/>
      <c r="F77" s="1779">
        <f>(F14-F76)</f>
        <v>13225389</v>
      </c>
      <c r="G77" s="869"/>
    </row>
    <row r="78" spans="1:8" s="893" customFormat="1" ht="12" customHeight="1" thickTop="1" x14ac:dyDescent="0.2">
      <c r="A78" s="1780"/>
      <c r="B78" s="1775"/>
      <c r="C78" s="1771"/>
      <c r="D78" s="1776" t="s">
        <v>2059</v>
      </c>
      <c r="E78" s="1773"/>
      <c r="F78" s="898">
        <v>840.9</v>
      </c>
      <c r="G78" s="899"/>
      <c r="H78" s="869"/>
    </row>
    <row r="79" spans="1:8" s="893" customFormat="1" ht="12" customHeight="1" thickBot="1" x14ac:dyDescent="0.25">
      <c r="A79" s="1781"/>
      <c r="B79" s="1775"/>
      <c r="C79" s="1771"/>
      <c r="D79" s="1776" t="s">
        <v>1898</v>
      </c>
      <c r="E79" s="1773" t="s">
        <v>958</v>
      </c>
      <c r="F79" s="1782">
        <f>IF(F78&gt;0,F77/F78," Complete Line 78")</f>
        <v>15727.659650374599</v>
      </c>
      <c r="G79" s="869"/>
    </row>
    <row r="80" spans="1:8" s="893" customFormat="1" ht="8.25" customHeight="1" thickTop="1" x14ac:dyDescent="0.2">
      <c r="A80" s="900"/>
      <c r="B80" s="869"/>
      <c r="C80" s="871"/>
      <c r="D80" s="901"/>
      <c r="E80" s="868"/>
      <c r="F80" s="902"/>
      <c r="G80" s="869"/>
    </row>
    <row r="81" spans="1:7" s="893" customFormat="1" ht="12" thickBot="1" x14ac:dyDescent="0.25">
      <c r="A81" s="2267" t="s">
        <v>1105</v>
      </c>
      <c r="B81" s="2268"/>
      <c r="C81" s="2268"/>
      <c r="D81" s="2268"/>
      <c r="E81" s="2268"/>
      <c r="F81" s="226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280994</v>
      </c>
      <c r="G94" s="912"/>
    </row>
    <row r="95" spans="1:7" x14ac:dyDescent="0.2">
      <c r="A95" s="908" t="s">
        <v>140</v>
      </c>
      <c r="B95" s="908" t="s">
        <v>175</v>
      </c>
      <c r="C95" s="910">
        <v>1700</v>
      </c>
      <c r="D95" s="918" t="str">
        <f>'Revenues 9-14'!A82</f>
        <v>Total District/School Activity Income</v>
      </c>
      <c r="E95" s="906"/>
      <c r="F95" s="1788">
        <f>SUM('Revenues 9-14'!C82,'Revenues 9-14'!D82)</f>
        <v>201061</v>
      </c>
      <c r="G95" s="912"/>
    </row>
    <row r="96" spans="1:7" x14ac:dyDescent="0.2">
      <c r="A96" s="908" t="s">
        <v>459</v>
      </c>
      <c r="B96" s="908" t="s">
        <v>176</v>
      </c>
      <c r="C96" s="910">
        <f>'Revenues 9-14'!B84</f>
        <v>1811</v>
      </c>
      <c r="D96" s="911" t="str">
        <f>'Revenues 9-14'!A84</f>
        <v>Rentals - Regular Textbooks</v>
      </c>
      <c r="E96" s="906"/>
      <c r="F96" s="1788">
        <f>'Revenues 9-14'!C84</f>
        <v>80382</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3868</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18335</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102746</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31470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2000</v>
      </c>
      <c r="C105" s="913">
        <v>3100</v>
      </c>
      <c r="D105" s="919" t="str">
        <f>'Revenues 9-14'!A132</f>
        <v>Total Special Education</v>
      </c>
      <c r="E105" s="906"/>
      <c r="F105" s="1788">
        <f>SUM('Revenues 9-14'!C132:D132,'Revenues 9-14'!F132)</f>
        <v>54366</v>
      </c>
      <c r="G105" s="912"/>
    </row>
    <row r="106" spans="1:7" x14ac:dyDescent="0.2">
      <c r="A106" s="908" t="s">
        <v>673</v>
      </c>
      <c r="B106" s="908" t="s">
        <v>2001</v>
      </c>
      <c r="C106" s="920">
        <v>3200</v>
      </c>
      <c r="D106" s="911" t="str">
        <f>'Revenues 9-14'!A141</f>
        <v>Total Career and Technical Education</v>
      </c>
      <c r="E106" s="906"/>
      <c r="F106" s="1788">
        <f>SUM('Revenues 9-14'!C141,'Revenues 9-14'!D141,'Revenues 9-14'!G141)</f>
        <v>84845</v>
      </c>
      <c r="G106" s="912"/>
    </row>
    <row r="107" spans="1:7" x14ac:dyDescent="0.2">
      <c r="A107" s="921" t="s">
        <v>664</v>
      </c>
      <c r="B107" s="908" t="s">
        <v>2002</v>
      </c>
      <c r="C107" s="920">
        <v>3300</v>
      </c>
      <c r="D107" s="911" t="str">
        <f>'Revenues 9-14'!A145</f>
        <v>Total Bilingual Ed</v>
      </c>
      <c r="E107" s="906"/>
      <c r="F107" s="1788">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8">
        <f>'Revenues 9-14'!C146</f>
        <v>4025</v>
      </c>
      <c r="G108" s="912"/>
    </row>
    <row r="109" spans="1:7" x14ac:dyDescent="0.2">
      <c r="A109" s="908" t="s">
        <v>673</v>
      </c>
      <c r="B109" s="908" t="s">
        <v>2004</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8">
        <f>SUM('Revenues 9-14'!C148,'Revenues 9-14'!D148)</f>
        <v>40163</v>
      </c>
      <c r="G110" s="912"/>
    </row>
    <row r="111" spans="1:7" x14ac:dyDescent="0.2">
      <c r="A111" s="908" t="s">
        <v>668</v>
      </c>
      <c r="B111" s="908" t="s">
        <v>2006</v>
      </c>
      <c r="C111" s="922">
        <v>3500</v>
      </c>
      <c r="D111" s="911" t="str">
        <f>'Revenues 9-14'!A155</f>
        <v>Total Transportation</v>
      </c>
      <c r="E111" s="906"/>
      <c r="F111" s="1788">
        <f>SUM('Revenues 9-14'!C155,'Revenues 9-14'!D155,'Revenues 9-14'!F155,'Revenues 9-14'!G155)</f>
        <v>507569</v>
      </c>
      <c r="G111" s="912"/>
    </row>
    <row r="112" spans="1:7" x14ac:dyDescent="0.2">
      <c r="A112" s="908" t="s">
        <v>459</v>
      </c>
      <c r="B112" s="908" t="s">
        <v>2007</v>
      </c>
      <c r="C112" s="920">
        <f>'Revenues 9-14'!B156</f>
        <v>3610</v>
      </c>
      <c r="D112" s="911" t="str">
        <f>'Revenues 9-14'!A156</f>
        <v>Learning Improvement - Change Grants</v>
      </c>
      <c r="E112" s="906"/>
      <c r="F112" s="1788">
        <f>'Revenues 9-14'!C156</f>
        <v>0</v>
      </c>
      <c r="G112" s="912"/>
    </row>
    <row r="113" spans="1:7" x14ac:dyDescent="0.2">
      <c r="A113" s="908" t="s">
        <v>668</v>
      </c>
      <c r="B113" s="908" t="s">
        <v>2008</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6">
        <f>SUM('Revenues 9-14'!C163:G163)</f>
        <v>0</v>
      </c>
      <c r="G118" s="912"/>
    </row>
    <row r="119" spans="1:7" x14ac:dyDescent="0.2">
      <c r="A119" s="923" t="s">
        <v>504</v>
      </c>
      <c r="B119" s="923" t="s">
        <v>2014</v>
      </c>
      <c r="C119" s="924">
        <f>'Revenues 9-14'!B164</f>
        <v>3815</v>
      </c>
      <c r="D119" s="925" t="str">
        <f>'Revenues 9-14'!A164</f>
        <v>State Charter Schools</v>
      </c>
      <c r="E119" s="906"/>
      <c r="F119" s="1906">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8">
        <f>'Revenues 9-14'!D167</f>
        <v>0</v>
      </c>
      <c r="G120" s="930"/>
    </row>
    <row r="121" spans="1:7" x14ac:dyDescent="0.2">
      <c r="A121" s="927" t="s">
        <v>500</v>
      </c>
      <c r="B121" s="927" t="s">
        <v>2016</v>
      </c>
      <c r="C121" s="928">
        <f>'Revenues 9-14'!B168</f>
        <v>3999</v>
      </c>
      <c r="D121" s="929" t="s">
        <v>543</v>
      </c>
      <c r="E121" s="931"/>
      <c r="F121" s="1788">
        <f>SUM('Revenues 9-14'!C168:G168,'Revenues 9-14'!J168)</f>
        <v>750</v>
      </c>
      <c r="G121" s="930"/>
    </row>
    <row r="122" spans="1:7" x14ac:dyDescent="0.2">
      <c r="A122" s="927" t="s">
        <v>459</v>
      </c>
      <c r="B122" s="927" t="s">
        <v>2017</v>
      </c>
      <c r="C122" s="932">
        <f>'Revenues 9-14'!B177</f>
        <v>4045</v>
      </c>
      <c r="D122" s="929" t="str">
        <f>'Revenues 9-14'!A177 &amp; " (Subtract)"</f>
        <v>Head Start (Subtract)</v>
      </c>
      <c r="E122" s="906"/>
      <c r="F122" s="1788">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2019</v>
      </c>
      <c r="C124" s="932">
        <v>4100</v>
      </c>
      <c r="D124" s="933" t="str">
        <f>'Revenues 9-14'!A188</f>
        <v>Total Title V</v>
      </c>
      <c r="E124" s="906"/>
      <c r="F124" s="1788">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8">
        <f>SUM('Revenues 9-14'!C198,'Revenues 9-14'!G198)</f>
        <v>253812</v>
      </c>
      <c r="G125" s="930"/>
    </row>
    <row r="126" spans="1:7" x14ac:dyDescent="0.2">
      <c r="A126" s="927" t="s">
        <v>668</v>
      </c>
      <c r="B126" s="927" t="s">
        <v>2021</v>
      </c>
      <c r="C126" s="932">
        <v>4300</v>
      </c>
      <c r="D126" s="933" t="str">
        <f>'Revenues 9-14'!A204</f>
        <v>Total Title I</v>
      </c>
      <c r="E126" s="906"/>
      <c r="F126" s="1788">
        <f>SUM('Revenues 9-14'!C204,'Revenues 9-14'!D204,'Revenues 9-14'!F204,'Revenues 9-14'!G204)</f>
        <v>228122</v>
      </c>
      <c r="G126" s="930"/>
    </row>
    <row r="127" spans="1:7" x14ac:dyDescent="0.2">
      <c r="A127" s="927" t="s">
        <v>668</v>
      </c>
      <c r="B127" s="927" t="s">
        <v>2022</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8">
        <f>SUM('Revenues 9-14'!C213:D213,'Revenues 9-14'!F213:G213)</f>
        <v>133280</v>
      </c>
      <c r="G128" s="930"/>
    </row>
    <row r="129" spans="1:7" x14ac:dyDescent="0.2">
      <c r="A129" s="927" t="s">
        <v>668</v>
      </c>
      <c r="B129" s="927" t="s">
        <v>2024</v>
      </c>
      <c r="C129" s="932">
        <f>'Revenues 9-14'!B214</f>
        <v>4625</v>
      </c>
      <c r="D129" s="933" t="str">
        <f>'Revenues 9-14'!A214</f>
        <v>Fed - Spec Education - IDEA - Room &amp; Board</v>
      </c>
      <c r="E129" s="906"/>
      <c r="F129" s="1788">
        <f>SUM('Revenues 9-14'!C214,'Revenues 9-14'!D214,'Revenues 9-14'!F214,'Revenues 9-14'!G214)</f>
        <v>152842</v>
      </c>
      <c r="G129" s="930"/>
    </row>
    <row r="130" spans="1:7" x14ac:dyDescent="0.2">
      <c r="A130" s="927" t="s">
        <v>668</v>
      </c>
      <c r="B130" s="927" t="s">
        <v>2025</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2026</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8">
        <v>0</v>
      </c>
      <c r="G138" s="905"/>
    </row>
    <row r="139" spans="1:7" s="867" customFormat="1" hidden="1" x14ac:dyDescent="0.2">
      <c r="A139" s="934" t="s">
        <v>206</v>
      </c>
      <c r="B139" s="934" t="s">
        <v>2033</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2041</v>
      </c>
      <c r="C157" s="940" t="s">
        <v>841</v>
      </c>
      <c r="D157" s="941" t="s">
        <v>777</v>
      </c>
      <c r="E157" s="942"/>
      <c r="F157" s="1788">
        <f>SUM(F133:F156)</f>
        <v>0</v>
      </c>
      <c r="G157" s="905"/>
    </row>
    <row r="158" spans="1:7" s="867" customFormat="1" x14ac:dyDescent="0.2">
      <c r="A158" s="938" t="s">
        <v>459</v>
      </c>
      <c r="B158" s="939" t="s">
        <v>2042</v>
      </c>
      <c r="C158" s="940" t="s">
        <v>1427</v>
      </c>
      <c r="D158" s="941" t="s">
        <v>1428</v>
      </c>
      <c r="E158" s="942"/>
      <c r="F158" s="1788">
        <f>SUM('Revenues 9-14'!C253)</f>
        <v>0</v>
      </c>
      <c r="G158" s="905"/>
    </row>
    <row r="159" spans="1:7" s="867" customFormat="1" x14ac:dyDescent="0.2">
      <c r="A159" s="938" t="s">
        <v>500</v>
      </c>
      <c r="B159" s="939" t="s">
        <v>2043</v>
      </c>
      <c r="C159" s="940" t="s">
        <v>1466</v>
      </c>
      <c r="D159" s="941" t="s">
        <v>1467</v>
      </c>
      <c r="E159" s="942"/>
      <c r="F159" s="1788">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6">
        <f>SUM('Revenues 9-14'!C258:D258,'Revenues 9-14'!F258,'Revenues 9-14'!G258)</f>
        <v>4511</v>
      </c>
      <c r="G163" s="930"/>
    </row>
    <row r="164" spans="1:7" x14ac:dyDescent="0.2">
      <c r="A164" s="927" t="s">
        <v>668</v>
      </c>
      <c r="B164" s="927" t="s">
        <v>2048</v>
      </c>
      <c r="C164" s="932">
        <f>'Revenues 9-14'!B259</f>
        <v>4932</v>
      </c>
      <c r="D164" s="933" t="str">
        <f>'Revenues 9-14'!A259</f>
        <v>Title II - Teacher Quality</v>
      </c>
      <c r="E164" s="906"/>
      <c r="F164" s="1906">
        <f>SUM('Revenues 9-14'!C259,'Revenues 9-14'!D259,'Revenues 9-14'!F259,'Revenues 9-14'!G259)</f>
        <v>0</v>
      </c>
      <c r="G164" s="930"/>
    </row>
    <row r="165" spans="1:7" x14ac:dyDescent="0.2">
      <c r="A165" s="927" t="s">
        <v>668</v>
      </c>
      <c r="B165" s="927" t="s">
        <v>2049</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8">
        <f>SUM('Revenues 9-14'!C263:D263,'Revenues 9-14'!F263:G263)</f>
        <v>15877</v>
      </c>
      <c r="G168" s="947">
        <v>6320</v>
      </c>
    </row>
    <row r="169" spans="1:7" x14ac:dyDescent="0.2">
      <c r="A169" s="927" t="s">
        <v>668</v>
      </c>
      <c r="B169" s="927" t="s">
        <v>2051</v>
      </c>
      <c r="C169" s="932">
        <f>'Revenues 9-14'!B264</f>
        <v>4992</v>
      </c>
      <c r="D169" s="933" t="str">
        <f>'Revenues 9-14'!A264</f>
        <v>Medicaid Matching Funds - Fee-for-Service Program</v>
      </c>
      <c r="E169" s="906"/>
      <c r="F169" s="1788">
        <f>SUM('Revenues 9-14'!C264:D264,'Revenues 9-14'!F264:G264)</f>
        <v>39027</v>
      </c>
      <c r="G169" s="947"/>
    </row>
    <row r="170" spans="1:7" x14ac:dyDescent="0.2">
      <c r="A170" s="948" t="s">
        <v>668</v>
      </c>
      <c r="B170" s="944" t="s">
        <v>2052</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1917</v>
      </c>
      <c r="C171" s="1919">
        <v>3100</v>
      </c>
      <c r="D171" s="1920" t="s">
        <v>1919</v>
      </c>
      <c r="E171" s="906"/>
      <c r="F171" s="1905">
        <v>333459.71000000002</v>
      </c>
      <c r="G171" s="927"/>
    </row>
    <row r="172" spans="1:7" x14ac:dyDescent="0.2">
      <c r="A172" s="1917" t="s">
        <v>664</v>
      </c>
      <c r="B172" s="1918" t="s">
        <v>1917</v>
      </c>
      <c r="C172" s="1919">
        <v>3300</v>
      </c>
      <c r="D172" s="1920" t="s">
        <v>1920</v>
      </c>
      <c r="E172" s="906"/>
      <c r="F172" s="1905">
        <v>14.3</v>
      </c>
      <c r="G172" s="927"/>
    </row>
    <row r="173" spans="1:7" ht="6" customHeight="1" x14ac:dyDescent="0.2">
      <c r="A173" s="927"/>
      <c r="B173" s="927"/>
      <c r="C173" s="949"/>
      <c r="D173" s="927"/>
      <c r="E173" s="906"/>
      <c r="F173" s="950"/>
      <c r="G173" s="947"/>
    </row>
    <row r="174" spans="1:7" x14ac:dyDescent="0.2">
      <c r="A174" s="1769"/>
      <c r="B174" s="1783"/>
      <c r="C174" s="1784"/>
      <c r="D174" s="1785" t="s">
        <v>2053</v>
      </c>
      <c r="E174" s="1786" t="s">
        <v>958</v>
      </c>
      <c r="F174" s="1787">
        <f>SUM(F84:F132,F157:F172)</f>
        <v>2571519.0099999998</v>
      </c>
    </row>
    <row r="175" spans="1:7" ht="12" customHeight="1" x14ac:dyDescent="0.2">
      <c r="A175" s="1769"/>
      <c r="B175" s="1783"/>
      <c r="C175" s="1784"/>
      <c r="D175" s="1785" t="s">
        <v>2054</v>
      </c>
      <c r="E175" s="1786"/>
      <c r="F175" s="1788">
        <f>'PCTC-OEPP 27-28'!F77-F174</f>
        <v>10653869.99</v>
      </c>
    </row>
    <row r="176" spans="1:7" ht="12" customHeight="1" x14ac:dyDescent="0.2">
      <c r="A176" s="1769"/>
      <c r="B176" s="1783"/>
      <c r="C176" s="1784"/>
      <c r="D176" s="1785" t="s">
        <v>1815</v>
      </c>
      <c r="E176" s="1786"/>
      <c r="F176" s="1788">
        <f>'Cap Outlay Deprec 26'!I18</f>
        <v>1143246</v>
      </c>
    </row>
    <row r="177" spans="1:7" ht="12" customHeight="1" x14ac:dyDescent="0.2">
      <c r="A177" s="1769"/>
      <c r="B177" s="1783"/>
      <c r="C177" s="1784"/>
      <c r="D177" s="1785" t="s">
        <v>2055</v>
      </c>
      <c r="E177" s="1786"/>
      <c r="F177" s="1788">
        <f>F175+F176</f>
        <v>11797115.99</v>
      </c>
    </row>
    <row r="178" spans="1:7" ht="12" customHeight="1" x14ac:dyDescent="0.2">
      <c r="A178" s="1769"/>
      <c r="B178" s="1789"/>
      <c r="C178" s="1784"/>
      <c r="D178" s="1785" t="str">
        <f>D78</f>
        <v>9 Month ADA from District Average Daily Attendance/Prior General State Aid Inquiry 2018-2019</v>
      </c>
      <c r="E178" s="1786"/>
      <c r="F178" s="1790">
        <f>'PCTC-OEPP 27-28'!F78</f>
        <v>840.9</v>
      </c>
      <c r="G178" s="930"/>
    </row>
    <row r="179" spans="1:7" ht="12" customHeight="1" thickBot="1" x14ac:dyDescent="0.25">
      <c r="A179" s="1769"/>
      <c r="B179" s="1789"/>
      <c r="C179" s="1784"/>
      <c r="D179" s="1785" t="s">
        <v>2056</v>
      </c>
      <c r="E179" s="1786" t="s">
        <v>1545</v>
      </c>
      <c r="F179" s="1791">
        <f>F177/F178</f>
        <v>14029.154465453681</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1" customFormat="1" ht="12.2" customHeight="1" x14ac:dyDescent="0.2">
      <c r="A182" s="1921" t="s">
        <v>1991</v>
      </c>
      <c r="B182" s="1922"/>
      <c r="C182" s="1923"/>
      <c r="D182" s="1922"/>
      <c r="E182" s="1923"/>
      <c r="F182" s="1922"/>
      <c r="G182" s="1922"/>
    </row>
    <row r="183" spans="1:7" s="1921" customFormat="1" ht="12.2" customHeight="1" x14ac:dyDescent="0.2">
      <c r="A183" s="1924" t="s">
        <v>1993</v>
      </c>
      <c r="C183" s="1923"/>
      <c r="D183" s="1922"/>
      <c r="E183" s="1923"/>
      <c r="F183" s="1922"/>
      <c r="G183" s="1922"/>
    </row>
    <row r="184" spans="1:7" ht="12" customHeight="1" x14ac:dyDescent="0.2">
      <c r="C184" s="949"/>
      <c r="D184" s="930"/>
      <c r="E184" s="949"/>
      <c r="F184" s="930"/>
      <c r="G184" s="930"/>
    </row>
    <row r="185" spans="1:7" x14ac:dyDescent="0.2">
      <c r="A185" s="1925" t="s">
        <v>1922</v>
      </c>
      <c r="B185" s="1926"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1"/>
  <sheetViews>
    <sheetView showGridLines="0" topLeftCell="A7" zoomScaleNormal="100" workbookViewId="0">
      <selection activeCell="C32" sqref="C32"/>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8" t="s">
        <v>1830</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81" t="s">
        <v>1816</v>
      </c>
      <c r="B4" s="2282"/>
      <c r="C4" s="2282"/>
      <c r="D4" s="2282"/>
      <c r="E4" s="2282"/>
      <c r="F4" s="2282"/>
      <c r="G4" s="2283"/>
    </row>
    <row r="5" spans="1:7" x14ac:dyDescent="0.25">
      <c r="A5" s="2284"/>
      <c r="B5" s="2285"/>
      <c r="C5" s="2285"/>
      <c r="D5" s="2285"/>
      <c r="E5" s="2285"/>
      <c r="F5" s="2285"/>
      <c r="G5" s="2286"/>
    </row>
    <row r="6" spans="1:7" ht="18.75" x14ac:dyDescent="0.25">
      <c r="A6" s="1534" t="s">
        <v>1817</v>
      </c>
      <c r="B6" s="1535"/>
      <c r="C6" s="1535"/>
      <c r="D6" s="1535"/>
      <c r="E6" s="1535"/>
      <c r="F6" s="1535"/>
      <c r="G6" s="1536"/>
    </row>
    <row r="7" spans="1:7" ht="30.75" customHeight="1" x14ac:dyDescent="0.25">
      <c r="A7" s="2287" t="s">
        <v>1929</v>
      </c>
      <c r="B7" s="2288"/>
      <c r="C7" s="2288"/>
      <c r="D7" s="2288"/>
      <c r="E7" s="2288"/>
      <c r="F7" s="2288"/>
      <c r="G7" s="2289"/>
    </row>
    <row r="8" spans="1:7" ht="15.75" customHeight="1" x14ac:dyDescent="0.25">
      <c r="A8" s="2290" t="s">
        <v>1904</v>
      </c>
      <c r="B8" s="2291"/>
      <c r="C8" s="2291"/>
      <c r="D8" s="2291"/>
      <c r="E8" s="2291"/>
      <c r="F8" s="2291"/>
      <c r="G8" s="2292"/>
    </row>
    <row r="9" spans="1:7" ht="35.25" customHeight="1" x14ac:dyDescent="0.25">
      <c r="A9" s="2287" t="s">
        <v>1932</v>
      </c>
      <c r="B9" s="2288"/>
      <c r="C9" s="2288"/>
      <c r="D9" s="2288"/>
      <c r="E9" s="2288"/>
      <c r="F9" s="2288"/>
      <c r="G9" s="2289"/>
    </row>
    <row r="10" spans="1:7" ht="15" customHeight="1" x14ac:dyDescent="0.25">
      <c r="A10" s="1537" t="s">
        <v>1818</v>
      </c>
      <c r="B10" s="1538"/>
      <c r="C10" s="1538"/>
      <c r="D10" s="1538"/>
      <c r="E10" s="1538"/>
      <c r="F10" s="1538"/>
      <c r="G10" s="1539"/>
    </row>
    <row r="11" spans="1:7" ht="17.25" customHeight="1" x14ac:dyDescent="0.25">
      <c r="A11" s="2287" t="s">
        <v>1931</v>
      </c>
      <c r="B11" s="2288"/>
      <c r="C11" s="2288"/>
      <c r="D11" s="2288"/>
      <c r="E11" s="2288"/>
      <c r="F11" s="2288"/>
      <c r="G11" s="2289"/>
    </row>
    <row r="12" spans="1:7" ht="15" customHeight="1" x14ac:dyDescent="0.25">
      <c r="A12" s="1537" t="s">
        <v>1823</v>
      </c>
      <c r="B12" s="1538"/>
      <c r="C12" s="1538"/>
      <c r="D12" s="1538"/>
      <c r="E12" s="1538"/>
      <c r="F12" s="1538"/>
      <c r="G12" s="1539"/>
    </row>
    <row r="13" spans="1:7" ht="32.25" customHeight="1" x14ac:dyDescent="0.25">
      <c r="A13" s="2278" t="s">
        <v>1973</v>
      </c>
      <c r="B13" s="2279"/>
      <c r="C13" s="2279"/>
      <c r="D13" s="2279"/>
      <c r="E13" s="2279"/>
      <c r="F13" s="2279"/>
      <c r="G13" s="2280"/>
    </row>
    <row r="14" spans="1:7" x14ac:dyDescent="0.25">
      <c r="A14" s="1660" t="s">
        <v>1831</v>
      </c>
      <c r="B14" s="1661"/>
      <c r="C14" s="1661"/>
      <c r="D14" s="1661"/>
      <c r="E14" s="1661"/>
      <c r="F14" s="1661"/>
      <c r="G14" s="1662"/>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51" t="s">
        <v>2184</v>
      </c>
      <c r="B17" s="1949" t="s">
        <v>2203</v>
      </c>
      <c r="C17" s="1950" t="s">
        <v>2183</v>
      </c>
      <c r="D17" s="1843">
        <v>1882.71</v>
      </c>
      <c r="E17" s="1540">
        <f t="shared" ref="E17:E41" si="0">IF(D17&lt;=25000,D17,IF(D17&gt;25000,25000,0))</f>
        <v>1882.71</v>
      </c>
      <c r="F17" s="1931">
        <f t="shared" ref="F17:F31"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1882.71</v>
      </c>
      <c r="G17" s="1792">
        <f>IF(F17=0,0,D17-F17)</f>
        <v>0</v>
      </c>
      <c r="H17" s="1647"/>
    </row>
    <row r="18" spans="1:8" x14ac:dyDescent="0.25">
      <c r="A18" s="1951" t="s">
        <v>2185</v>
      </c>
      <c r="B18" s="1949" t="s">
        <v>2204</v>
      </c>
      <c r="C18" s="1655" t="s">
        <v>2191</v>
      </c>
      <c r="D18" s="1843">
        <v>2300</v>
      </c>
      <c r="E18" s="1540">
        <f t="shared" ref="E18:E40" si="2">IF(D18&lt;=25000,D18,IF(D18&gt;25000,25000,0))</f>
        <v>2300</v>
      </c>
      <c r="F18" s="1931">
        <f t="shared" si="1"/>
        <v>2300</v>
      </c>
      <c r="G18" s="1792">
        <f t="shared" ref="G18:G40" si="3">IF(F18=0,0,D18-F18)</f>
        <v>0</v>
      </c>
    </row>
    <row r="19" spans="1:8" x14ac:dyDescent="0.25">
      <c r="A19" s="1951" t="s">
        <v>2185</v>
      </c>
      <c r="B19" s="1949" t="s">
        <v>2204</v>
      </c>
      <c r="C19" s="1655" t="s">
        <v>2192</v>
      </c>
      <c r="D19" s="1843">
        <v>23619.8</v>
      </c>
      <c r="E19" s="1540">
        <f t="shared" si="2"/>
        <v>23619.8</v>
      </c>
      <c r="F19" s="1931">
        <f t="shared" si="1"/>
        <v>23619.8</v>
      </c>
      <c r="G19" s="1792">
        <f t="shared" si="3"/>
        <v>0</v>
      </c>
    </row>
    <row r="20" spans="1:8" x14ac:dyDescent="0.25">
      <c r="A20" s="1951" t="s">
        <v>2185</v>
      </c>
      <c r="B20" s="1949" t="s">
        <v>2204</v>
      </c>
      <c r="C20" s="1655" t="s">
        <v>2193</v>
      </c>
      <c r="D20" s="1843">
        <v>2715.36</v>
      </c>
      <c r="E20" s="1540">
        <f t="shared" si="2"/>
        <v>2715.36</v>
      </c>
      <c r="F20" s="1931">
        <f t="shared" si="1"/>
        <v>2715.36</v>
      </c>
      <c r="G20" s="1792">
        <f t="shared" si="3"/>
        <v>0</v>
      </c>
    </row>
    <row r="21" spans="1:8" x14ac:dyDescent="0.25">
      <c r="A21" s="1951" t="s">
        <v>2186</v>
      </c>
      <c r="B21" s="1949" t="s">
        <v>2204</v>
      </c>
      <c r="C21" s="1950" t="s">
        <v>2194</v>
      </c>
      <c r="D21" s="1843">
        <v>363</v>
      </c>
      <c r="E21" s="1540">
        <f t="shared" si="2"/>
        <v>363</v>
      </c>
      <c r="F21" s="1931">
        <f t="shared" si="1"/>
        <v>363</v>
      </c>
      <c r="G21" s="1792">
        <f t="shared" si="3"/>
        <v>0</v>
      </c>
    </row>
    <row r="22" spans="1:8" x14ac:dyDescent="0.25">
      <c r="A22" s="1951" t="s">
        <v>2185</v>
      </c>
      <c r="B22" s="1949" t="s">
        <v>2204</v>
      </c>
      <c r="C22" s="1655" t="s">
        <v>2195</v>
      </c>
      <c r="D22" s="1843">
        <v>960</v>
      </c>
      <c r="E22" s="1540">
        <f t="shared" si="2"/>
        <v>960</v>
      </c>
      <c r="F22" s="1931">
        <f t="shared" si="1"/>
        <v>960</v>
      </c>
      <c r="G22" s="1792">
        <f t="shared" si="3"/>
        <v>0</v>
      </c>
    </row>
    <row r="23" spans="1:8" x14ac:dyDescent="0.25">
      <c r="A23" s="1951" t="s">
        <v>2185</v>
      </c>
      <c r="B23" s="1949" t="s">
        <v>2204</v>
      </c>
      <c r="C23" s="1655" t="s">
        <v>2196</v>
      </c>
      <c r="D23" s="1843">
        <v>8768.1</v>
      </c>
      <c r="E23" s="1540">
        <f t="shared" si="2"/>
        <v>8768.1</v>
      </c>
      <c r="F23" s="1931">
        <f t="shared" si="1"/>
        <v>8768.1</v>
      </c>
      <c r="G23" s="1792">
        <f t="shared" si="3"/>
        <v>0</v>
      </c>
    </row>
    <row r="24" spans="1:8" x14ac:dyDescent="0.25">
      <c r="A24" s="1951" t="s">
        <v>2185</v>
      </c>
      <c r="B24" s="1949" t="s">
        <v>2204</v>
      </c>
      <c r="C24" s="1655" t="s">
        <v>2197</v>
      </c>
      <c r="D24" s="1843">
        <v>3192.11</v>
      </c>
      <c r="E24" s="1540">
        <f t="shared" si="2"/>
        <v>3192.11</v>
      </c>
      <c r="F24" s="1931">
        <f t="shared" si="1"/>
        <v>3192.11</v>
      </c>
      <c r="G24" s="1792">
        <f t="shared" si="3"/>
        <v>0</v>
      </c>
    </row>
    <row r="25" spans="1:8" x14ac:dyDescent="0.25">
      <c r="A25" s="1951"/>
      <c r="B25" s="1949"/>
      <c r="C25" s="1655"/>
      <c r="D25" s="1843"/>
      <c r="E25" s="1540">
        <f t="shared" si="2"/>
        <v>0</v>
      </c>
      <c r="F25" s="1931">
        <f t="shared" si="1"/>
        <v>0</v>
      </c>
      <c r="G25" s="1792">
        <f t="shared" si="3"/>
        <v>0</v>
      </c>
    </row>
    <row r="26" spans="1:8" x14ac:dyDescent="0.25">
      <c r="A26" s="1951" t="s">
        <v>2187</v>
      </c>
      <c r="B26" s="1949" t="s">
        <v>2204</v>
      </c>
      <c r="C26" s="1654" t="s">
        <v>2198</v>
      </c>
      <c r="D26" s="1843">
        <v>4179.1000000000004</v>
      </c>
      <c r="E26" s="1540">
        <f t="shared" si="2"/>
        <v>4179.1000000000004</v>
      </c>
      <c r="F26" s="1931">
        <f t="shared" si="1"/>
        <v>4179.1000000000004</v>
      </c>
      <c r="G26" s="1792">
        <f t="shared" si="3"/>
        <v>0</v>
      </c>
    </row>
    <row r="27" spans="1:8" x14ac:dyDescent="0.25">
      <c r="A27" s="1951" t="s">
        <v>2188</v>
      </c>
      <c r="B27" s="1949" t="s">
        <v>2203</v>
      </c>
      <c r="C27" s="1654" t="s">
        <v>2199</v>
      </c>
      <c r="D27" s="1843">
        <v>131970.76999999999</v>
      </c>
      <c r="E27" s="1540">
        <f t="shared" si="2"/>
        <v>25000</v>
      </c>
      <c r="F27" s="1931">
        <f t="shared" si="1"/>
        <v>25000</v>
      </c>
      <c r="G27" s="1792">
        <f t="shared" si="3"/>
        <v>106970.76999999999</v>
      </c>
    </row>
    <row r="28" spans="1:8" x14ac:dyDescent="0.25">
      <c r="A28" s="1951" t="s">
        <v>2189</v>
      </c>
      <c r="B28" s="1949" t="s">
        <v>2203</v>
      </c>
      <c r="C28" s="1654" t="s">
        <v>2200</v>
      </c>
      <c r="D28" s="1843">
        <v>69025.210000000006</v>
      </c>
      <c r="E28" s="1540">
        <f t="shared" si="2"/>
        <v>25000</v>
      </c>
      <c r="F28" s="1931">
        <f t="shared" si="1"/>
        <v>25000</v>
      </c>
      <c r="G28" s="1792">
        <f t="shared" si="3"/>
        <v>44025.210000000006</v>
      </c>
    </row>
    <row r="29" spans="1:8" x14ac:dyDescent="0.25">
      <c r="A29" s="1951" t="s">
        <v>2190</v>
      </c>
      <c r="B29" s="1949" t="s">
        <v>2205</v>
      </c>
      <c r="C29" s="1654" t="s">
        <v>2201</v>
      </c>
      <c r="D29" s="1843">
        <v>7379.88</v>
      </c>
      <c r="E29" s="1540">
        <f t="shared" si="2"/>
        <v>7379.88</v>
      </c>
      <c r="F29" s="1931">
        <f t="shared" si="1"/>
        <v>7379.88</v>
      </c>
      <c r="G29" s="1792">
        <f t="shared" si="3"/>
        <v>0</v>
      </c>
    </row>
    <row r="30" spans="1:8" x14ac:dyDescent="0.25">
      <c r="A30" s="1951" t="s">
        <v>2190</v>
      </c>
      <c r="B30" s="1949" t="s">
        <v>2205</v>
      </c>
      <c r="C30" s="1654" t="s">
        <v>2202</v>
      </c>
      <c r="D30" s="1843">
        <v>10219.86</v>
      </c>
      <c r="E30" s="1540">
        <f t="shared" si="2"/>
        <v>10219.86</v>
      </c>
      <c r="F30" s="1931">
        <f t="shared" si="1"/>
        <v>10219.86</v>
      </c>
      <c r="G30" s="1792">
        <f t="shared" si="3"/>
        <v>0</v>
      </c>
    </row>
    <row r="31" spans="1:8" x14ac:dyDescent="0.25">
      <c r="A31" s="1653"/>
      <c r="B31" s="1933"/>
      <c r="C31" s="1654"/>
      <c r="D31" s="1843"/>
      <c r="E31" s="1540">
        <f t="shared" si="2"/>
        <v>0</v>
      </c>
      <c r="F31" s="1931">
        <f t="shared" si="1"/>
        <v>0</v>
      </c>
      <c r="G31" s="1792">
        <f t="shared" si="3"/>
        <v>0</v>
      </c>
    </row>
    <row r="32" spans="1:8" x14ac:dyDescent="0.25">
      <c r="A32" s="1653"/>
      <c r="B32" s="1836"/>
      <c r="C32" s="1654"/>
      <c r="D32" s="1843"/>
      <c r="E32" s="1540">
        <f t="shared" ref="E32:E34" si="4">IF(D32&lt;=25000,D32,IF(D32&gt;25000,25000,0))</f>
        <v>0</v>
      </c>
      <c r="F32" s="1931">
        <f t="shared" ref="F32:F40" si="5">IF(OR(B32="10-1000-100",B32="10-1000-200",B32="10-1000-300",B32="10-1000-400",B32="10-1000-600",B32="10-1000-800",B32="50-1000-200",B32="10-2100-100",B32="10-2100-200",B32="10-2100-300",B32="10-2100-400",B32="10-2100-600",B32="10-2100-800",B32="20-2100-100",B32="20-2100-200",B32="20-2100-300",B32="20-2100-400",B32="20-2100-600",B32="20-2100-800",B32="40-2100-100",B32="40-2100-200",B32="40-2100-300",B32="40-2100-400",B32="40-2100-600",B32="40-2100-800",B32="50-2100-200",B32="10-2200-100",B32="10-2200-200",B32="10-2200-300",B32="10-2200-400",B32="10-2200-600",B32="10-2200-800",B32="50-2200-200",B32="10-2300-100",B32="10-2300-200",B32="10-2300-300",B32="10-2300-400",B32="10-2300-600",B32="10-2300-800",B32="50-2300-200",B32="80-2300-100",B32="80-2300-200",B32="80-2300-300",B32="80-2300-400",B32="80-2300-600",B32="80-2300-800",B32="10-2400-100",B32="10-2400-200",B32="10-2400-300",B32="10-2400-400",B32="10-2400-600",B32="10-2400-800",B32="50-2400-200",B32="10-2510-100",B32="10-2510-200",B32="10-2510-300",B32="10-2510-400",B32="10-2510-600",B32="10-2510-800",B32="20-2510-100",B32="20-2510-200",B32="20-2510-300",B32="20-2510-400",B32="20-2510-600",B32="20-2510-800",B32="50-2510-200",B32="10-2520-100",B32="10-2520-200",B32="10-2520-300",B32="10-2520-400",B32="10-2520-600",B32="10-2520-800",B32="50-2520-200",B32="10-2540-100",B32="10-2540-200",B32="10-2540-300",B32="10-2540-400",B32="10-2540-600",B32="10-2540-800",B32="20-2540-100",B32="20-2540-200",B32="20-2540-300",B32="20-2540-400",B32="20-2540-600",B32="20-2540-800",B32="50-2540-200",B32="10-2550-100",B32="10-2550-200",B32="10-2550-300",B32="10-2550-400",B32="10-2550-600",B32="10-2550-800",B32="20-2550-100",B32="20-2550-200",B32="20-2550-300",B32="20-2550-400",B32="20-2550-600",B32="20-2550-800",B32="40-2550-100",B32="40-2550-200",B32="40-2550-300",B32="40-2550-400",B32="40-2550-600",B32="40-2550-800",B32="50-2550-200",B32="10-2560-100",B32="10-2560-200",B32="10-2560-300",B32="10-2560-400",B32="10-2560-600",B32="10-2560-800",B32="50-2560-200",B32="10-2570-100",B32="10-2570-200",B32="10-2570-300",B32="10-2570-400",B32="10-2570-600",B32="10-2570-800",B32="50-2570-200",B32="10-2610-100",B32="10-2610-200",B32="10-2610-300",B32="10-2610-400",B32="10-2610-600",B32="10-2610-800",B32="50-2610-200",B32="10-2620-100",B32="10-2620-200",B32="10-2620-300",B32="10-2620-400",B32="10-2620-600",B32="10-2620-800",B32="50-2620-200",B32="10-2630-100",B32="10-2630-200",B32="10-2630-300",B32="10-2630-400",B32="10-2630-600",B32="10-2630-800",B32="50-2630-200",B32="10-2640-100",B32="10-2640-200",B32="10-2640-300",B32="10-2640-400",B32="10-2640-600",B32="10-2640-800",B32="50-2640-200",B32="10-2660-100",B32="10-2660-200",B32="10-2660-300",B32="10-2660-400",B32="10-2660-600",B32="10-2660-800",B32="50-2660-200",B32="10-2900-100",B32="10-2900-200",B32="10-2900-300",B32="10-2900-400",B32="10-2900-600",B32="10-2900-800",B32="20-2900-100",B32="20-2900-200",B32="20-2900-300",B32="20-2900-400",B32="20-2900-600",B32="20-2900-800",B32="40-2900-100",B32="40-2900-200",B32="40-2900-300",B32="40-2900-400",B32="40-2900-600",B32="40-2900-800",B32="50-2900-200",B32="10-3000-100",B32="10-3000-200",B32="10-3000-300",B32="10-3000-400",B32="10-3000-600",B32="10-3000-800",B32="20-3000-100",B32="20-3000-200",B32="20-3000-300",B32="20-3000-400",B32="20-3000-600",B32="20-3000-800",B32="40-3000-100",B32="40-3000-200",B32="40-3000-300",B32="40-3000-400",B32="40-3000-600",B32="40-3000-800",B32="50-3000-200"),E32,0)</f>
        <v>0</v>
      </c>
      <c r="G32" s="1792">
        <f t="shared" ref="G32:G34" si="6">IF(F32=0,0,D32-F32)</f>
        <v>0</v>
      </c>
    </row>
    <row r="33" spans="1:7" x14ac:dyDescent="0.25">
      <c r="A33" s="1653"/>
      <c r="B33" s="1666"/>
      <c r="C33" s="1654"/>
      <c r="D33" s="1843"/>
      <c r="E33" s="1540">
        <f t="shared" si="4"/>
        <v>0</v>
      </c>
      <c r="F33" s="1931">
        <f t="shared" si="5"/>
        <v>0</v>
      </c>
      <c r="G33" s="1792">
        <f t="shared" si="6"/>
        <v>0</v>
      </c>
    </row>
    <row r="34" spans="1:7" x14ac:dyDescent="0.25">
      <c r="A34" s="1653"/>
      <c r="B34" s="1666"/>
      <c r="C34" s="1654"/>
      <c r="D34" s="1843"/>
      <c r="E34" s="1540">
        <f t="shared" si="4"/>
        <v>0</v>
      </c>
      <c r="F34" s="1931">
        <f t="shared" si="5"/>
        <v>0</v>
      </c>
      <c r="G34" s="1792">
        <f t="shared" si="6"/>
        <v>0</v>
      </c>
    </row>
    <row r="35" spans="1:7" x14ac:dyDescent="0.25">
      <c r="A35" s="1653"/>
      <c r="B35" s="1666"/>
      <c r="C35" s="1654"/>
      <c r="D35" s="1843"/>
      <c r="E35" s="1540">
        <f t="shared" ref="E35:E39" si="7">IF(D35&lt;=25000,D35,IF(D35&gt;25000,25000,0))</f>
        <v>0</v>
      </c>
      <c r="F35" s="1931">
        <f t="shared" si="5"/>
        <v>0</v>
      </c>
      <c r="G35" s="1792">
        <f t="shared" ref="G35:G39" si="8">IF(F35=0,0,D35-F35)</f>
        <v>0</v>
      </c>
    </row>
    <row r="36" spans="1:7" x14ac:dyDescent="0.25">
      <c r="A36" s="1653"/>
      <c r="B36" s="1666"/>
      <c r="C36" s="1654"/>
      <c r="D36" s="1843"/>
      <c r="E36" s="1540">
        <f t="shared" si="7"/>
        <v>0</v>
      </c>
      <c r="F36" s="1931">
        <f t="shared" si="5"/>
        <v>0</v>
      </c>
      <c r="G36" s="1792">
        <f t="shared" si="8"/>
        <v>0</v>
      </c>
    </row>
    <row r="37" spans="1:7" x14ac:dyDescent="0.25">
      <c r="A37" s="1653"/>
      <c r="B37" s="1666"/>
      <c r="C37" s="1654"/>
      <c r="D37" s="1843"/>
      <c r="E37" s="1540">
        <f t="shared" si="7"/>
        <v>0</v>
      </c>
      <c r="F37" s="1931">
        <f t="shared" si="5"/>
        <v>0</v>
      </c>
      <c r="G37" s="1792">
        <f t="shared" si="8"/>
        <v>0</v>
      </c>
    </row>
    <row r="38" spans="1:7" x14ac:dyDescent="0.25">
      <c r="A38" s="1653"/>
      <c r="B38" s="1666"/>
      <c r="C38" s="1654"/>
      <c r="D38" s="1843"/>
      <c r="E38" s="1540">
        <f t="shared" si="7"/>
        <v>0</v>
      </c>
      <c r="F38" s="1931">
        <f t="shared" si="5"/>
        <v>0</v>
      </c>
      <c r="G38" s="1792">
        <f t="shared" si="8"/>
        <v>0</v>
      </c>
    </row>
    <row r="39" spans="1:7" x14ac:dyDescent="0.25">
      <c r="A39" s="1653"/>
      <c r="B39" s="1666"/>
      <c r="C39" s="1654"/>
      <c r="D39" s="1843"/>
      <c r="E39" s="1540">
        <f t="shared" si="7"/>
        <v>0</v>
      </c>
      <c r="F39" s="1931">
        <f t="shared" si="5"/>
        <v>0</v>
      </c>
      <c r="G39" s="1792">
        <f t="shared" si="8"/>
        <v>0</v>
      </c>
    </row>
    <row r="40" spans="1:7" x14ac:dyDescent="0.25">
      <c r="A40" s="1653"/>
      <c r="B40" s="1665"/>
      <c r="C40" s="1654"/>
      <c r="D40" s="1843"/>
      <c r="E40" s="1540">
        <f t="shared" si="2"/>
        <v>0</v>
      </c>
      <c r="F40" s="1931">
        <f t="shared" si="5"/>
        <v>0</v>
      </c>
      <c r="G40" s="1792">
        <f t="shared" si="3"/>
        <v>0</v>
      </c>
    </row>
    <row r="41" spans="1:7" x14ac:dyDescent="0.25">
      <c r="A41" s="1795" t="s">
        <v>156</v>
      </c>
      <c r="B41" s="1796"/>
      <c r="C41" s="1797"/>
      <c r="D41" s="1793">
        <f>SUM(D17:D40)</f>
        <v>266575.89999999997</v>
      </c>
      <c r="E41" s="1541">
        <f t="shared" si="0"/>
        <v>25000</v>
      </c>
      <c r="F41" s="1932">
        <f>SUM(F17:F40)</f>
        <v>115579.92</v>
      </c>
      <c r="G41" s="1794">
        <f>SUM(G17:G40)</f>
        <v>150995.97999999998</v>
      </c>
    </row>
  </sheetData>
  <sheetProtection selectLockedCells="1"/>
  <mergeCells count="6">
    <mergeCell ref="A13:G13"/>
    <mergeCell ref="A4:G5"/>
    <mergeCell ref="A11:G11"/>
    <mergeCell ref="A7:G7"/>
    <mergeCell ref="A8:G8"/>
    <mergeCell ref="A9:G9"/>
  </mergeCells>
  <pageMargins left="0.2" right="0.2" top="0.5" bottom="0.25" header="0.3" footer="0.3"/>
  <pageSetup scale="73" firstPageNumber="3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7"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3" t="s">
        <v>1679</v>
      </c>
      <c r="B5" s="2294"/>
      <c r="C5" s="2294"/>
      <c r="D5" s="2294"/>
      <c r="E5" s="2294"/>
      <c r="F5" s="2294"/>
      <c r="G5" s="229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232620</v>
      </c>
      <c r="F10" s="974"/>
      <c r="G10" s="975"/>
      <c r="H10" s="162"/>
      <c r="I10" s="162"/>
    </row>
    <row r="11" spans="1:9" s="668" customFormat="1" ht="22.5" customHeight="1" x14ac:dyDescent="0.2">
      <c r="A11" s="2298" t="s">
        <v>1974</v>
      </c>
      <c r="B11" s="2299"/>
      <c r="C11" s="2299"/>
      <c r="D11" s="2300"/>
      <c r="E11" s="977">
        <v>35409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7302655</v>
      </c>
      <c r="F19" s="1798"/>
      <c r="G19" s="1800">
        <f>'Expenditures 15-22'!K33-SUM('Expenditures 15-22'!G33,'Expenditures 15-22'!I33)+'Expenditures 15-22'!D229</f>
        <v>7302655</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1257530</v>
      </c>
      <c r="F21" s="1801"/>
      <c r="G21" s="1804">
        <f>'Expenditures 15-22'!K42-SUM('Expenditures 15-22'!G42,'Expenditures 15-22'!I42)+'Expenditures 15-22'!K120-SUM('Expenditures 15-22'!G120,'Expenditures 15-22'!I120)+'Expenditures 15-22'!K180-SUM('Expenditures 15-22'!G180,'Expenditures 15-22'!I180)+'Expenditures 15-22'!D238</f>
        <v>1257530</v>
      </c>
      <c r="H21" s="987"/>
      <c r="I21" s="162"/>
    </row>
    <row r="22" spans="1:9" s="668" customFormat="1" ht="12" customHeight="1" x14ac:dyDescent="0.2">
      <c r="A22" s="994" t="s">
        <v>564</v>
      </c>
      <c r="B22" s="995"/>
      <c r="C22" s="993">
        <v>2200</v>
      </c>
      <c r="D22" s="1801"/>
      <c r="E22" s="1803">
        <f>'Expenditures 15-22'!K47-SUM('Expenditures 15-22'!G47,'Expenditures 15-22'!I47)+'Expenditures 15-22'!D243</f>
        <v>267111</v>
      </c>
      <c r="F22" s="1801"/>
      <c r="G22" s="1804">
        <f>'Expenditures 15-22'!K47-SUM('Expenditures 15-22'!G47,'Expenditures 15-22'!I47)+'Expenditures 15-22'!D243</f>
        <v>267111</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506147</v>
      </c>
      <c r="F23" s="1801"/>
      <c r="G23" s="1803">
        <f>'Expenditures 15-22'!K53-SUM('Expenditures 15-22'!G53,'Expenditures 15-22'!I53)+'Expenditures 15-22'!D257+'Expenditures 15-22'!K330-SUM('Expenditures 15-22'!G330,'Expenditures 15-22'!I330)</f>
        <v>506147</v>
      </c>
      <c r="H23" s="987"/>
      <c r="I23" s="162"/>
    </row>
    <row r="24" spans="1:9" s="668" customFormat="1" ht="12" customHeight="1" x14ac:dyDescent="0.2">
      <c r="A24" s="994" t="s">
        <v>566</v>
      </c>
      <c r="B24" s="995"/>
      <c r="C24" s="993">
        <v>2400</v>
      </c>
      <c r="D24" s="1801"/>
      <c r="E24" s="1803">
        <f>'Expenditures 15-22'!K57-SUM('Expenditures 15-22'!G57,'Expenditures 15-22'!I57)+'Expenditures 15-22'!D261</f>
        <v>421291</v>
      </c>
      <c r="F24" s="1801"/>
      <c r="G24" s="1804">
        <f>'Expenditures 15-22'!K57-SUM('Expenditures 15-22'!G57,'Expenditures 15-22'!I57)+'Expenditures 15-22'!D261</f>
        <v>421291</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75708</v>
      </c>
      <c r="E26" s="1803">
        <f>'Expenditures 15-22'!K122-SUM('Expenditures 15-22'!G122,'Expenditures 15-22'!I122)+E7</f>
        <v>0</v>
      </c>
      <c r="F26" s="1803">
        <f>'Expenditures 15-22'!K59-SUM('Expenditures 15-22'!G59,'Expenditures 15-22'!I59)+'Expenditures 15-22'!D263-E7</f>
        <v>75708</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4416</v>
      </c>
      <c r="E27" s="1803">
        <f>E8</f>
        <v>0</v>
      </c>
      <c r="F27" s="1803">
        <f>'Expenditures 15-22'!K60-SUM('Expenditures 15-22'!G60,'Expenditures 15-22'!I60)+'Expenditures 15-22'!D264-E8</f>
        <v>4416</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1578253</v>
      </c>
      <c r="F28" s="1805">
        <f>'Expenditures 15-22'!K61-SUM('Expenditures 15-22'!G61,'Expenditures 15-22'!I61)+'Expenditures 15-22'!K124-SUM('Expenditures 15-22'!G124,'Expenditures 15-22'!I124)+'Expenditures 15-22'!D266-E9</f>
        <v>1578253</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958930</v>
      </c>
      <c r="F29" s="1801"/>
      <c r="G29" s="1804">
        <f>'Expenditures 15-22'!K62-SUM('Expenditures 15-22'!G62,'Expenditures 15-22'!I62)+'Expenditures 15-22'!K125-SUM('Expenditures 15-22'!G125,'Expenditures 15-22'!I125)+'Expenditures 15-22'!K182-SUM('Expenditures 15-22'!G182,'Expenditures 15-22'!I182)+'Expenditures 15-22'!D267</f>
        <v>958930</v>
      </c>
      <c r="H29" s="985"/>
    </row>
    <row r="30" spans="1:9" ht="12" customHeight="1" x14ac:dyDescent="0.2">
      <c r="A30" s="994" t="s">
        <v>100</v>
      </c>
      <c r="B30" s="997"/>
      <c r="C30" s="993">
        <v>2560</v>
      </c>
      <c r="D30" s="1801"/>
      <c r="E30" s="1803">
        <f>'Expenditures 15-22'!K63-SUM('Expenditures 15-22'!G63,'Expenditures 15-22'!I63)+'Expenditures 15-22'!D268-E10</f>
        <v>392823</v>
      </c>
      <c r="F30" s="1801"/>
      <c r="G30" s="1803">
        <f>'Expenditures 15-22'!K63-SUM('Expenditures 15-22'!G63,'Expenditures 15-22'!I63)+'Expenditures 15-22'!D268-E10</f>
        <v>392823</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343647</v>
      </c>
      <c r="E37" s="1803">
        <f>E14</f>
        <v>0</v>
      </c>
      <c r="F37" s="1803">
        <f>'Expenditures 15-22'!K71-SUM('Expenditures 15-22'!G71,'Expenditures 15-22'!I71)+'Expenditures 15-22'!D276-E14</f>
        <v>343647</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1838</v>
      </c>
      <c r="F39" s="1801"/>
      <c r="G39" s="1803">
        <f>'Expenditures 15-22'!K75-SUM('Expenditures 15-22'!G75,'Expenditures 15-22'!I75)+'Expenditures 15-22'!K130-SUM('Expenditures 15-22'!G130,'Expenditures 15-22'!I130)+'Expenditures 15-22'!K185-SUM('Expenditures 15-22'!G185,'Expenditures 15-22'!I185)+'Expenditures 15-22'!D280</f>
        <v>1838</v>
      </c>
    </row>
    <row r="40" spans="1:7" ht="12" customHeight="1" x14ac:dyDescent="0.2">
      <c r="A40" s="990" t="s">
        <v>1821</v>
      </c>
      <c r="B40" s="991"/>
      <c r="C40" s="993"/>
      <c r="D40" s="1801"/>
      <c r="E40" s="1805">
        <f>-'Contracts Paid in CY 29'!G41</f>
        <v>-150995.97999999998</v>
      </c>
      <c r="F40" s="1801"/>
      <c r="G40" s="1805">
        <f>-'Contracts Paid in CY 29'!G41</f>
        <v>-150995.97999999998</v>
      </c>
    </row>
    <row r="41" spans="1:7" ht="12" customHeight="1" x14ac:dyDescent="0.2">
      <c r="A41" s="998" t="s">
        <v>156</v>
      </c>
      <c r="B41" s="999"/>
      <c r="C41" s="1000"/>
      <c r="D41" s="1805">
        <f>SUM(D19:D39)</f>
        <v>423771</v>
      </c>
      <c r="E41" s="1805">
        <f>SUM(E19:E40)</f>
        <v>12535582.02</v>
      </c>
      <c r="F41" s="1805">
        <f>SUM(F19:F39)</f>
        <v>2002024</v>
      </c>
      <c r="G41" s="1805">
        <f>SUM(G19:G40)</f>
        <v>10957329.02</v>
      </c>
    </row>
    <row r="42" spans="1:7" x14ac:dyDescent="0.2">
      <c r="A42" s="987"/>
      <c r="B42" s="162"/>
      <c r="C42" s="1001"/>
      <c r="D42" s="2296" t="s">
        <v>522</v>
      </c>
      <c r="E42" s="2297"/>
      <c r="F42" s="1002" t="s">
        <v>523</v>
      </c>
      <c r="G42" s="1003"/>
    </row>
    <row r="43" spans="1:7" ht="12" customHeight="1" x14ac:dyDescent="0.2">
      <c r="A43" s="987"/>
      <c r="B43" s="162"/>
      <c r="C43" s="1001"/>
      <c r="D43" s="1806" t="s">
        <v>473</v>
      </c>
      <c r="E43" s="1807">
        <f>D41</f>
        <v>423771</v>
      </c>
      <c r="F43" s="1806" t="s">
        <v>473</v>
      </c>
      <c r="G43" s="1807">
        <f>F41</f>
        <v>2002024</v>
      </c>
    </row>
    <row r="44" spans="1:7" ht="12" customHeight="1" x14ac:dyDescent="0.2">
      <c r="A44" s="987"/>
      <c r="B44" s="162"/>
      <c r="C44" s="1001"/>
      <c r="D44" s="1806" t="s">
        <v>474</v>
      </c>
      <c r="E44" s="1807">
        <f>E41</f>
        <v>12535582.02</v>
      </c>
      <c r="F44" s="1806" t="s">
        <v>474</v>
      </c>
      <c r="G44" s="1807">
        <f>G41</f>
        <v>10957329.02</v>
      </c>
    </row>
    <row r="45" spans="1:7" ht="12" customHeight="1" x14ac:dyDescent="0.2">
      <c r="A45" s="987"/>
      <c r="B45" s="162"/>
      <c r="C45" s="162"/>
      <c r="D45" s="1808" t="s">
        <v>1006</v>
      </c>
      <c r="E45" s="1809">
        <f>(E43/E44)</f>
        <v>3.3805450702160539E-2</v>
      </c>
      <c r="F45" s="1808" t="s">
        <v>1006</v>
      </c>
      <c r="G45" s="1809">
        <f>(G43/G44)</f>
        <v>0.18271095048307676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9" activePane="bottomLeft" state="frozen"/>
      <selection activeCell="L31" sqref="L31"/>
      <selection pane="bottomLeft" activeCell="L31" sqref="L31"/>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15" t="s">
        <v>1379</v>
      </c>
      <c r="B1" s="2315"/>
      <c r="C1" s="2315"/>
      <c r="D1" s="2315"/>
      <c r="E1" s="2315"/>
      <c r="F1" s="2315"/>
    </row>
    <row r="2" spans="1:10" x14ac:dyDescent="0.2">
      <c r="A2" s="1886" t="s">
        <v>1909</v>
      </c>
      <c r="B2" s="1847"/>
      <c r="C2" s="1886"/>
      <c r="D2" s="1847"/>
      <c r="E2" s="1847"/>
      <c r="F2" s="1848"/>
    </row>
    <row r="3" spans="1:10" x14ac:dyDescent="0.2">
      <c r="A3" s="1886" t="s">
        <v>1975</v>
      </c>
      <c r="B3" s="1847"/>
      <c r="C3" s="1886"/>
      <c r="D3" s="1847"/>
      <c r="E3" s="1847"/>
      <c r="F3" s="1848"/>
    </row>
    <row r="4" spans="1:10" ht="3.75" customHeight="1" x14ac:dyDescent="0.2">
      <c r="A4" s="1847"/>
      <c r="B4" s="1847"/>
      <c r="C4" s="1847"/>
      <c r="D4" s="1847"/>
      <c r="E4" s="1847"/>
      <c r="F4" s="1848"/>
    </row>
    <row r="5" spans="1:10" ht="15" x14ac:dyDescent="0.25">
      <c r="A5" s="2316" t="s">
        <v>1546</v>
      </c>
      <c r="B5" s="2317"/>
      <c r="C5" s="2318"/>
      <c r="D5" s="2318"/>
      <c r="E5" s="2318"/>
      <c r="F5" s="2318"/>
    </row>
    <row r="6" spans="1:10" ht="12" customHeight="1" x14ac:dyDescent="0.25">
      <c r="A6" s="1849"/>
      <c r="B6" s="1850"/>
      <c r="C6" s="2319" t="str">
        <f>COVER!A17</f>
        <v>East Peoria CHSD 309</v>
      </c>
      <c r="D6" s="2319"/>
      <c r="E6" s="2319"/>
      <c r="F6" s="1851"/>
    </row>
    <row r="7" spans="1:10" ht="11.25" customHeight="1" thickBot="1" x14ac:dyDescent="0.3">
      <c r="A7" s="1849"/>
      <c r="B7" s="1850"/>
      <c r="C7" s="2320">
        <f>COVER!A13</f>
        <v>53090309016</v>
      </c>
      <c r="D7" s="2320"/>
      <c r="E7" s="2320"/>
      <c r="F7" s="1851"/>
    </row>
    <row r="8" spans="1:10" ht="25.5" customHeight="1" thickBot="1" x14ac:dyDescent="0.25">
      <c r="A8" s="1892" t="s">
        <v>1905</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t="s">
        <v>2070</v>
      </c>
      <c r="D25" s="1864" t="s">
        <v>2070</v>
      </c>
      <c r="E25" s="1867"/>
      <c r="F25" s="1866" t="s">
        <v>2084</v>
      </c>
      <c r="H25" s="1877">
        <f t="shared" si="0"/>
        <v>5</v>
      </c>
      <c r="I25" s="1877">
        <f t="shared" si="1"/>
        <v>5</v>
      </c>
      <c r="J25" s="1877">
        <f t="shared" si="2"/>
        <v>0</v>
      </c>
    </row>
    <row r="26" spans="1:12" ht="12" customHeight="1" x14ac:dyDescent="0.2">
      <c r="A26" s="1862" t="s">
        <v>1534</v>
      </c>
      <c r="B26" s="1863"/>
      <c r="C26" s="1864" t="s">
        <v>2070</v>
      </c>
      <c r="D26" s="1864" t="s">
        <v>2070</v>
      </c>
      <c r="E26" s="1867"/>
      <c r="F26" s="1866" t="s">
        <v>2085</v>
      </c>
      <c r="H26" s="1877">
        <f t="shared" si="0"/>
        <v>5</v>
      </c>
      <c r="I26" s="1877">
        <f t="shared" si="1"/>
        <v>5</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t="s">
        <v>2070</v>
      </c>
      <c r="D32" s="1864" t="s">
        <v>2070</v>
      </c>
      <c r="E32" s="1867"/>
      <c r="F32" s="1866" t="s">
        <v>2086</v>
      </c>
      <c r="H32" s="1877">
        <f t="shared" si="0"/>
        <v>5</v>
      </c>
      <c r="I32" s="1877">
        <f t="shared" si="1"/>
        <v>5</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15</v>
      </c>
      <c r="I34" s="1877">
        <f>SUM(I11:I32)</f>
        <v>15</v>
      </c>
      <c r="J34" s="1877">
        <f>SUM(J11:J32)</f>
        <v>0</v>
      </c>
      <c r="K34" s="1877">
        <f>SUM(H34:J34)</f>
        <v>30</v>
      </c>
    </row>
    <row r="35" spans="1:11" ht="12" customHeight="1" x14ac:dyDescent="0.2">
      <c r="A35" s="1870" t="s">
        <v>1392</v>
      </c>
      <c r="B35" s="1871"/>
      <c r="C35" s="2321"/>
      <c r="D35" s="2321"/>
      <c r="E35" s="2321"/>
      <c r="F35" s="2322"/>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07"/>
      <c r="B38" s="2308"/>
      <c r="C38" s="2308"/>
      <c r="D38" s="2308"/>
      <c r="E38" s="2308"/>
      <c r="F38" s="2309"/>
    </row>
    <row r="39" spans="1:11" ht="4.5" hidden="1" customHeight="1" x14ac:dyDescent="0.2">
      <c r="A39" s="1872"/>
      <c r="B39" s="1872"/>
      <c r="C39" s="1872"/>
      <c r="D39" s="1872"/>
      <c r="E39" s="1872"/>
      <c r="F39" s="1872"/>
    </row>
    <row r="40" spans="1:11" s="1869" customFormat="1" ht="12" customHeight="1" x14ac:dyDescent="0.25">
      <c r="A40" s="1873" t="s">
        <v>1391</v>
      </c>
      <c r="B40" s="1874"/>
      <c r="C40" s="2310"/>
      <c r="D40" s="2310"/>
      <c r="E40" s="2310"/>
      <c r="F40" s="2311"/>
      <c r="H40" s="1878"/>
      <c r="I40" s="1878"/>
      <c r="J40" s="1878"/>
      <c r="K40" s="1878"/>
    </row>
    <row r="41" spans="1:11" s="1869" customFormat="1" ht="12" customHeight="1" x14ac:dyDescent="0.25">
      <c r="A41" s="2312"/>
      <c r="B41" s="2313"/>
      <c r="C41" s="2313"/>
      <c r="D41" s="2313"/>
      <c r="E41" s="2313"/>
      <c r="F41" s="2314"/>
      <c r="H41" s="1878"/>
      <c r="I41" s="1878"/>
      <c r="J41" s="1878"/>
      <c r="K41" s="1878"/>
    </row>
    <row r="42" spans="1:11" s="1869" customFormat="1" ht="12" customHeight="1" x14ac:dyDescent="0.25">
      <c r="A42" s="2312"/>
      <c r="B42" s="2313"/>
      <c r="C42" s="2313"/>
      <c r="D42" s="2313"/>
      <c r="E42" s="2313"/>
      <c r="F42" s="2314"/>
      <c r="H42" s="1878"/>
      <c r="I42" s="1878"/>
      <c r="J42" s="1878"/>
      <c r="K42" s="1878"/>
    </row>
    <row r="43" spans="1:11" s="1869" customFormat="1" ht="15" x14ac:dyDescent="0.25">
      <c r="A43" s="2301"/>
      <c r="B43" s="2302"/>
      <c r="C43" s="2302"/>
      <c r="D43" s="2302"/>
      <c r="E43" s="2302"/>
      <c r="F43" s="2303"/>
      <c r="H43" s="1878"/>
      <c r="I43" s="1878"/>
      <c r="J43" s="1878"/>
      <c r="K43" s="1878"/>
    </row>
    <row r="44" spans="1:11" s="1869" customFormat="1" ht="12" hidden="1" customHeight="1" x14ac:dyDescent="0.25">
      <c r="A44" s="2301"/>
      <c r="B44" s="2302"/>
      <c r="C44" s="2302"/>
      <c r="D44" s="2302"/>
      <c r="E44" s="2302"/>
      <c r="F44" s="230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L31" sqref="L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2"/>
      <c r="C6" s="1642"/>
      <c r="D6" s="1642"/>
      <c r="E6" s="1643"/>
      <c r="F6" s="1015"/>
      <c r="G6" s="1009"/>
      <c r="H6" s="1016" t="s">
        <v>1028</v>
      </c>
      <c r="I6" s="2328" t="str">
        <f>COVER!A17</f>
        <v>East Peoria CHSD 309</v>
      </c>
      <c r="J6" s="2329"/>
      <c r="Q6" s="1663"/>
    </row>
    <row r="7" spans="1:17" x14ac:dyDescent="0.2">
      <c r="A7" s="2330" t="s">
        <v>869</v>
      </c>
      <c r="B7" s="2331"/>
      <c r="C7" s="2331"/>
      <c r="D7" s="2331"/>
      <c r="E7" s="2332"/>
      <c r="F7" s="1017"/>
      <c r="G7" s="1009"/>
      <c r="H7" s="1016" t="s">
        <v>372</v>
      </c>
      <c r="I7" s="2333">
        <f>COVER!A13</f>
        <v>53090309016</v>
      </c>
      <c r="J7" s="233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4" t="s">
        <v>1976</v>
      </c>
      <c r="F9" s="1023"/>
      <c r="G9" s="1023"/>
      <c r="H9" s="1895"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4" t="s">
        <v>481</v>
      </c>
      <c r="B11" s="2335"/>
      <c r="C11" s="233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262359</v>
      </c>
      <c r="F12" s="1039"/>
      <c r="G12" s="1810">
        <f t="shared" ref="G12:G18" si="0">SUM(E12:F12)</f>
        <v>262359</v>
      </c>
      <c r="H12" s="1040">
        <v>270108</v>
      </c>
      <c r="I12" s="1039"/>
      <c r="J12" s="1810">
        <f t="shared" ref="J12:J18" si="1">SUM(H12:I12)</f>
        <v>270108</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67744</v>
      </c>
      <c r="F15" s="1810">
        <f>'Expenditures 15-22'!K122</f>
        <v>0</v>
      </c>
      <c r="G15" s="1810">
        <f t="shared" si="0"/>
        <v>67744</v>
      </c>
      <c r="H15" s="1040">
        <v>70918</v>
      </c>
      <c r="I15" s="1040"/>
      <c r="J15" s="1810">
        <f t="shared" si="1"/>
        <v>70918</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7" t="s">
        <v>7</v>
      </c>
      <c r="C18" s="2338"/>
      <c r="D18" s="233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330103</v>
      </c>
      <c r="F19" s="1812">
        <f t="shared" si="2"/>
        <v>0</v>
      </c>
      <c r="G19" s="1812">
        <f t="shared" si="2"/>
        <v>330103</v>
      </c>
      <c r="H19" s="1812">
        <f t="shared" si="2"/>
        <v>341026</v>
      </c>
      <c r="I19" s="1812">
        <f t="shared" si="2"/>
        <v>0</v>
      </c>
      <c r="J19" s="1812">
        <f t="shared" si="2"/>
        <v>341026</v>
      </c>
    </row>
    <row r="20" spans="1:10" ht="13.5" thickTop="1" x14ac:dyDescent="0.2">
      <c r="A20" s="1035">
        <v>9</v>
      </c>
      <c r="B20" s="2340" t="s">
        <v>1978</v>
      </c>
      <c r="C20" s="2340"/>
      <c r="D20" s="2341"/>
      <c r="E20" s="1046"/>
      <c r="F20" s="1046"/>
      <c r="G20" s="1046"/>
      <c r="H20" s="1046"/>
      <c r="I20" s="1046"/>
      <c r="J20" s="1813">
        <f>IF(AND(G19&gt;0,J19&gt;0),(((J19-G19)/G19)),"Enter Budget Data")</f>
        <v>3.3089672011463088E-2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46"/>
      <c r="D26" s="2346"/>
      <c r="E26" s="1050"/>
      <c r="F26" s="2345"/>
      <c r="G26" s="2345"/>
    </row>
    <row r="27" spans="1:10" x14ac:dyDescent="0.2">
      <c r="B27" s="1047"/>
      <c r="C27" s="1051" t="s">
        <v>1033</v>
      </c>
      <c r="D27" s="1052"/>
      <c r="E27" s="1053"/>
      <c r="F27" s="2342" t="s">
        <v>1509</v>
      </c>
      <c r="G27" s="2342"/>
    </row>
    <row r="28" spans="1:10" ht="28.5" customHeight="1" x14ac:dyDescent="0.2">
      <c r="B28" s="1047"/>
      <c r="C28" s="2344"/>
      <c r="D28" s="2344"/>
      <c r="E28" s="1054"/>
      <c r="F28" s="2344"/>
      <c r="G28" s="2344"/>
    </row>
    <row r="29" spans="1:10" x14ac:dyDescent="0.2">
      <c r="B29" s="1047"/>
      <c r="C29" s="1055" t="s">
        <v>1561</v>
      </c>
      <c r="E29" s="1056"/>
      <c r="F29" s="2343" t="s">
        <v>1510</v>
      </c>
      <c r="G29" s="234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2"/>
    </row>
    <row r="36" spans="1:10" ht="13.5" customHeight="1" x14ac:dyDescent="0.2">
      <c r="B36" s="1061"/>
      <c r="C36" s="2327" t="s">
        <v>1980</v>
      </c>
      <c r="D36" s="2326"/>
      <c r="E36" s="2326"/>
      <c r="F36" s="2326"/>
      <c r="G36" s="2326"/>
      <c r="H36" s="2326"/>
      <c r="I36" s="2326"/>
      <c r="J36" s="1063"/>
    </row>
    <row r="37" spans="1:10" ht="22.5" customHeight="1" x14ac:dyDescent="0.2">
      <c r="C37" s="2326"/>
      <c r="D37" s="2326"/>
      <c r="E37" s="2326"/>
      <c r="F37" s="2326"/>
      <c r="G37" s="2326"/>
      <c r="H37" s="2326"/>
      <c r="I37" s="2326"/>
      <c r="J37" s="1063"/>
    </row>
    <row r="38" spans="1:10" ht="7.5" customHeight="1" x14ac:dyDescent="0.2">
      <c r="C38" s="1062"/>
      <c r="D38" s="1064"/>
      <c r="E38" s="1065"/>
      <c r="F38" s="1066"/>
      <c r="G38" s="1065"/>
    </row>
    <row r="39" spans="1:10" ht="13.5" customHeight="1" x14ac:dyDescent="0.2">
      <c r="B39" s="1061"/>
      <c r="C39" s="2323" t="s">
        <v>882</v>
      </c>
      <c r="D39" s="2324"/>
      <c r="E39" s="2324"/>
      <c r="F39" s="2324"/>
      <c r="G39" s="2324"/>
      <c r="H39" s="2324"/>
      <c r="I39" s="232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D65"/>
  <sheetViews>
    <sheetView showGridLines="0" topLeftCell="A22" zoomScale="110" zoomScaleNormal="110" workbookViewId="0">
      <selection activeCell="B10" sqref="B10"/>
    </sheetView>
  </sheetViews>
  <sheetFormatPr defaultColWidth="9.140625" defaultRowHeight="12.75" x14ac:dyDescent="0.2"/>
  <cols>
    <col min="1" max="1" width="7.42578125" style="329" customWidth="1"/>
    <col min="2" max="2" width="104.28515625" style="329" customWidth="1"/>
    <col min="3" max="3" width="3.140625" style="329" customWidth="1"/>
    <col min="4" max="4" width="10" style="329" bestFit="1" customWidth="1"/>
    <col min="5" max="16384" width="9.140625" style="329"/>
  </cols>
  <sheetData>
    <row r="2" spans="1:4" x14ac:dyDescent="0.2">
      <c r="A2" s="389" t="s">
        <v>258</v>
      </c>
    </row>
    <row r="3" spans="1:4" x14ac:dyDescent="0.2">
      <c r="A3" s="329" t="s">
        <v>259</v>
      </c>
    </row>
    <row r="5" spans="1:4" x14ac:dyDescent="0.2">
      <c r="A5" s="1935" t="s">
        <v>2087</v>
      </c>
      <c r="B5" s="329" t="s">
        <v>2088</v>
      </c>
    </row>
    <row r="6" spans="1:4" x14ac:dyDescent="0.2">
      <c r="A6" s="1068"/>
      <c r="B6" s="329" t="s">
        <v>2089</v>
      </c>
      <c r="C6" s="329" t="s">
        <v>958</v>
      </c>
      <c r="D6" s="1937">
        <v>19675</v>
      </c>
    </row>
    <row r="7" spans="1:4" x14ac:dyDescent="0.2">
      <c r="A7" s="1068"/>
      <c r="D7" s="1936"/>
    </row>
    <row r="8" spans="1:4" x14ac:dyDescent="0.2">
      <c r="A8" s="1068"/>
      <c r="B8" s="329" t="s">
        <v>2090</v>
      </c>
    </row>
    <row r="9" spans="1:4" x14ac:dyDescent="0.2">
      <c r="A9" s="1069"/>
      <c r="B9" s="329" t="s">
        <v>2091</v>
      </c>
      <c r="C9" s="329" t="s">
        <v>958</v>
      </c>
      <c r="D9" s="1937">
        <v>3453</v>
      </c>
    </row>
    <row r="10" spans="1:4" x14ac:dyDescent="0.2">
      <c r="A10" s="1069"/>
    </row>
    <row r="11" spans="1:4" x14ac:dyDescent="0.2">
      <c r="A11" s="1069"/>
      <c r="B11" s="329" t="s">
        <v>2092</v>
      </c>
    </row>
    <row r="12" spans="1:4" x14ac:dyDescent="0.2">
      <c r="A12" s="1069"/>
      <c r="B12" s="329" t="s">
        <v>2093</v>
      </c>
      <c r="C12" s="329" t="s">
        <v>958</v>
      </c>
      <c r="D12" s="1937">
        <v>3903</v>
      </c>
    </row>
    <row r="13" spans="1:4" x14ac:dyDescent="0.2">
      <c r="A13" s="1069"/>
      <c r="B13" s="329" t="s">
        <v>2094</v>
      </c>
      <c r="D13" s="1937">
        <v>28828</v>
      </c>
    </row>
    <row r="14" spans="1:4" x14ac:dyDescent="0.2">
      <c r="A14" s="1069"/>
      <c r="B14" s="329" t="s">
        <v>2155</v>
      </c>
      <c r="D14" s="1937">
        <v>9189</v>
      </c>
    </row>
    <row r="15" spans="1:4" x14ac:dyDescent="0.2">
      <c r="A15" s="1069"/>
      <c r="B15" s="674" t="s">
        <v>2156</v>
      </c>
      <c r="D15" s="1937">
        <v>75800</v>
      </c>
    </row>
    <row r="16" spans="1:4" ht="13.5" thickBot="1" x14ac:dyDescent="0.25">
      <c r="A16" s="1069"/>
      <c r="D16" s="1938">
        <f>SUM(D12:D15)</f>
        <v>117720</v>
      </c>
    </row>
    <row r="17" spans="1:4" ht="13.5" thickTop="1" x14ac:dyDescent="0.2">
      <c r="A17" s="1069"/>
      <c r="D17" s="1937"/>
    </row>
    <row r="18" spans="1:4" x14ac:dyDescent="0.2">
      <c r="A18" s="1069"/>
      <c r="B18" s="329" t="s">
        <v>2095</v>
      </c>
      <c r="D18" s="1937"/>
    </row>
    <row r="19" spans="1:4" x14ac:dyDescent="0.2">
      <c r="A19" s="1069"/>
      <c r="B19" s="329" t="s">
        <v>2096</v>
      </c>
      <c r="C19" s="329" t="s">
        <v>958</v>
      </c>
      <c r="D19" s="1937">
        <v>3868</v>
      </c>
    </row>
    <row r="20" spans="1:4" x14ac:dyDescent="0.2">
      <c r="A20" s="1069"/>
      <c r="D20" s="1937"/>
    </row>
    <row r="21" spans="1:4" x14ac:dyDescent="0.2">
      <c r="A21" s="1069" t="s">
        <v>2097</v>
      </c>
      <c r="B21" s="329" t="s">
        <v>2098</v>
      </c>
      <c r="D21" s="1937"/>
    </row>
    <row r="22" spans="1:4" x14ac:dyDescent="0.2">
      <c r="A22" s="1069"/>
      <c r="B22" s="329" t="s">
        <v>2099</v>
      </c>
      <c r="C22" s="329" t="s">
        <v>958</v>
      </c>
      <c r="D22" s="1937">
        <v>5815</v>
      </c>
    </row>
    <row r="23" spans="1:4" x14ac:dyDescent="0.2">
      <c r="A23" s="1069"/>
      <c r="D23" s="1937"/>
    </row>
    <row r="24" spans="1:4" x14ac:dyDescent="0.2">
      <c r="A24" s="1069"/>
      <c r="B24" s="329" t="s">
        <v>2100</v>
      </c>
      <c r="D24" s="1937"/>
    </row>
    <row r="25" spans="1:4" x14ac:dyDescent="0.2">
      <c r="A25" s="1069"/>
      <c r="B25" s="329" t="s">
        <v>2101</v>
      </c>
      <c r="C25" s="329" t="s">
        <v>958</v>
      </c>
      <c r="D25" s="1937">
        <v>22542</v>
      </c>
    </row>
    <row r="26" spans="1:4" x14ac:dyDescent="0.2">
      <c r="A26" s="1069"/>
      <c r="B26" s="329" t="s">
        <v>2153</v>
      </c>
      <c r="D26" s="1937">
        <v>5161</v>
      </c>
    </row>
    <row r="27" spans="1:4" x14ac:dyDescent="0.2">
      <c r="A27" s="1069"/>
      <c r="B27" s="329" t="s">
        <v>2177</v>
      </c>
      <c r="D27" s="1937">
        <v>56770</v>
      </c>
    </row>
    <row r="28" spans="1:4" x14ac:dyDescent="0.2">
      <c r="A28" s="1069"/>
      <c r="B28" s="329" t="s">
        <v>2102</v>
      </c>
      <c r="D28" s="1937">
        <v>12459</v>
      </c>
    </row>
    <row r="29" spans="1:4" ht="13.5" thickBot="1" x14ac:dyDescent="0.25">
      <c r="A29" s="1069"/>
      <c r="C29" s="329" t="s">
        <v>958</v>
      </c>
      <c r="D29" s="1938">
        <f>SUM(D25:D28)</f>
        <v>96932</v>
      </c>
    </row>
    <row r="30" spans="1:4" ht="13.5" thickTop="1" x14ac:dyDescent="0.2">
      <c r="A30" s="1069"/>
      <c r="D30" s="1939"/>
    </row>
    <row r="31" spans="1:4" x14ac:dyDescent="0.2">
      <c r="A31" s="1069"/>
      <c r="B31" s="329" t="s">
        <v>2103</v>
      </c>
      <c r="D31" s="1937"/>
    </row>
    <row r="32" spans="1:4" x14ac:dyDescent="0.2">
      <c r="A32" s="1069"/>
      <c r="B32" s="329" t="s">
        <v>2104</v>
      </c>
      <c r="C32" s="329" t="s">
        <v>958</v>
      </c>
      <c r="D32" s="1937">
        <v>4465</v>
      </c>
    </row>
    <row r="33" spans="1:4" x14ac:dyDescent="0.2">
      <c r="A33" s="1069"/>
      <c r="B33" s="329" t="s">
        <v>2102</v>
      </c>
      <c r="D33" s="1937">
        <v>8778</v>
      </c>
    </row>
    <row r="34" spans="1:4" ht="13.5" thickBot="1" x14ac:dyDescent="0.25">
      <c r="A34" s="1069"/>
      <c r="C34" s="329" t="s">
        <v>958</v>
      </c>
      <c r="D34" s="1938">
        <f>SUM(D32:D33)</f>
        <v>13243</v>
      </c>
    </row>
    <row r="35" spans="1:4" ht="13.5" thickTop="1" x14ac:dyDescent="0.2">
      <c r="A35" s="1069"/>
      <c r="D35" s="1937"/>
    </row>
    <row r="36" spans="1:4" x14ac:dyDescent="0.2">
      <c r="A36" s="1069"/>
      <c r="B36" s="329" t="s">
        <v>2105</v>
      </c>
      <c r="D36" s="1937"/>
    </row>
    <row r="37" spans="1:4" x14ac:dyDescent="0.2">
      <c r="A37" s="1069"/>
      <c r="B37" s="329" t="s">
        <v>2106</v>
      </c>
      <c r="C37" s="329" t="s">
        <v>958</v>
      </c>
      <c r="D37" s="1937">
        <v>402821</v>
      </c>
    </row>
    <row r="38" spans="1:4" x14ac:dyDescent="0.2">
      <c r="A38" s="1069"/>
      <c r="D38" s="1937"/>
    </row>
    <row r="39" spans="1:4" x14ac:dyDescent="0.2">
      <c r="A39" s="1069"/>
      <c r="B39" s="329" t="s">
        <v>2107</v>
      </c>
      <c r="D39" s="1937"/>
    </row>
    <row r="40" spans="1:4" x14ac:dyDescent="0.2">
      <c r="A40" s="1069"/>
      <c r="B40" s="329" t="s">
        <v>2154</v>
      </c>
      <c r="C40" s="329" t="s">
        <v>958</v>
      </c>
      <c r="D40" s="1937">
        <v>3168</v>
      </c>
    </row>
    <row r="41" spans="1:4" x14ac:dyDescent="0.2">
      <c r="A41" s="1069"/>
    </row>
    <row r="42" spans="1:4" x14ac:dyDescent="0.2">
      <c r="A42" s="1069"/>
      <c r="B42" s="329" t="s">
        <v>2108</v>
      </c>
    </row>
    <row r="43" spans="1:4" x14ac:dyDescent="0.2">
      <c r="A43" s="1069"/>
      <c r="B43" s="329" t="s">
        <v>2106</v>
      </c>
      <c r="C43" s="329" t="s">
        <v>958</v>
      </c>
      <c r="D43" s="1937">
        <v>32618</v>
      </c>
    </row>
    <row r="44" spans="1:4" x14ac:dyDescent="0.2">
      <c r="A44" s="1069"/>
    </row>
    <row r="45" spans="1:4" x14ac:dyDescent="0.2">
      <c r="A45" s="1069" t="s">
        <v>2111</v>
      </c>
      <c r="B45" s="329" t="s">
        <v>2109</v>
      </c>
    </row>
    <row r="46" spans="1:4" x14ac:dyDescent="0.2">
      <c r="A46" s="1069"/>
      <c r="B46" s="329" t="s">
        <v>2110</v>
      </c>
      <c r="C46" s="329" t="s">
        <v>958</v>
      </c>
      <c r="D46" s="329">
        <v>750</v>
      </c>
    </row>
    <row r="47" spans="1:4" x14ac:dyDescent="0.2">
      <c r="A47" s="1069"/>
    </row>
    <row r="48" spans="1:4" x14ac:dyDescent="0.2">
      <c r="A48" s="1069" t="s">
        <v>2112</v>
      </c>
      <c r="B48" s="329" t="s">
        <v>2113</v>
      </c>
    </row>
    <row r="49" spans="1:4" x14ac:dyDescent="0.2">
      <c r="A49" s="1069"/>
      <c r="B49" s="329" t="s">
        <v>2114</v>
      </c>
      <c r="C49" s="329" t="s">
        <v>958</v>
      </c>
      <c r="D49" s="1937">
        <v>1400</v>
      </c>
    </row>
    <row r="50" spans="1:4" x14ac:dyDescent="0.2">
      <c r="A50" s="1069"/>
    </row>
    <row r="51" spans="1:4" x14ac:dyDescent="0.2">
      <c r="A51" s="1069" t="s">
        <v>2115</v>
      </c>
      <c r="B51" s="329" t="s">
        <v>2171</v>
      </c>
      <c r="C51" s="329" t="s">
        <v>958</v>
      </c>
      <c r="D51" s="1937">
        <v>922404</v>
      </c>
    </row>
    <row r="52" spans="1:4" x14ac:dyDescent="0.2">
      <c r="A52" s="1069"/>
      <c r="B52" s="329" t="s">
        <v>2172</v>
      </c>
      <c r="D52" s="1937">
        <v>-390181</v>
      </c>
    </row>
    <row r="53" spans="1:4" ht="13.5" thickBot="1" x14ac:dyDescent="0.25">
      <c r="A53" s="1069" t="s">
        <v>2115</v>
      </c>
      <c r="B53" s="329" t="s">
        <v>2173</v>
      </c>
      <c r="D53" s="1938">
        <f>SUM(D51:D52)</f>
        <v>532223</v>
      </c>
    </row>
    <row r="54" spans="1:4" ht="13.5" thickTop="1" x14ac:dyDescent="0.2">
      <c r="A54" s="1069"/>
    </row>
    <row r="55" spans="1:4" x14ac:dyDescent="0.2">
      <c r="A55" s="1069" t="s">
        <v>2115</v>
      </c>
      <c r="B55" s="329" t="s">
        <v>2116</v>
      </c>
      <c r="C55" s="329" t="s">
        <v>958</v>
      </c>
      <c r="D55" s="1937">
        <v>1106657</v>
      </c>
    </row>
    <row r="56" spans="1:4" x14ac:dyDescent="0.2">
      <c r="A56" s="1069"/>
      <c r="B56" s="329" t="s">
        <v>2117</v>
      </c>
      <c r="D56" s="1937">
        <v>-177488</v>
      </c>
    </row>
    <row r="57" spans="1:4" x14ac:dyDescent="0.2">
      <c r="A57" s="1069"/>
      <c r="B57" s="329" t="s">
        <v>2176</v>
      </c>
      <c r="D57" s="1937">
        <v>-21624</v>
      </c>
    </row>
    <row r="58" spans="1:4" x14ac:dyDescent="0.2">
      <c r="A58" s="1069"/>
      <c r="B58" s="329" t="s">
        <v>2174</v>
      </c>
      <c r="D58" s="1937">
        <v>-117726</v>
      </c>
    </row>
    <row r="59" spans="1:4" x14ac:dyDescent="0.2">
      <c r="A59" s="1069"/>
      <c r="B59" s="329" t="s">
        <v>2175</v>
      </c>
      <c r="D59" s="1937">
        <v>-151819</v>
      </c>
    </row>
    <row r="60" spans="1:4" ht="13.5" thickBot="1" x14ac:dyDescent="0.25">
      <c r="A60" s="1069" t="s">
        <v>2112</v>
      </c>
      <c r="B60" s="329" t="s">
        <v>2118</v>
      </c>
      <c r="C60" s="329" t="s">
        <v>958</v>
      </c>
      <c r="D60" s="1938">
        <f>SUM(D55:D59)</f>
        <v>638000</v>
      </c>
    </row>
    <row r="61" spans="1:4" ht="13.5" thickTop="1" x14ac:dyDescent="0.2">
      <c r="A61" s="1069"/>
    </row>
    <row r="62" spans="1:4" x14ac:dyDescent="0.2">
      <c r="A62" s="1069"/>
    </row>
    <row r="63" spans="1:4" x14ac:dyDescent="0.2">
      <c r="A63" s="1069"/>
    </row>
    <row r="64" spans="1:4" x14ac:dyDescent="0.2">
      <c r="A64" s="1069"/>
      <c r="B64" s="258" t="str">
        <f>COVER!A17</f>
        <v>East Peoria CHSD 309</v>
      </c>
    </row>
    <row r="65" spans="2:2" x14ac:dyDescent="0.2">
      <c r="B65" s="1070">
        <f>COVER!A13</f>
        <v>53090309016</v>
      </c>
    </row>
  </sheetData>
  <phoneticPr fontId="14"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7" t="s">
        <v>1685</v>
      </c>
      <c r="B18" s="234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0178" r:id="rId4"/>
      </mc:Fallback>
    </mc:AlternateContent>
    <mc:AlternateContent xmlns:mc="http://schemas.openxmlformats.org/markup-compatibility/2006">
      <mc:Choice Requires="x14">
        <oleObject progId="Acrobat Document" dvAspect="DVASPECT_ICON" shapeId="50179" r:id="rId6">
          <objectPr defaultSize="0" r:id="rId7">
            <anchor moveWithCells="1">
              <from>
                <xdr:col>1</xdr:col>
                <xdr:colOff>1114425</xdr:colOff>
                <xdr:row>0</xdr:row>
                <xdr:rowOff>0</xdr:rowOff>
              </from>
              <to>
                <xdr:col>1</xdr:col>
                <xdr:colOff>2028825</xdr:colOff>
                <xdr:row>4</xdr:row>
                <xdr:rowOff>38100</xdr:rowOff>
              </to>
            </anchor>
          </objectPr>
        </oleObject>
      </mc:Choice>
      <mc:Fallback>
        <oleObject progId="Acrobat Document" dvAspect="DVASPECT_ICON" shapeId="50179" r:id="rId6"/>
      </mc:Fallback>
    </mc:AlternateContent>
    <mc:AlternateContent xmlns:mc="http://schemas.openxmlformats.org/markup-compatibility/2006">
      <mc:Choice Requires="x14">
        <oleObject progId="Acrobat Document" dvAspect="DVASPECT_ICON" shapeId="50180" r:id="rId8">
          <objectPr defaultSize="0" r:id="rId9">
            <anchor moveWithCells="1">
              <from>
                <xdr:col>1</xdr:col>
                <xdr:colOff>2266950</xdr:colOff>
                <xdr:row>0</xdr:row>
                <xdr:rowOff>9525</xdr:rowOff>
              </from>
              <to>
                <xdr:col>1</xdr:col>
                <xdr:colOff>3181350</xdr:colOff>
                <xdr:row>4</xdr:row>
                <xdr:rowOff>47625</xdr:rowOff>
              </to>
            </anchor>
          </objectPr>
        </oleObject>
      </mc:Choice>
      <mc:Fallback>
        <oleObject progId="Acrobat Document"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1690</v>
      </c>
      <c r="B1" s="2349"/>
      <c r="C1" s="2349"/>
      <c r="D1" s="2349"/>
      <c r="E1" s="2349"/>
      <c r="F1" s="2350"/>
    </row>
    <row r="2" spans="1:8" ht="45" customHeight="1" x14ac:dyDescent="0.2">
      <c r="A2" s="2358" t="s">
        <v>1984</v>
      </c>
      <c r="B2" s="2359"/>
      <c r="C2" s="2359"/>
      <c r="D2" s="2359"/>
      <c r="E2" s="2359"/>
      <c r="F2" s="2360"/>
      <c r="G2" s="1074"/>
      <c r="H2" s="1074"/>
    </row>
    <row r="3" spans="1:8" ht="57" customHeight="1" x14ac:dyDescent="0.2">
      <c r="A3" s="2361" t="s">
        <v>1686</v>
      </c>
      <c r="B3" s="2362"/>
      <c r="C3" s="2362"/>
      <c r="D3" s="2362"/>
      <c r="E3" s="2362"/>
      <c r="F3" s="2363"/>
      <c r="G3" s="1074"/>
      <c r="H3" s="1074"/>
    </row>
    <row r="4" spans="1:8" ht="14.25" customHeight="1" x14ac:dyDescent="0.2">
      <c r="A4" s="2367" t="s">
        <v>1985</v>
      </c>
      <c r="B4" s="2368"/>
      <c r="C4" s="2368"/>
      <c r="D4" s="2368"/>
      <c r="E4" s="2368"/>
      <c r="F4" s="2369"/>
      <c r="G4" s="1074"/>
      <c r="H4" s="1074"/>
    </row>
    <row r="5" spans="1:8" ht="14.25" customHeight="1" x14ac:dyDescent="0.2">
      <c r="A5" s="2370" t="s">
        <v>1981</v>
      </c>
      <c r="B5" s="2371"/>
      <c r="C5" s="2371"/>
      <c r="D5" s="2371"/>
      <c r="E5" s="2371"/>
      <c r="F5" s="2372"/>
      <c r="G5" s="1074"/>
      <c r="H5" s="1074"/>
    </row>
    <row r="6" spans="1:8" s="1075" customFormat="1" ht="41.25" customHeight="1" x14ac:dyDescent="0.2">
      <c r="A6" s="2364" t="s">
        <v>1691</v>
      </c>
      <c r="B6" s="2365"/>
      <c r="C6" s="2365"/>
      <c r="D6" s="2365"/>
      <c r="E6" s="2365"/>
      <c r="F6" s="236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10523484</v>
      </c>
      <c r="C8" s="1814">
        <f>'Acct Summary 7-8'!D8</f>
        <v>1910246</v>
      </c>
      <c r="D8" s="1814">
        <f>'Acct Summary 7-8'!F8</f>
        <v>1280733</v>
      </c>
      <c r="E8" s="1814">
        <f>'Acct Summary 7-8'!I8</f>
        <v>250321</v>
      </c>
      <c r="F8" s="1814">
        <f>SUM(B8:E8)</f>
        <v>13964784</v>
      </c>
    </row>
    <row r="9" spans="1:8" s="1079" customFormat="1" ht="14.25" customHeight="1" thickBot="1" x14ac:dyDescent="0.25">
      <c r="A9" s="1078" t="s">
        <v>1369</v>
      </c>
      <c r="B9" s="1815">
        <f>'Acct Summary 7-8'!C17</f>
        <v>10936446</v>
      </c>
      <c r="C9" s="1815">
        <f>'Acct Summary 7-8'!D17</f>
        <v>1660274</v>
      </c>
      <c r="D9" s="1815">
        <f>'Acct Summary 7-8'!F17</f>
        <v>1255978</v>
      </c>
      <c r="E9" s="1814"/>
      <c r="F9" s="1814">
        <f>SUM(B9:E9)</f>
        <v>13852698</v>
      </c>
    </row>
    <row r="10" spans="1:8" s="1079" customFormat="1" ht="14.25" thickTop="1" thickBot="1" x14ac:dyDescent="0.25">
      <c r="A10" s="1080" t="s">
        <v>1370</v>
      </c>
      <c r="B10" s="1816">
        <f>(B8-B9)</f>
        <v>-412962</v>
      </c>
      <c r="C10" s="1816">
        <f>(C8-C9)</f>
        <v>249972</v>
      </c>
      <c r="D10" s="1816">
        <f>(D8-D9)</f>
        <v>24755</v>
      </c>
      <c r="E10" s="1815">
        <f>(E8-E9)</f>
        <v>250321</v>
      </c>
      <c r="F10" s="1817">
        <f>SUM(F8-F9)</f>
        <v>112086</v>
      </c>
    </row>
    <row r="11" spans="1:8" s="1079" customFormat="1" ht="14.25" thickTop="1" thickBot="1" x14ac:dyDescent="0.25">
      <c r="A11" s="1081" t="s">
        <v>1982</v>
      </c>
      <c r="B11" s="1818">
        <f>'Acct Summary 7-8'!C81</f>
        <v>2614502</v>
      </c>
      <c r="C11" s="1818">
        <f>'Acct Summary 7-8'!D81</f>
        <v>1040898</v>
      </c>
      <c r="D11" s="1818">
        <f>'Acct Summary 7-8'!F81</f>
        <v>1828392</v>
      </c>
      <c r="E11" s="1818">
        <f>'Acct Summary 7-8'!I81</f>
        <v>2635179</v>
      </c>
      <c r="F11" s="1819">
        <f>SUM(B11:E11)</f>
        <v>8118971</v>
      </c>
    </row>
    <row r="12" spans="1:8" ht="16.5" customHeight="1" thickTop="1" x14ac:dyDescent="0.2">
      <c r="A12" s="1082"/>
      <c r="B12" s="1083"/>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4"/>
      <c r="B13" s="1085"/>
      <c r="C13" s="2352"/>
      <c r="D13" s="2353"/>
      <c r="E13" s="2353"/>
      <c r="F13" s="2354"/>
      <c r="H13" s="1074"/>
    </row>
    <row r="14" spans="1:8" ht="19.5" customHeight="1" x14ac:dyDescent="0.2">
      <c r="A14" s="1084"/>
      <c r="B14" s="1085"/>
      <c r="C14" s="2352"/>
      <c r="D14" s="2353"/>
      <c r="E14" s="2353"/>
      <c r="F14" s="2354"/>
      <c r="H14" s="1074"/>
    </row>
    <row r="15" spans="1:8" ht="17.25" customHeight="1" x14ac:dyDescent="0.2">
      <c r="A15" s="1084"/>
      <c r="B15" s="1085"/>
      <c r="C15" s="2355"/>
      <c r="D15" s="2356"/>
      <c r="E15" s="2356"/>
      <c r="F15" s="2357"/>
      <c r="H15" s="1074"/>
    </row>
    <row r="16" spans="1:8" s="310" customFormat="1" ht="51.75" hidden="1" customHeight="1" x14ac:dyDescent="0.2">
      <c r="A16" s="2351" t="s">
        <v>1687</v>
      </c>
      <c r="B16" s="2351"/>
      <c r="C16" s="2351"/>
      <c r="D16" s="2351"/>
      <c r="E16" s="235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L31" sqref="L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6"/>
      <c r="B2" s="1897"/>
      <c r="C2" s="1898"/>
      <c r="D2" s="1899"/>
    </row>
    <row r="3" spans="1:4" ht="36" customHeight="1" x14ac:dyDescent="0.2">
      <c r="A3" s="2373" t="s">
        <v>665</v>
      </c>
      <c r="B3" s="2374"/>
      <c r="C3" s="2374"/>
      <c r="D3" s="2375"/>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4" t="s">
        <v>1504</v>
      </c>
      <c r="D7" s="2385"/>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6" t="s">
        <v>1008</v>
      </c>
      <c r="B15" s="2377"/>
      <c r="C15" s="2377"/>
      <c r="D15" s="2378"/>
    </row>
    <row r="16" spans="1:4" s="668" customFormat="1" ht="24" customHeight="1" x14ac:dyDescent="0.2">
      <c r="A16" s="2379" t="s">
        <v>663</v>
      </c>
      <c r="B16" s="2380"/>
      <c r="C16" s="2380"/>
      <c r="D16" s="238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8" t="s">
        <v>314</v>
      </c>
      <c r="D21" s="2389"/>
    </row>
    <row r="22" spans="1:10" ht="12.75" x14ac:dyDescent="0.2">
      <c r="A22" s="1139"/>
      <c r="B22" s="1140">
        <v>2</v>
      </c>
      <c r="C22" s="2386" t="s">
        <v>1524</v>
      </c>
      <c r="D22" s="238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0" t="s">
        <v>536</v>
      </c>
      <c r="D43" s="239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2" t="s">
        <v>784</v>
      </c>
      <c r="D56" s="238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ERROR!</v>
      </c>
    </row>
    <row r="70" spans="1:4" x14ac:dyDescent="0.2">
      <c r="A70" s="1098"/>
      <c r="B70" s="1120">
        <f>B66+1</f>
        <v>9</v>
      </c>
      <c r="C70" s="2382" t="s">
        <v>1696</v>
      </c>
      <c r="D70" s="238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53090309016</v>
      </c>
    </row>
    <row r="3" spans="1:2" x14ac:dyDescent="0.2">
      <c r="A3" t="s">
        <v>956</v>
      </c>
      <c r="B3" s="138" t="str">
        <f>COVER!A15</f>
        <v>Tazewell</v>
      </c>
    </row>
    <row r="4" spans="1:2" x14ac:dyDescent="0.2">
      <c r="A4" t="s">
        <v>1007</v>
      </c>
      <c r="B4" s="138" t="str">
        <f>COVER!A17</f>
        <v>East Peoria CHSD 309</v>
      </c>
    </row>
    <row r="5" spans="1:2" x14ac:dyDescent="0.2">
      <c r="A5" t="s">
        <v>704</v>
      </c>
      <c r="B5" s="138" t="str">
        <f>COVER!A38</f>
        <v>Marjorie Greuter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Lori Salmi</v>
      </c>
    </row>
    <row r="18" spans="1:2" x14ac:dyDescent="0.2">
      <c r="A18" t="s">
        <v>1150</v>
      </c>
      <c r="B18" s="138" t="str">
        <f>COVER!T17</f>
        <v>112 S Main Street</v>
      </c>
    </row>
    <row r="19" spans="1:2" x14ac:dyDescent="0.2">
      <c r="A19" t="s">
        <v>886</v>
      </c>
      <c r="B19" s="138" t="str">
        <f>COVER!T25</f>
        <v>lsalmi@psa-cpa.com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219887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2843173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-7166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228671</v>
      </c>
      <c r="C91" s="2" t="s">
        <v>573</v>
      </c>
      <c r="D91" s="2" t="str">
        <f t="shared" si="0"/>
        <v>Error?</v>
      </c>
    </row>
    <row r="92" spans="1:4" x14ac:dyDescent="0.2">
      <c r="A92" s="5">
        <v>31</v>
      </c>
      <c r="B92" s="138">
        <f>'Assets-Liab 5-6'!C39</f>
        <v>1952338</v>
      </c>
      <c r="D92" s="2" t="str">
        <f t="shared" si="0"/>
        <v>Error?</v>
      </c>
    </row>
    <row r="93" spans="1:4" x14ac:dyDescent="0.2">
      <c r="A93" s="5">
        <v>32</v>
      </c>
      <c r="B93" s="138">
        <f>'Assets-Liab 5-6'!C41</f>
        <v>2843173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122506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1040898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273938</v>
      </c>
      <c r="D123" s="2" t="str">
        <f t="shared" si="0"/>
        <v>Error?</v>
      </c>
    </row>
    <row r="124" spans="1:4" x14ac:dyDescent="0.2">
      <c r="A124" s="5">
        <v>63</v>
      </c>
      <c r="B124" s="138">
        <f>'Assets-Liab 5-6'!D41</f>
        <v>1040898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30804</v>
      </c>
      <c r="D129" s="2" t="str">
        <f t="shared" si="1"/>
        <v>Error?</v>
      </c>
    </row>
    <row r="130" spans="1:4" x14ac:dyDescent="0.2">
      <c r="A130" s="5">
        <v>69</v>
      </c>
      <c r="B130" s="138">
        <f>'Assets-Liab 5-6'!E12</f>
        <v>0</v>
      </c>
      <c r="D130" s="2" t="str">
        <f t="shared" si="1"/>
        <v>Error?</v>
      </c>
    </row>
    <row r="131" spans="1:4" x14ac:dyDescent="0.2">
      <c r="A131" s="5">
        <v>70</v>
      </c>
      <c r="B131" s="138">
        <f>'Assets-Liab 5-6'!E13</f>
        <v>1268127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1268127</v>
      </c>
      <c r="D140" s="2" t="str">
        <f t="shared" si="1"/>
        <v>Error?</v>
      </c>
    </row>
    <row r="141" spans="1:4" x14ac:dyDescent="0.2">
      <c r="A141" s="5">
        <v>80</v>
      </c>
      <c r="B141" s="138">
        <f>'Assets-Liab 5-6'!E41</f>
        <v>1268127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218104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1853442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25050</v>
      </c>
      <c r="C169" s="2" t="s">
        <v>573</v>
      </c>
      <c r="D169" s="2" t="str">
        <f t="shared" si="1"/>
        <v>Error?</v>
      </c>
    </row>
    <row r="170" spans="1:4" x14ac:dyDescent="0.2">
      <c r="A170" s="5">
        <v>109</v>
      </c>
      <c r="B170" s="138">
        <f>'Assets-Liab 5-6'!F39</f>
        <v>1828392</v>
      </c>
      <c r="D170" s="2" t="str">
        <f t="shared" si="1"/>
        <v>Error?</v>
      </c>
    </row>
    <row r="171" spans="1:4" x14ac:dyDescent="0.2">
      <c r="A171" s="5">
        <v>110</v>
      </c>
      <c r="B171" s="138">
        <f>'Assets-Liab 5-6'!F41</f>
        <v>1853442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122745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653309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31</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31</v>
      </c>
      <c r="C188" s="2" t="s">
        <v>573</v>
      </c>
      <c r="D188" s="2" t="str">
        <f t="shared" si="1"/>
        <v>Error?</v>
      </c>
    </row>
    <row r="189" spans="1:4" x14ac:dyDescent="0.2">
      <c r="A189" s="5">
        <v>128</v>
      </c>
      <c r="B189" s="138">
        <f>'Assets-Liab 5-6'!G39</f>
        <v>354632</v>
      </c>
      <c r="D189" s="2" t="str">
        <f t="shared" si="1"/>
        <v>Error?</v>
      </c>
    </row>
    <row r="190" spans="1:4" x14ac:dyDescent="0.2">
      <c r="A190" s="5">
        <v>129</v>
      </c>
      <c r="B190" s="138">
        <f>'Assets-Liab 5-6'!G41</f>
        <v>653309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2376300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1000000</v>
      </c>
      <c r="C211" s="2" t="s">
        <v>573</v>
      </c>
      <c r="D211" s="2" t="str">
        <f t="shared" si="2"/>
        <v>Error?</v>
      </c>
    </row>
    <row r="212" spans="1:4" x14ac:dyDescent="0.2">
      <c r="A212" s="5">
        <v>151</v>
      </c>
      <c r="B212" s="138">
        <f>'Assets-Liab 5-6'!H39</f>
        <v>1376300</v>
      </c>
      <c r="D212" s="2" t="str">
        <f t="shared" si="2"/>
        <v>Error?</v>
      </c>
    </row>
    <row r="213" spans="1:4" x14ac:dyDescent="0.2">
      <c r="A213" s="12">
        <v>152</v>
      </c>
      <c r="B213" s="138">
        <f>'Assets-Liab 5-6'!H41</f>
        <v>2376300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60099</v>
      </c>
      <c r="D273" s="2" t="str">
        <f t="shared" si="3"/>
        <v>Error?</v>
      </c>
    </row>
    <row r="274" spans="1:4" x14ac:dyDescent="0.2">
      <c r="A274" s="5">
        <v>213</v>
      </c>
      <c r="B274" s="138">
        <f>'Assets-Liab 5-6'!M17</f>
        <v>31902171</v>
      </c>
      <c r="D274" s="2" t="str">
        <f t="shared" si="3"/>
        <v>Error?</v>
      </c>
    </row>
    <row r="275" spans="1:4" x14ac:dyDescent="0.2">
      <c r="A275" s="5">
        <v>214</v>
      </c>
      <c r="B275" s="138">
        <f>'Assets-Liab 5-6'!M18</f>
        <v>1678543</v>
      </c>
      <c r="D275" s="2" t="str">
        <f t="shared" si="3"/>
        <v>Error?</v>
      </c>
    </row>
    <row r="276" spans="1:4" x14ac:dyDescent="0.2">
      <c r="A276" s="5">
        <v>215</v>
      </c>
      <c r="B276" s="138">
        <f>'Assets-Liab 5-6'!M19</f>
        <v>4334890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38872515</v>
      </c>
      <c r="C279" s="2" t="s">
        <v>573</v>
      </c>
      <c r="D279" s="2" t="str">
        <f t="shared" si="3"/>
        <v>Error?</v>
      </c>
    </row>
    <row r="280" spans="1:4" x14ac:dyDescent="0.2">
      <c r="A280" s="5">
        <v>219</v>
      </c>
      <c r="B280" s="138">
        <f>'Assets-Liab 5-6'!M40</f>
        <v>38872515</v>
      </c>
      <c r="D280" s="2" t="str">
        <f t="shared" si="3"/>
        <v>Error?</v>
      </c>
    </row>
    <row r="281" spans="1:4" x14ac:dyDescent="0.2">
      <c r="A281" s="5">
        <v>220</v>
      </c>
      <c r="B281" s="138">
        <f>'Assets-Liab 5-6'!M41</f>
        <v>38872515</v>
      </c>
      <c r="C281" s="2" t="s">
        <v>573</v>
      </c>
      <c r="D281" s="2" t="str">
        <f t="shared" si="3"/>
        <v>Error?</v>
      </c>
    </row>
    <row r="282" spans="1:4" x14ac:dyDescent="0.2">
      <c r="A282" s="5">
        <v>221</v>
      </c>
      <c r="B282" s="138">
        <f>'Assets-Liab 5-6'!N21</f>
        <v>1268127</v>
      </c>
      <c r="D282" s="2" t="str">
        <f t="shared" si="3"/>
        <v>Error?</v>
      </c>
    </row>
    <row r="283" spans="1:4" x14ac:dyDescent="0.2">
      <c r="A283" s="5">
        <v>222</v>
      </c>
      <c r="B283" s="138">
        <f>'Assets-Liab 5-6'!N22</f>
        <v>10418438</v>
      </c>
      <c r="D283" s="2" t="str">
        <f t="shared" si="3"/>
        <v>Error?</v>
      </c>
    </row>
    <row r="284" spans="1:4" x14ac:dyDescent="0.2">
      <c r="A284" s="5">
        <v>223</v>
      </c>
      <c r="B284" s="138">
        <f>'Assets-Liab 5-6'!N23</f>
        <v>11686565</v>
      </c>
      <c r="C284" s="2" t="s">
        <v>573</v>
      </c>
      <c r="D284" s="2" t="str">
        <f t="shared" si="3"/>
        <v>Error?</v>
      </c>
    </row>
    <row r="285" spans="1:4" x14ac:dyDescent="0.2">
      <c r="A285" s="5">
        <v>224</v>
      </c>
      <c r="B285" s="138">
        <f>'Assets-Liab 5-6'!N36</f>
        <v>11686565</v>
      </c>
      <c r="D285" s="2" t="str">
        <f t="shared" si="3"/>
        <v>Error?</v>
      </c>
    </row>
    <row r="286" spans="1:4" x14ac:dyDescent="0.2">
      <c r="A286" s="10">
        <v>225</v>
      </c>
      <c r="D286" s="2" t="str">
        <f t="shared" si="3"/>
        <v>OK</v>
      </c>
    </row>
    <row r="287" spans="1:4" x14ac:dyDescent="0.2">
      <c r="A287" s="5">
        <v>226</v>
      </c>
      <c r="B287" s="138">
        <f>'Assets-Liab 5-6'!N37</f>
        <v>11686565</v>
      </c>
      <c r="C287" s="2" t="s">
        <v>573</v>
      </c>
      <c r="D287" s="2" t="str">
        <f t="shared" si="3"/>
        <v>Error?</v>
      </c>
    </row>
    <row r="288" spans="1:4" x14ac:dyDescent="0.2">
      <c r="A288" s="5">
        <v>227</v>
      </c>
      <c r="B288" s="138">
        <f>'Assets-Liab 5-6'!N41</f>
        <v>11686565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2594624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493356</v>
      </c>
      <c r="D717" s="2" t="str">
        <f t="shared" si="10"/>
        <v>Error?</v>
      </c>
    </row>
    <row r="718" spans="1:4" x14ac:dyDescent="0.2">
      <c r="A718" s="5">
        <v>657</v>
      </c>
      <c r="B718" s="138">
        <f>'Expenditures 15-22'!C14</f>
        <v>467466</v>
      </c>
      <c r="D718" s="2" t="str">
        <f t="shared" si="10"/>
        <v>Error?</v>
      </c>
    </row>
    <row r="719" spans="1:4" x14ac:dyDescent="0.2">
      <c r="A719" s="5">
        <v>658</v>
      </c>
      <c r="B719" s="138">
        <f>'Expenditures 15-22'!C15</f>
        <v>2152</v>
      </c>
      <c r="D719" s="2" t="str">
        <f t="shared" si="10"/>
        <v>Error?</v>
      </c>
    </row>
    <row r="720" spans="1:4" x14ac:dyDescent="0.2">
      <c r="A720" s="5">
        <v>659</v>
      </c>
      <c r="B720" s="138">
        <f>'Expenditures 15-22'!C33</f>
        <v>4975823</v>
      </c>
      <c r="C720" s="2" t="s">
        <v>573</v>
      </c>
      <c r="D720" s="2" t="str">
        <f t="shared" si="10"/>
        <v>Error?</v>
      </c>
    </row>
    <row r="721" spans="1:4" x14ac:dyDescent="0.2">
      <c r="A721" s="5">
        <v>660</v>
      </c>
      <c r="B721" s="138">
        <f>'Expenditures 15-22'!C36</f>
        <v>398091</v>
      </c>
      <c r="D721" s="2" t="str">
        <f t="shared" si="10"/>
        <v>Error?</v>
      </c>
    </row>
    <row r="722" spans="1:4" x14ac:dyDescent="0.2">
      <c r="A722" s="5">
        <v>661</v>
      </c>
      <c r="B722" s="138">
        <f>'Expenditures 15-22'!C37</f>
        <v>359195</v>
      </c>
      <c r="D722" s="2" t="str">
        <f t="shared" si="10"/>
        <v>Error?</v>
      </c>
    </row>
    <row r="723" spans="1:4" x14ac:dyDescent="0.2">
      <c r="A723" s="5">
        <v>662</v>
      </c>
      <c r="B723" s="138">
        <f>'Expenditures 15-22'!C38</f>
        <v>123008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880294</v>
      </c>
      <c r="C727" s="2" t="s">
        <v>573</v>
      </c>
      <c r="D727" s="2" t="str">
        <f t="shared" si="10"/>
        <v>Error?</v>
      </c>
    </row>
    <row r="728" spans="1:4" x14ac:dyDescent="0.2">
      <c r="A728" s="5">
        <v>667</v>
      </c>
      <c r="B728" s="138">
        <f>'Expenditures 15-22'!C44</f>
        <v>116513</v>
      </c>
      <c r="D728" s="2" t="str">
        <f t="shared" si="10"/>
        <v>Error?</v>
      </c>
    </row>
    <row r="729" spans="1:4" x14ac:dyDescent="0.2">
      <c r="A729" s="5">
        <v>668</v>
      </c>
      <c r="B729" s="138">
        <f>'Expenditures 15-22'!C45</f>
        <v>91021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207534</v>
      </c>
      <c r="C731" s="2" t="s">
        <v>573</v>
      </c>
      <c r="D731" s="2" t="str">
        <f t="shared" si="10"/>
        <v>Error?</v>
      </c>
    </row>
    <row r="732" spans="1:4" x14ac:dyDescent="0.2">
      <c r="A732" s="5">
        <v>671</v>
      </c>
      <c r="B732" s="138">
        <f>'Expenditures 15-22'!C49</f>
        <v>6054</v>
      </c>
      <c r="D732" s="2" t="str">
        <f t="shared" si="10"/>
        <v>Error?</v>
      </c>
    </row>
    <row r="733" spans="1:4" x14ac:dyDescent="0.2">
      <c r="A733" s="5">
        <v>672</v>
      </c>
      <c r="B733" s="138">
        <f>'Expenditures 15-22'!C50</f>
        <v>236972</v>
      </c>
      <c r="D733" s="2" t="str">
        <f t="shared" si="10"/>
        <v>Error?</v>
      </c>
    </row>
    <row r="734" spans="1:4" x14ac:dyDescent="0.2">
      <c r="A734" s="5">
        <v>673</v>
      </c>
      <c r="B734" s="138">
        <f>'Expenditures 15-22'!C53</f>
        <v>243026</v>
      </c>
      <c r="C734" s="2" t="s">
        <v>573</v>
      </c>
      <c r="D734" s="2" t="str">
        <f t="shared" si="10"/>
        <v>Error?</v>
      </c>
    </row>
    <row r="735" spans="1:4" x14ac:dyDescent="0.2">
      <c r="A735" s="5">
        <v>674</v>
      </c>
      <c r="B735" s="138">
        <f>'Expenditures 15-22'!C55</f>
        <v>359740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359740</v>
      </c>
      <c r="C737" s="2" t="s">
        <v>573</v>
      </c>
      <c r="D737" s="2" t="str">
        <f t="shared" si="10"/>
        <v>Error?</v>
      </c>
    </row>
    <row r="738" spans="1:4" x14ac:dyDescent="0.2">
      <c r="A738" s="5">
        <v>677</v>
      </c>
      <c r="B738" s="138">
        <f>'Expenditures 15-22'!C59</f>
        <v>46656</v>
      </c>
      <c r="D738" s="2" t="str">
        <f t="shared" si="10"/>
        <v>Error?</v>
      </c>
    </row>
    <row r="739" spans="1:4" x14ac:dyDescent="0.2">
      <c r="A739" s="5">
        <v>678</v>
      </c>
      <c r="B739" s="138">
        <f>'Expenditures 15-22'!C60</f>
        <v>4096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266730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317482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234752</v>
      </c>
      <c r="D751" s="2" t="str">
        <f t="shared" si="10"/>
        <v>Error?</v>
      </c>
    </row>
    <row r="752" spans="1:4" x14ac:dyDescent="0.2">
      <c r="A752" s="10">
        <v>691</v>
      </c>
      <c r="D752" s="2" t="str">
        <f t="shared" si="10"/>
        <v>OK</v>
      </c>
    </row>
    <row r="753" spans="1:4" x14ac:dyDescent="0.2">
      <c r="A753" s="5">
        <v>692</v>
      </c>
      <c r="B753" s="138">
        <f>'Expenditures 15-22'!C72</f>
        <v>234752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2242828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7218651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643103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102024</v>
      </c>
      <c r="D775" s="2" t="str">
        <f t="shared" si="11"/>
        <v>Error?</v>
      </c>
    </row>
    <row r="776" spans="1:4" x14ac:dyDescent="0.2">
      <c r="A776" s="5">
        <v>715</v>
      </c>
      <c r="B776" s="138">
        <f>'Expenditures 15-22'!D14</f>
        <v>156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996404</v>
      </c>
      <c r="C778" s="2" t="s">
        <v>573</v>
      </c>
      <c r="D778" s="2" t="str">
        <f t="shared" si="11"/>
        <v>Error?</v>
      </c>
    </row>
    <row r="779" spans="1:4" x14ac:dyDescent="0.2">
      <c r="A779" s="5">
        <v>718</v>
      </c>
      <c r="B779" s="138">
        <f>'Expenditures 15-22'!D36</f>
        <v>65942</v>
      </c>
      <c r="D779" s="2" t="str">
        <f t="shared" si="11"/>
        <v>Error?</v>
      </c>
    </row>
    <row r="780" spans="1:4" x14ac:dyDescent="0.2">
      <c r="A780" s="5">
        <v>719</v>
      </c>
      <c r="B780" s="138">
        <f>'Expenditures 15-22'!D37</f>
        <v>72408</v>
      </c>
      <c r="D780" s="2" t="str">
        <f t="shared" si="11"/>
        <v>Error?</v>
      </c>
    </row>
    <row r="781" spans="1:4" x14ac:dyDescent="0.2">
      <c r="A781" s="5">
        <v>720</v>
      </c>
      <c r="B781" s="138">
        <f>'Expenditures 15-22'!D38</f>
        <v>15858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154208</v>
      </c>
      <c r="C785" s="2" t="s">
        <v>573</v>
      </c>
      <c r="D785" s="2" t="str">
        <f t="shared" si="11"/>
        <v>Error?</v>
      </c>
    </row>
    <row r="786" spans="1:4" x14ac:dyDescent="0.2">
      <c r="A786" s="5">
        <v>725</v>
      </c>
      <c r="B786" s="138">
        <f>'Expenditures 15-22'!D44</f>
        <v>779</v>
      </c>
      <c r="D786" s="2" t="str">
        <f t="shared" si="11"/>
        <v>Error?</v>
      </c>
    </row>
    <row r="787" spans="1:4" x14ac:dyDescent="0.2">
      <c r="A787" s="5">
        <v>726</v>
      </c>
      <c r="B787" s="138">
        <f>'Expenditures 15-22'!D45</f>
        <v>8357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9136</v>
      </c>
      <c r="C789" s="2" t="s">
        <v>573</v>
      </c>
      <c r="D789" s="2" t="str">
        <f t="shared" si="11"/>
        <v>Error?</v>
      </c>
    </row>
    <row r="790" spans="1:4" x14ac:dyDescent="0.2">
      <c r="A790" s="5">
        <v>729</v>
      </c>
      <c r="B790" s="138">
        <f>'Expenditures 15-22'!D49</f>
        <v>659</v>
      </c>
      <c r="D790" s="2" t="str">
        <f t="shared" si="11"/>
        <v>Error?</v>
      </c>
    </row>
    <row r="791" spans="1:4" x14ac:dyDescent="0.2">
      <c r="A791" s="5">
        <v>730</v>
      </c>
      <c r="B791" s="138">
        <f>'Expenditures 15-22'!D50</f>
        <v>16020</v>
      </c>
      <c r="D791" s="2" t="str">
        <f t="shared" si="11"/>
        <v>Error?</v>
      </c>
    </row>
    <row r="792" spans="1:4" x14ac:dyDescent="0.2">
      <c r="A792" s="5">
        <v>731</v>
      </c>
      <c r="B792" s="138">
        <f>'Expenditures 15-22'!D53</f>
        <v>16679</v>
      </c>
      <c r="C792" s="2" t="s">
        <v>573</v>
      </c>
      <c r="D792" s="2" t="str">
        <f t="shared" si="11"/>
        <v>Error?</v>
      </c>
    </row>
    <row r="793" spans="1:4" x14ac:dyDescent="0.2">
      <c r="A793" s="5">
        <v>732</v>
      </c>
      <c r="B793" s="138">
        <f>'Expenditures 15-22'!D55</f>
        <v>24233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24233</v>
      </c>
      <c r="C795" s="2" t="s">
        <v>573</v>
      </c>
      <c r="D795" s="2" t="str">
        <f t="shared" si="11"/>
        <v>Error?</v>
      </c>
    </row>
    <row r="796" spans="1:4" x14ac:dyDescent="0.2">
      <c r="A796" s="5">
        <v>735</v>
      </c>
      <c r="B796" s="138">
        <f>'Expenditures 15-22'!D59</f>
        <v>13084</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72665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85749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48024</v>
      </c>
      <c r="D809" s="2" t="str">
        <f t="shared" si="11"/>
        <v>Error?</v>
      </c>
    </row>
    <row r="810" spans="1:4" x14ac:dyDescent="0.2">
      <c r="A810" s="10">
        <v>749</v>
      </c>
      <c r="D810" s="2" t="str">
        <f t="shared" si="11"/>
        <v>OK</v>
      </c>
    </row>
    <row r="811" spans="1:4" x14ac:dyDescent="0.2">
      <c r="A811" s="5">
        <v>750</v>
      </c>
      <c r="B811" s="138">
        <f>'Expenditures 15-22'!D72</f>
        <v>48024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338029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1334433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143132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1832</v>
      </c>
      <c r="D833" s="2" t="str">
        <f t="shared" si="12"/>
        <v>Error?</v>
      </c>
    </row>
    <row r="834" spans="1:4" x14ac:dyDescent="0.2">
      <c r="A834" s="5">
        <v>773</v>
      </c>
      <c r="B834" s="138">
        <f>'Expenditures 15-22'!E14</f>
        <v>59678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221914</v>
      </c>
      <c r="C836" s="2" t="s">
        <v>573</v>
      </c>
      <c r="D836" s="2" t="str">
        <f t="shared" si="12"/>
        <v>Error?</v>
      </c>
    </row>
    <row r="837" spans="1:4" x14ac:dyDescent="0.2">
      <c r="A837" s="5">
        <v>776</v>
      </c>
      <c r="B837" s="138">
        <f>'Expenditures 15-22'!E36</f>
        <v>149228</v>
      </c>
      <c r="D837" s="2" t="str">
        <f t="shared" si="12"/>
        <v>Error?</v>
      </c>
    </row>
    <row r="838" spans="1:4" x14ac:dyDescent="0.2">
      <c r="A838" s="5">
        <v>777</v>
      </c>
      <c r="B838" s="138">
        <f>'Expenditures 15-22'!E37</f>
        <v>2278</v>
      </c>
      <c r="D838" s="2" t="str">
        <f t="shared" si="12"/>
        <v>Error?</v>
      </c>
    </row>
    <row r="839" spans="1:4" x14ac:dyDescent="0.2">
      <c r="A839" s="5">
        <v>778</v>
      </c>
      <c r="B839" s="138">
        <f>'Expenditures 15-22'!E38</f>
        <v>789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152295</v>
      </c>
      <c r="C843" s="2" t="s">
        <v>573</v>
      </c>
      <c r="D843" s="2" t="str">
        <f t="shared" si="12"/>
        <v>Error?</v>
      </c>
    </row>
    <row r="844" spans="1:4" x14ac:dyDescent="0.2">
      <c r="A844" s="5">
        <v>783</v>
      </c>
      <c r="B844" s="138">
        <f>'Expenditures 15-22'!E44</f>
        <v>19186</v>
      </c>
      <c r="D844" s="2" t="str">
        <f t="shared" si="12"/>
        <v>Error?</v>
      </c>
    </row>
    <row r="845" spans="1:4" x14ac:dyDescent="0.2">
      <c r="A845" s="5">
        <v>784</v>
      </c>
      <c r="B845" s="138">
        <f>'Expenditures 15-22'!E45</f>
        <v>83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19269</v>
      </c>
      <c r="C847" s="2" t="s">
        <v>573</v>
      </c>
      <c r="D847" s="2" t="str">
        <f t="shared" si="12"/>
        <v>Error?</v>
      </c>
    </row>
    <row r="848" spans="1:4" x14ac:dyDescent="0.2">
      <c r="A848" s="5">
        <v>787</v>
      </c>
      <c r="B848" s="138">
        <f>'Expenditures 15-22'!E49</f>
        <v>179714</v>
      </c>
      <c r="D848" s="2" t="str">
        <f t="shared" si="12"/>
        <v>Error?</v>
      </c>
    </row>
    <row r="849" spans="1:4" x14ac:dyDescent="0.2">
      <c r="A849" s="5">
        <v>788</v>
      </c>
      <c r="B849" s="138">
        <f>'Expenditures 15-22'!E50</f>
        <v>4750</v>
      </c>
      <c r="D849" s="2" t="str">
        <f t="shared" si="12"/>
        <v>Error?</v>
      </c>
    </row>
    <row r="850" spans="1:4" x14ac:dyDescent="0.2">
      <c r="A850" s="5">
        <v>789</v>
      </c>
      <c r="B850" s="138">
        <f>'Expenditures 15-22'!E53</f>
        <v>184464</v>
      </c>
      <c r="C850" s="2" t="s">
        <v>573</v>
      </c>
      <c r="D850" s="2" t="str">
        <f t="shared" si="12"/>
        <v>Error?</v>
      </c>
    </row>
    <row r="851" spans="1:4" x14ac:dyDescent="0.2">
      <c r="A851" s="5">
        <v>790</v>
      </c>
      <c r="B851" s="138">
        <f>'Expenditures 15-22'!E55</f>
        <v>1469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1469</v>
      </c>
      <c r="C853" s="2" t="s">
        <v>573</v>
      </c>
      <c r="D853" s="2" t="str">
        <f t="shared" si="12"/>
        <v>Error?</v>
      </c>
    </row>
    <row r="854" spans="1:4" x14ac:dyDescent="0.2">
      <c r="A854" s="5">
        <v>793</v>
      </c>
      <c r="B854" s="138">
        <f>'Expenditures 15-22'!E59</f>
        <v>7666</v>
      </c>
      <c r="D854" s="2" t="str">
        <f t="shared" si="12"/>
        <v>Error?</v>
      </c>
    </row>
    <row r="855" spans="1:4" x14ac:dyDescent="0.2">
      <c r="A855" s="5">
        <v>794</v>
      </c>
      <c r="B855" s="138">
        <f>'Expenditures 15-22'!E60</f>
        <v>261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8270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4791</v>
      </c>
      <c r="D867" s="2" t="str">
        <f t="shared" si="12"/>
        <v>Error?</v>
      </c>
    </row>
    <row r="868" spans="1:4" x14ac:dyDescent="0.2">
      <c r="A868" s="10">
        <v>807</v>
      </c>
      <c r="D868" s="2" t="str">
        <f t="shared" si="12"/>
        <v>OK</v>
      </c>
    </row>
    <row r="869" spans="1:4" x14ac:dyDescent="0.2">
      <c r="A869" s="5">
        <v>808</v>
      </c>
      <c r="B869" s="138">
        <f>'Expenditures 15-22'!E72</f>
        <v>4791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370558</v>
      </c>
      <c r="C871" s="2" t="s">
        <v>573</v>
      </c>
      <c r="D871" s="2" t="str">
        <f t="shared" si="12"/>
        <v>Error?</v>
      </c>
    </row>
    <row r="872" spans="1:4" x14ac:dyDescent="0.2">
      <c r="A872" s="5">
        <v>811</v>
      </c>
      <c r="B872" s="138">
        <f>'Expenditures 15-22'!E75</f>
        <v>1694</v>
      </c>
      <c r="D872" s="2" t="str">
        <f t="shared" si="12"/>
        <v>Error?</v>
      </c>
    </row>
    <row r="873" spans="1:4" x14ac:dyDescent="0.2">
      <c r="A873" s="5">
        <v>812</v>
      </c>
      <c r="B873" s="138">
        <f>'Expenditures 15-22'!E114</f>
        <v>594166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208683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22815</v>
      </c>
      <c r="D891" s="2" t="str">
        <f t="shared" si="12"/>
        <v>Error?</v>
      </c>
    </row>
    <row r="892" spans="1:4" x14ac:dyDescent="0.2">
      <c r="A892" s="5">
        <v>831</v>
      </c>
      <c r="B892" s="138">
        <f>'Expenditures 15-22'!F14</f>
        <v>215872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465086</v>
      </c>
      <c r="C894" s="2" t="s">
        <v>573</v>
      </c>
      <c r="D894" s="2" t="str">
        <f t="shared" si="12"/>
        <v>Error?</v>
      </c>
    </row>
    <row r="895" spans="1:4" x14ac:dyDescent="0.2">
      <c r="A895" s="5">
        <v>834</v>
      </c>
      <c r="B895" s="138">
        <f>'Expenditures 15-22'!F36</f>
        <v>3799</v>
      </c>
      <c r="D895" s="2" t="str">
        <f t="shared" ref="D895:D958" si="13">IF(ISBLANK(B895),"OK",IF(A895-B895=0,"OK","Error?"))</f>
        <v>Error?</v>
      </c>
    </row>
    <row r="896" spans="1:4" x14ac:dyDescent="0.2">
      <c r="A896" s="5">
        <v>835</v>
      </c>
      <c r="B896" s="138">
        <f>'Expenditures 15-22'!F37</f>
        <v>12271</v>
      </c>
      <c r="D896" s="2" t="str">
        <f t="shared" si="13"/>
        <v>Error?</v>
      </c>
    </row>
    <row r="897" spans="1:4" x14ac:dyDescent="0.2">
      <c r="A897" s="5">
        <v>836</v>
      </c>
      <c r="B897" s="138">
        <f>'Expenditures 15-22'!F38</f>
        <v>3342</v>
      </c>
      <c r="D897" s="2" t="str">
        <f t="shared" si="13"/>
        <v>Error?</v>
      </c>
    </row>
    <row r="898" spans="1:4" x14ac:dyDescent="0.2">
      <c r="A898" s="5">
        <v>837</v>
      </c>
      <c r="B898" s="138">
        <f>'Expenditures 15-22'!F39</f>
        <v>204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19616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22109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22109</v>
      </c>
      <c r="C905" s="2" t="s">
        <v>573</v>
      </c>
      <c r="D905" s="2" t="str">
        <f t="shared" si="13"/>
        <v>Error?</v>
      </c>
    </row>
    <row r="906" spans="1:4" x14ac:dyDescent="0.2">
      <c r="A906" s="5">
        <v>845</v>
      </c>
      <c r="B906" s="138">
        <f>'Expenditures 15-22'!F49</f>
        <v>599</v>
      </c>
      <c r="D906" s="2" t="str">
        <f t="shared" si="13"/>
        <v>Error?</v>
      </c>
    </row>
    <row r="907" spans="1:4" x14ac:dyDescent="0.2">
      <c r="A907" s="5">
        <v>846</v>
      </c>
      <c r="B907" s="138">
        <f>'Expenditures 15-22'!F50</f>
        <v>1112</v>
      </c>
      <c r="D907" s="2" t="str">
        <f t="shared" si="13"/>
        <v>Error?</v>
      </c>
    </row>
    <row r="908" spans="1:4" x14ac:dyDescent="0.2">
      <c r="A908" s="5">
        <v>847</v>
      </c>
      <c r="B908" s="138">
        <f>'Expenditures 15-22'!F53</f>
        <v>1711</v>
      </c>
      <c r="C908" s="2" t="s">
        <v>573</v>
      </c>
      <c r="D908" s="2" t="str">
        <f t="shared" si="13"/>
        <v>Error?</v>
      </c>
    </row>
    <row r="909" spans="1:4" x14ac:dyDescent="0.2">
      <c r="A909" s="5">
        <v>848</v>
      </c>
      <c r="B909" s="138">
        <f>'Expenditures 15-22'!F55</f>
        <v>9779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9779</v>
      </c>
      <c r="C911" s="2" t="s">
        <v>573</v>
      </c>
      <c r="D911" s="2" t="str">
        <f t="shared" si="13"/>
        <v>Error?</v>
      </c>
    </row>
    <row r="912" spans="1:4" x14ac:dyDescent="0.2">
      <c r="A912" s="5">
        <v>851</v>
      </c>
      <c r="B912" s="138">
        <f>'Expenditures 15-22'!F59</f>
        <v>338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245936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246274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17192</v>
      </c>
      <c r="D925" s="2" t="str">
        <f t="shared" si="13"/>
        <v>Error?</v>
      </c>
    </row>
    <row r="926" spans="1:4" x14ac:dyDescent="0.2">
      <c r="A926" s="10">
        <v>865</v>
      </c>
      <c r="D926" s="2" t="str">
        <f t="shared" si="13"/>
        <v>OK</v>
      </c>
    </row>
    <row r="927" spans="1:4" x14ac:dyDescent="0.2">
      <c r="A927" s="5">
        <v>866</v>
      </c>
      <c r="B927" s="138">
        <f>'Expenditures 15-22'!F72</f>
        <v>17192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316681</v>
      </c>
      <c r="C929" s="2" t="s">
        <v>573</v>
      </c>
      <c r="D929" s="2" t="str">
        <f t="shared" si="13"/>
        <v>Error?</v>
      </c>
    </row>
    <row r="930" spans="1:4" x14ac:dyDescent="0.2">
      <c r="A930" s="5">
        <v>869</v>
      </c>
      <c r="B930" s="138">
        <f>'Expenditures 15-22'!F75</f>
        <v>144</v>
      </c>
      <c r="D930" s="2" t="str">
        <f t="shared" si="13"/>
        <v>Error?</v>
      </c>
    </row>
    <row r="931" spans="1:4" x14ac:dyDescent="0.2">
      <c r="A931" s="5">
        <v>870</v>
      </c>
      <c r="B931" s="138">
        <f>'Expenditures 15-22'!F114</f>
        <v>781911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54676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85800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140476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630</v>
      </c>
      <c r="D983" s="2" t="str">
        <f t="shared" si="14"/>
        <v>Error?</v>
      </c>
    </row>
    <row r="984" spans="1:4" x14ac:dyDescent="0.2">
      <c r="A984" s="10">
        <v>923</v>
      </c>
      <c r="D984" s="2" t="str">
        <f t="shared" si="14"/>
        <v>OK</v>
      </c>
    </row>
    <row r="985" spans="1:4" x14ac:dyDescent="0.2">
      <c r="A985" s="5">
        <v>924</v>
      </c>
      <c r="B985" s="138">
        <f>'Expenditures 15-22'!G72</f>
        <v>630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141106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500823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1375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1375</v>
      </c>
      <c r="C1021" s="2" t="s">
        <v>573</v>
      </c>
      <c r="D1021" s="2" t="str">
        <f t="shared" si="14"/>
        <v>Error?</v>
      </c>
    </row>
    <row r="1022" spans="1:4" x14ac:dyDescent="0.2">
      <c r="A1022" s="5">
        <v>961</v>
      </c>
      <c r="B1022" s="138">
        <f>'Expenditures 15-22'!H49</f>
        <v>9290</v>
      </c>
      <c r="D1022" s="2" t="str">
        <f t="shared" si="14"/>
        <v>Error?</v>
      </c>
    </row>
    <row r="1023" spans="1:4" x14ac:dyDescent="0.2">
      <c r="A1023" s="5">
        <v>962</v>
      </c>
      <c r="B1023" s="138">
        <f>'Expenditures 15-22'!H50</f>
        <v>3505</v>
      </c>
      <c r="D1023" s="2" t="str">
        <f t="shared" ref="D1023:D1086" si="15">IF(ISBLANK(B1023),"OK",IF(A1023-B1023=0,"OK","Error?"))</f>
        <v>Error?</v>
      </c>
    </row>
    <row r="1024" spans="1:4" x14ac:dyDescent="0.2">
      <c r="A1024" s="5">
        <v>963</v>
      </c>
      <c r="B1024" s="138">
        <f>'Expenditures 15-22'!H53</f>
        <v>47596</v>
      </c>
      <c r="C1024" s="2" t="s">
        <v>573</v>
      </c>
      <c r="D1024" s="2" t="str">
        <f t="shared" si="15"/>
        <v>Error?</v>
      </c>
    </row>
    <row r="1025" spans="1:4" x14ac:dyDescent="0.2">
      <c r="A1025" s="5">
        <v>964</v>
      </c>
      <c r="B1025" s="138">
        <f>'Expenditures 15-22'!H55</f>
        <v>1611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1611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50582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314774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866179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3644218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620027</v>
      </c>
      <c r="C1105" s="2" t="s">
        <v>573</v>
      </c>
      <c r="D1105" s="2" t="str">
        <f t="shared" si="16"/>
        <v>Error?</v>
      </c>
    </row>
    <row r="1106" spans="1:4" x14ac:dyDescent="0.2">
      <c r="A1106" s="5">
        <v>1045</v>
      </c>
      <c r="B1106" s="138">
        <f>'Expenditures 15-22'!K14</f>
        <v>828972</v>
      </c>
      <c r="C1106" s="2" t="s">
        <v>573</v>
      </c>
      <c r="D1106" s="2" t="str">
        <f t="shared" si="16"/>
        <v>Error?</v>
      </c>
    </row>
    <row r="1107" spans="1:4" x14ac:dyDescent="0.2">
      <c r="A1107" s="5">
        <v>1046</v>
      </c>
      <c r="B1107" s="138">
        <f>'Expenditures 15-22'!K15</f>
        <v>2152</v>
      </c>
      <c r="C1107" s="2" t="s">
        <v>573</v>
      </c>
      <c r="D1107" s="2" t="str">
        <f t="shared" si="16"/>
        <v>Error?</v>
      </c>
    </row>
    <row r="1108" spans="1:4" x14ac:dyDescent="0.2">
      <c r="A1108" s="5">
        <v>1047</v>
      </c>
      <c r="B1108" s="138">
        <f>'Expenditures 15-22'!K33</f>
        <v>7300526</v>
      </c>
      <c r="C1108" s="2" t="s">
        <v>573</v>
      </c>
      <c r="D1108" s="2" t="str">
        <f t="shared" si="16"/>
        <v>Error?</v>
      </c>
    </row>
    <row r="1109" spans="1:4" x14ac:dyDescent="0.2">
      <c r="A1109" s="5">
        <v>1048</v>
      </c>
      <c r="B1109" s="138">
        <f>'Expenditures 15-22'!K36</f>
        <v>617060</v>
      </c>
      <c r="C1109" s="2" t="s">
        <v>573</v>
      </c>
      <c r="D1109" s="2" t="str">
        <f t="shared" si="16"/>
        <v>Error?</v>
      </c>
    </row>
    <row r="1110" spans="1:4" x14ac:dyDescent="0.2">
      <c r="A1110" s="5">
        <v>1049</v>
      </c>
      <c r="B1110" s="138">
        <f>'Expenditures 15-22'!K37</f>
        <v>446152</v>
      </c>
      <c r="C1110" s="2" t="s">
        <v>573</v>
      </c>
      <c r="D1110" s="2" t="str">
        <f t="shared" si="16"/>
        <v>Error?</v>
      </c>
    </row>
    <row r="1111" spans="1:4" x14ac:dyDescent="0.2">
      <c r="A1111" s="5">
        <v>1050</v>
      </c>
      <c r="B1111" s="138">
        <f>'Expenditures 15-22'!K38</f>
        <v>142997</v>
      </c>
      <c r="C1111" s="2" t="s">
        <v>573</v>
      </c>
      <c r="D1111" s="2" t="str">
        <f t="shared" si="16"/>
        <v>Error?</v>
      </c>
    </row>
    <row r="1112" spans="1:4" x14ac:dyDescent="0.2">
      <c r="A1112" s="5">
        <v>1051</v>
      </c>
      <c r="B1112" s="138">
        <f>'Expenditures 15-22'!K39</f>
        <v>204</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1206413</v>
      </c>
      <c r="C1115" s="2" t="s">
        <v>573</v>
      </c>
      <c r="D1115" s="2" t="str">
        <f t="shared" si="16"/>
        <v>Error?</v>
      </c>
    </row>
    <row r="1116" spans="1:4" x14ac:dyDescent="0.2">
      <c r="A1116" s="5">
        <v>1055</v>
      </c>
      <c r="B1116" s="138">
        <f>'Expenditures 15-22'!K44</f>
        <v>137853</v>
      </c>
      <c r="C1116" s="2" t="s">
        <v>573</v>
      </c>
      <c r="D1116" s="2" t="str">
        <f t="shared" si="16"/>
        <v>Error?</v>
      </c>
    </row>
    <row r="1117" spans="1:4" x14ac:dyDescent="0.2">
      <c r="A1117" s="5">
        <v>1056</v>
      </c>
      <c r="B1117" s="138">
        <f>'Expenditures 15-22'!K45</f>
        <v>121570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259423</v>
      </c>
      <c r="C1119" s="2" t="s">
        <v>573</v>
      </c>
      <c r="D1119" s="2" t="str">
        <f t="shared" si="16"/>
        <v>Error?</v>
      </c>
    </row>
    <row r="1120" spans="1:4" x14ac:dyDescent="0.2">
      <c r="A1120" s="5">
        <v>1059</v>
      </c>
      <c r="B1120" s="138">
        <f>'Expenditures 15-22'!K49</f>
        <v>196316</v>
      </c>
      <c r="C1120" s="2" t="s">
        <v>573</v>
      </c>
      <c r="D1120" s="2" t="str">
        <f t="shared" si="16"/>
        <v>Error?</v>
      </c>
    </row>
    <row r="1121" spans="1:4" x14ac:dyDescent="0.2">
      <c r="A1121" s="5">
        <v>1060</v>
      </c>
      <c r="B1121" s="138">
        <f>'Expenditures 15-22'!K50</f>
        <v>262359</v>
      </c>
      <c r="C1121" s="2" t="s">
        <v>573</v>
      </c>
      <c r="D1121" s="2" t="str">
        <f t="shared" si="16"/>
        <v>Error?</v>
      </c>
    </row>
    <row r="1122" spans="1:4" x14ac:dyDescent="0.2">
      <c r="A1122" s="5">
        <v>1061</v>
      </c>
      <c r="B1122" s="138">
        <f>'Expenditures 15-22'!K53</f>
        <v>493476</v>
      </c>
      <c r="C1122" s="2" t="s">
        <v>573</v>
      </c>
      <c r="D1122" s="2" t="str">
        <f t="shared" si="16"/>
        <v>Error?</v>
      </c>
    </row>
    <row r="1123" spans="1:4" x14ac:dyDescent="0.2">
      <c r="A1123" s="5">
        <v>1062</v>
      </c>
      <c r="B1123" s="138">
        <f>'Expenditures 15-22'!K55</f>
        <v>396832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396832</v>
      </c>
      <c r="C1125" s="2" t="s">
        <v>573</v>
      </c>
      <c r="D1125" s="2" t="str">
        <f t="shared" si="16"/>
        <v>Error?</v>
      </c>
    </row>
    <row r="1126" spans="1:4" x14ac:dyDescent="0.2">
      <c r="A1126" s="5">
        <v>1065</v>
      </c>
      <c r="B1126" s="138">
        <f>'Expenditures 15-22'!K59</f>
        <v>67744</v>
      </c>
      <c r="C1126" s="2" t="s">
        <v>573</v>
      </c>
      <c r="D1126" s="2" t="str">
        <f t="shared" si="16"/>
        <v>Error?</v>
      </c>
    </row>
    <row r="1127" spans="1:4" x14ac:dyDescent="0.2">
      <c r="A1127" s="5">
        <v>1066</v>
      </c>
      <c r="B1127" s="138">
        <f>'Expenditures 15-22'!K60</f>
        <v>4357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585674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657775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305389</v>
      </c>
      <c r="C1139" s="2" t="s">
        <v>573</v>
      </c>
      <c r="D1139" s="2" t="str">
        <f t="shared" si="16"/>
        <v>Error?</v>
      </c>
    </row>
    <row r="1140" spans="1:4" x14ac:dyDescent="0.2">
      <c r="A1140" s="10">
        <v>1079</v>
      </c>
      <c r="D1140" s="2" t="str">
        <f t="shared" si="16"/>
        <v>OK</v>
      </c>
    </row>
    <row r="1141" spans="1:4" x14ac:dyDescent="0.2">
      <c r="A1141" s="5">
        <v>1080</v>
      </c>
      <c r="B1141" s="138">
        <f>'Expenditures 15-22'!K72</f>
        <v>305389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3319308</v>
      </c>
      <c r="C1143" s="2" t="s">
        <v>573</v>
      </c>
      <c r="D1143" s="2" t="str">
        <f t="shared" si="16"/>
        <v>Error?</v>
      </c>
    </row>
    <row r="1144" spans="1:4" x14ac:dyDescent="0.2">
      <c r="A1144" s="5">
        <v>1083</v>
      </c>
      <c r="B1144" s="138">
        <f>'Expenditures 15-22'!K75</f>
        <v>1838</v>
      </c>
      <c r="C1144" s="2" t="s">
        <v>573</v>
      </c>
      <c r="D1144" s="2" t="str">
        <f t="shared" si="16"/>
        <v>Error?</v>
      </c>
    </row>
    <row r="1145" spans="1:4" x14ac:dyDescent="0.2">
      <c r="A1145" s="5">
        <v>1084</v>
      </c>
      <c r="B1145" s="138">
        <f>'Expenditures 15-22'!K102</f>
        <v>314774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10936446</v>
      </c>
      <c r="C1152" s="2" t="s">
        <v>573</v>
      </c>
      <c r="D1152" s="2" t="str">
        <f t="shared" si="17"/>
        <v>Error?</v>
      </c>
    </row>
    <row r="1153" spans="1:4" x14ac:dyDescent="0.2">
      <c r="A1153" s="5">
        <v>1092</v>
      </c>
      <c r="B1153" s="138">
        <f>'Expenditures 15-22'!K115</f>
        <v>-412962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560153</v>
      </c>
      <c r="D1221" s="2" t="str">
        <f t="shared" si="18"/>
        <v>Error?</v>
      </c>
    </row>
    <row r="1222" spans="1:4" x14ac:dyDescent="0.2">
      <c r="A1222" s="10">
        <v>1161</v>
      </c>
      <c r="D1222" s="2" t="str">
        <f t="shared" si="18"/>
        <v>OK</v>
      </c>
    </row>
    <row r="1223" spans="1:4" x14ac:dyDescent="0.2">
      <c r="A1223" s="5">
        <v>1162</v>
      </c>
      <c r="B1223" s="138">
        <f>'Expenditures 15-22'!C127</f>
        <v>560153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560153</v>
      </c>
      <c r="C1225" s="2" t="s">
        <v>573</v>
      </c>
      <c r="D1225" s="2" t="str">
        <f t="shared" si="18"/>
        <v>Error?</v>
      </c>
    </row>
    <row r="1226" spans="1:4" x14ac:dyDescent="0.2">
      <c r="A1226" s="5">
        <v>1165</v>
      </c>
      <c r="B1226" s="138">
        <f>'Expenditures 15-22'!C151</f>
        <v>560153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98398</v>
      </c>
      <c r="D1229" s="2" t="str">
        <f t="shared" si="18"/>
        <v>Error?</v>
      </c>
    </row>
    <row r="1230" spans="1:4" x14ac:dyDescent="0.2">
      <c r="A1230" s="10">
        <v>1169</v>
      </c>
      <c r="D1230" s="2" t="str">
        <f t="shared" si="18"/>
        <v>OK</v>
      </c>
    </row>
    <row r="1231" spans="1:4" x14ac:dyDescent="0.2">
      <c r="A1231" s="5">
        <v>1170</v>
      </c>
      <c r="B1231" s="138">
        <f>'Expenditures 15-22'!D127</f>
        <v>98398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98398</v>
      </c>
      <c r="C1233" s="2" t="s">
        <v>573</v>
      </c>
      <c r="D1233" s="2" t="str">
        <f t="shared" si="18"/>
        <v>Error?</v>
      </c>
    </row>
    <row r="1234" spans="1:4" x14ac:dyDescent="0.2">
      <c r="A1234" s="5">
        <v>1173</v>
      </c>
      <c r="B1234" s="138">
        <f>'Expenditures 15-22'!D151</f>
        <v>98398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88230</v>
      </c>
      <c r="D1236" s="2" t="str">
        <f t="shared" si="18"/>
        <v>Error?</v>
      </c>
    </row>
    <row r="1237" spans="1:4" x14ac:dyDescent="0.2">
      <c r="A1237" s="5">
        <v>1176</v>
      </c>
      <c r="B1237" s="138">
        <f>'Expenditures 15-22'!E124</f>
        <v>406314</v>
      </c>
      <c r="D1237" s="2" t="str">
        <f t="shared" si="18"/>
        <v>Error?</v>
      </c>
    </row>
    <row r="1238" spans="1:4" x14ac:dyDescent="0.2">
      <c r="A1238" s="10">
        <v>1177</v>
      </c>
      <c r="D1238" s="2" t="str">
        <f t="shared" si="18"/>
        <v>OK</v>
      </c>
    </row>
    <row r="1239" spans="1:4" x14ac:dyDescent="0.2">
      <c r="A1239" s="5">
        <v>1178</v>
      </c>
      <c r="B1239" s="138">
        <f>'Expenditures 15-22'!E127</f>
        <v>494544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494544</v>
      </c>
      <c r="C1241" s="2" t="s">
        <v>573</v>
      </c>
      <c r="D1241" s="2" t="str">
        <f t="shared" si="18"/>
        <v>Error?</v>
      </c>
    </row>
    <row r="1242" spans="1:4" x14ac:dyDescent="0.2">
      <c r="A1242" s="5">
        <v>1181</v>
      </c>
      <c r="B1242" s="138">
        <f>'Expenditures 15-22'!E151</f>
        <v>494544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422981</v>
      </c>
      <c r="D1245" s="2" t="str">
        <f t="shared" si="18"/>
        <v>Error?</v>
      </c>
    </row>
    <row r="1246" spans="1:4" x14ac:dyDescent="0.2">
      <c r="A1246" s="10">
        <v>1185</v>
      </c>
      <c r="D1246" s="2" t="str">
        <f t="shared" si="18"/>
        <v>OK</v>
      </c>
    </row>
    <row r="1247" spans="1:4" x14ac:dyDescent="0.2">
      <c r="A1247" s="5">
        <v>1186</v>
      </c>
      <c r="B1247" s="138">
        <f>'Expenditures 15-22'!F127</f>
        <v>422981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422981</v>
      </c>
      <c r="C1249" s="2" t="s">
        <v>573</v>
      </c>
      <c r="D1249" s="2" t="str">
        <f t="shared" si="18"/>
        <v>Error?</v>
      </c>
    </row>
    <row r="1250" spans="1:4" x14ac:dyDescent="0.2">
      <c r="A1250" s="5">
        <v>1189</v>
      </c>
      <c r="B1250" s="138">
        <f>'Expenditures 15-22'!F151</f>
        <v>422981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30258</v>
      </c>
      <c r="D1252" s="2" t="str">
        <f t="shared" si="18"/>
        <v>Error?</v>
      </c>
    </row>
    <row r="1253" spans="1:4" x14ac:dyDescent="0.2">
      <c r="A1253" s="5">
        <v>1192</v>
      </c>
      <c r="B1253" s="138">
        <f>'Expenditures 15-22'!G124</f>
        <v>53940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84198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84198</v>
      </c>
      <c r="C1258" s="2" t="s">
        <v>573</v>
      </c>
      <c r="D1258" s="2" t="str">
        <f t="shared" si="18"/>
        <v>Error?</v>
      </c>
    </row>
    <row r="1259" spans="1:4" x14ac:dyDescent="0.2">
      <c r="A1259" s="5">
        <v>1198</v>
      </c>
      <c r="B1259" s="138">
        <f>'Expenditures 15-22'!G151</f>
        <v>84198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118488</v>
      </c>
      <c r="C1275" s="2" t="s">
        <v>573</v>
      </c>
      <c r="D1275" s="2" t="str">
        <f t="shared" si="18"/>
        <v>Error?</v>
      </c>
    </row>
    <row r="1276" spans="1:4" x14ac:dyDescent="0.2">
      <c r="A1276" s="5">
        <v>1215</v>
      </c>
      <c r="B1276" s="138">
        <f>'Expenditures 15-22'!K124</f>
        <v>1541786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1660274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1660274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1660274</v>
      </c>
      <c r="C1288" s="2" t="s">
        <v>573</v>
      </c>
      <c r="D1288" s="2" t="str">
        <f t="shared" si="19"/>
        <v>Error?</v>
      </c>
    </row>
    <row r="1289" spans="1:4" x14ac:dyDescent="0.2">
      <c r="A1289" s="5">
        <v>1228</v>
      </c>
      <c r="B1289" s="138">
        <f>'Expenditures 15-22'!K152</f>
        <v>249972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257571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638000</v>
      </c>
      <c r="D1315" s="2" t="str">
        <f t="shared" si="19"/>
        <v>Error?</v>
      </c>
    </row>
    <row r="1316" spans="1:4" x14ac:dyDescent="0.2">
      <c r="A1316" s="5">
        <v>1255</v>
      </c>
      <c r="B1316" s="138">
        <f>'Expenditures 15-22'!H171</f>
        <v>1400</v>
      </c>
      <c r="D1316" s="2" t="str">
        <f t="shared" si="19"/>
        <v>Error?</v>
      </c>
    </row>
    <row r="1317" spans="1:4" x14ac:dyDescent="0.2">
      <c r="A1317" s="5">
        <v>1256</v>
      </c>
      <c r="B1317" s="138">
        <f>'Expenditures 15-22'!H172</f>
        <v>896971</v>
      </c>
      <c r="C1317" s="2" t="s">
        <v>573</v>
      </c>
      <c r="D1317" s="2" t="str">
        <f t="shared" si="19"/>
        <v>Error?</v>
      </c>
    </row>
    <row r="1318" spans="1:4" x14ac:dyDescent="0.2">
      <c r="A1318" s="5">
        <v>1257</v>
      </c>
      <c r="B1318" s="138">
        <f>'Expenditures 15-22'!H174</f>
        <v>896971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257571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638000</v>
      </c>
      <c r="C1329" s="2" t="s">
        <v>573</v>
      </c>
      <c r="D1329" s="2" t="str">
        <f t="shared" si="19"/>
        <v>Error?</v>
      </c>
    </row>
    <row r="1330" spans="1:4" x14ac:dyDescent="0.2">
      <c r="A1330" s="5">
        <v>1269</v>
      </c>
      <c r="B1330" s="138">
        <f>'Expenditures 15-22'!K171</f>
        <v>1400</v>
      </c>
      <c r="C1330" s="2" t="s">
        <v>573</v>
      </c>
      <c r="D1330" s="2" t="str">
        <f t="shared" si="19"/>
        <v>Error?</v>
      </c>
    </row>
    <row r="1331" spans="1:4" x14ac:dyDescent="0.2">
      <c r="A1331" s="5">
        <v>1270</v>
      </c>
      <c r="B1331" s="138">
        <f>'Expenditures 15-22'!K172</f>
        <v>896971</v>
      </c>
      <c r="C1331" s="2" t="s">
        <v>573</v>
      </c>
      <c r="D1331" s="2" t="str">
        <f t="shared" si="19"/>
        <v>Error?</v>
      </c>
    </row>
    <row r="1332" spans="1:4" x14ac:dyDescent="0.2">
      <c r="A1332" s="5">
        <v>1271</v>
      </c>
      <c r="B1332" s="138">
        <f>'Expenditures 15-22'!K174</f>
        <v>896971</v>
      </c>
      <c r="C1332" s="2" t="s">
        <v>573</v>
      </c>
      <c r="D1332" s="2" t="str">
        <f t="shared" si="19"/>
        <v>Error?</v>
      </c>
    </row>
    <row r="1333" spans="1:4" x14ac:dyDescent="0.2">
      <c r="A1333" s="5">
        <v>1272</v>
      </c>
      <c r="B1333" s="138">
        <f>'Expenditures 15-22'!K175</f>
        <v>24756</v>
      </c>
      <c r="C1333" s="2" t="s">
        <v>573</v>
      </c>
      <c r="D1333" s="2" t="str">
        <f t="shared" si="19"/>
        <v>Error?</v>
      </c>
    </row>
    <row r="1334" spans="1:4" x14ac:dyDescent="0.2">
      <c r="A1334" s="10">
        <v>1273</v>
      </c>
      <c r="D1334" s="2" t="str">
        <f t="shared" si="19"/>
        <v>OK</v>
      </c>
    </row>
    <row r="1335" spans="1:4" x14ac:dyDescent="0.2">
      <c r="A1335" s="5">
        <v>1274</v>
      </c>
      <c r="B1335" s="138">
        <f>'Expenditures 15-22'!C182</f>
        <v>607342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607342</v>
      </c>
      <c r="C1339" s="2" t="s">
        <v>573</v>
      </c>
      <c r="D1339" s="2" t="str">
        <f t="shared" si="19"/>
        <v>Error?</v>
      </c>
    </row>
    <row r="1340" spans="1:4" x14ac:dyDescent="0.2">
      <c r="A1340" s="5">
        <v>1279</v>
      </c>
      <c r="B1340" s="138">
        <f>'Expenditures 15-22'!C210</f>
        <v>607342</v>
      </c>
      <c r="C1340" s="2" t="s">
        <v>573</v>
      </c>
      <c r="D1340" s="2" t="str">
        <f t="shared" si="19"/>
        <v>Error?</v>
      </c>
    </row>
    <row r="1341" spans="1:4" x14ac:dyDescent="0.2">
      <c r="A1341" s="5">
        <v>1280</v>
      </c>
      <c r="B1341" s="138">
        <f>'Expenditures 15-22'!D182</f>
        <v>31716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31716</v>
      </c>
      <c r="C1345" s="2" t="s">
        <v>573</v>
      </c>
      <c r="D1345" s="2" t="str">
        <f t="shared" si="20"/>
        <v>Error?</v>
      </c>
    </row>
    <row r="1346" spans="1:4" x14ac:dyDescent="0.2">
      <c r="A1346" s="5">
        <v>1285</v>
      </c>
      <c r="B1346" s="138">
        <f>'Expenditures 15-22'!D210</f>
        <v>31716</v>
      </c>
      <c r="C1346" s="2" t="s">
        <v>573</v>
      </c>
      <c r="D1346" s="2" t="str">
        <f t="shared" si="20"/>
        <v>Error?</v>
      </c>
    </row>
    <row r="1347" spans="1:4" x14ac:dyDescent="0.2">
      <c r="A1347" s="5">
        <v>1286</v>
      </c>
      <c r="B1347" s="138">
        <f>'Expenditures 15-22'!E182</f>
        <v>159684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159684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159684</v>
      </c>
      <c r="C1353" s="2" t="s">
        <v>573</v>
      </c>
      <c r="D1353" s="2" t="str">
        <f t="shared" si="20"/>
        <v>Error?</v>
      </c>
    </row>
    <row r="1354" spans="1:4" x14ac:dyDescent="0.2">
      <c r="A1354" s="5">
        <v>1293</v>
      </c>
      <c r="B1354" s="138">
        <f>'Expenditures 15-22'!F182</f>
        <v>75502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75502</v>
      </c>
      <c r="C1358" s="2" t="s">
        <v>573</v>
      </c>
      <c r="D1358" s="2" t="str">
        <f t="shared" si="20"/>
        <v>Error?</v>
      </c>
    </row>
    <row r="1359" spans="1:4" x14ac:dyDescent="0.2">
      <c r="A1359" s="5">
        <v>1298</v>
      </c>
      <c r="B1359" s="138">
        <f>'Expenditures 15-22'!F210</f>
        <v>75502</v>
      </c>
      <c r="C1359" s="2" t="s">
        <v>573</v>
      </c>
      <c r="D1359" s="2" t="str">
        <f t="shared" si="20"/>
        <v>Error?</v>
      </c>
    </row>
    <row r="1360" spans="1:4" x14ac:dyDescent="0.2">
      <c r="A1360" s="5">
        <v>1299</v>
      </c>
      <c r="B1360" s="138">
        <f>'Expenditures 15-22'!G182</f>
        <v>189635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189635</v>
      </c>
      <c r="C1364" s="2" t="s">
        <v>573</v>
      </c>
      <c r="D1364" s="2" t="str">
        <f t="shared" si="20"/>
        <v>Error?</v>
      </c>
    </row>
    <row r="1365" spans="1:4" x14ac:dyDescent="0.2">
      <c r="A1365" s="5">
        <v>1304</v>
      </c>
      <c r="B1365" s="138">
        <f>'Expenditures 15-22'!G210</f>
        <v>189635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192099</v>
      </c>
      <c r="C1375" s="2" t="s">
        <v>573</v>
      </c>
      <c r="D1375" s="2" t="str">
        <f t="shared" si="20"/>
        <v>Error?</v>
      </c>
    </row>
    <row r="1376" spans="1:4" x14ac:dyDescent="0.2">
      <c r="A1376" s="5">
        <v>1315</v>
      </c>
      <c r="B1376" s="138">
        <f>'Expenditures 15-22'!H210</f>
        <v>192099</v>
      </c>
      <c r="C1376" s="2" t="s">
        <v>573</v>
      </c>
      <c r="D1376" s="2" t="str">
        <f t="shared" si="20"/>
        <v>Error?</v>
      </c>
    </row>
    <row r="1377" spans="1:4" x14ac:dyDescent="0.2">
      <c r="A1377" s="5">
        <v>1316</v>
      </c>
      <c r="B1377" s="138">
        <f>'Expenditures 15-22'!K182</f>
        <v>1063879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1063879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192099</v>
      </c>
      <c r="C1387" s="2" t="s">
        <v>573</v>
      </c>
      <c r="D1387" s="2" t="str">
        <f t="shared" si="20"/>
        <v>Error?</v>
      </c>
    </row>
    <row r="1388" spans="1:4" x14ac:dyDescent="0.2">
      <c r="A1388" s="5">
        <v>1327</v>
      </c>
      <c r="B1388" s="138">
        <f>'Expenditures 15-22'!K210</f>
        <v>1255978</v>
      </c>
      <c r="C1388" s="2" t="s">
        <v>573</v>
      </c>
      <c r="D1388" s="2" t="str">
        <f t="shared" si="20"/>
        <v>Error?</v>
      </c>
    </row>
    <row r="1389" spans="1:4" x14ac:dyDescent="0.2">
      <c r="A1389" s="5">
        <v>1328</v>
      </c>
      <c r="B1389" s="138">
        <f>'Expenditures 15-22'!K211</f>
        <v>24755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6669</v>
      </c>
      <c r="D1407" s="2" t="str">
        <f t="shared" ref="D1407:D1470" si="21">IF(ISBLANK(B1407),"OK",IF(A1407-B1407=0,"OK","Error?"))</f>
        <v>Error?</v>
      </c>
    </row>
    <row r="1408" spans="1:4" x14ac:dyDescent="0.2">
      <c r="A1408" s="5">
        <v>1347</v>
      </c>
      <c r="B1408" s="138">
        <f>'Expenditures 15-22'!D223</f>
        <v>19945</v>
      </c>
      <c r="D1408" s="2" t="str">
        <f t="shared" si="21"/>
        <v>Error?</v>
      </c>
    </row>
    <row r="1409" spans="1:4" x14ac:dyDescent="0.2">
      <c r="A1409" s="5">
        <v>1348</v>
      </c>
      <c r="B1409" s="138">
        <f>'Expenditures 15-22'!D224</f>
        <v>248</v>
      </c>
      <c r="D1409" s="2" t="str">
        <f t="shared" si="21"/>
        <v>Error?</v>
      </c>
    </row>
    <row r="1410" spans="1:4" x14ac:dyDescent="0.2">
      <c r="A1410" s="5">
        <v>1349</v>
      </c>
      <c r="B1410" s="138">
        <f>'Expenditures 15-22'!D229</f>
        <v>142605</v>
      </c>
      <c r="C1410" s="2" t="s">
        <v>573</v>
      </c>
      <c r="D1410" s="2" t="str">
        <f t="shared" si="21"/>
        <v>Error?</v>
      </c>
    </row>
    <row r="1411" spans="1:4" x14ac:dyDescent="0.2">
      <c r="A1411" s="5">
        <v>1350</v>
      </c>
      <c r="B1411" s="138">
        <f>'Expenditures 15-22'!D232</f>
        <v>30017</v>
      </c>
      <c r="D1411" s="2" t="str">
        <f t="shared" si="21"/>
        <v>Error?</v>
      </c>
    </row>
    <row r="1412" spans="1:4" x14ac:dyDescent="0.2">
      <c r="A1412" s="5">
        <v>1351</v>
      </c>
      <c r="B1412" s="138">
        <f>'Expenditures 15-22'!D233</f>
        <v>13821</v>
      </c>
      <c r="D1412" s="2" t="str">
        <f t="shared" si="21"/>
        <v>Error?</v>
      </c>
    </row>
    <row r="1413" spans="1:4" x14ac:dyDescent="0.2">
      <c r="A1413" s="5">
        <v>1352</v>
      </c>
      <c r="B1413" s="138">
        <f>'Expenditures 15-22'!D234</f>
        <v>7279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51117</v>
      </c>
      <c r="C1417" s="2" t="s">
        <v>573</v>
      </c>
      <c r="D1417" s="2" t="str">
        <f t="shared" si="21"/>
        <v>Error?</v>
      </c>
    </row>
    <row r="1418" spans="1:4" x14ac:dyDescent="0.2">
      <c r="A1418" s="5">
        <v>1357</v>
      </c>
      <c r="B1418" s="138">
        <f>'Expenditures 15-22'!D240</f>
        <v>1621</v>
      </c>
      <c r="D1418" s="2" t="str">
        <f t="shared" si="21"/>
        <v>Error?</v>
      </c>
    </row>
    <row r="1419" spans="1:4" x14ac:dyDescent="0.2">
      <c r="A1419" s="5">
        <v>1358</v>
      </c>
      <c r="B1419" s="138">
        <f>'Expenditures 15-22'!D241</f>
        <v>6067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7688</v>
      </c>
      <c r="C1421" s="2" t="s">
        <v>573</v>
      </c>
      <c r="D1421" s="2" t="str">
        <f t="shared" si="21"/>
        <v>Error?</v>
      </c>
    </row>
    <row r="1422" spans="1:4" x14ac:dyDescent="0.2">
      <c r="A1422" s="5">
        <v>1361</v>
      </c>
      <c r="B1422" s="138">
        <f>'Expenditures 15-22'!D245</f>
        <v>463</v>
      </c>
      <c r="D1422" s="2" t="str">
        <f t="shared" si="21"/>
        <v>Error?</v>
      </c>
    </row>
    <row r="1423" spans="1:4" x14ac:dyDescent="0.2">
      <c r="A1423" s="5">
        <v>1362</v>
      </c>
      <c r="B1423" s="138">
        <f>'Expenditures 15-22'!D246</f>
        <v>12208</v>
      </c>
      <c r="D1423" s="2" t="str">
        <f t="shared" si="21"/>
        <v>Error?</v>
      </c>
    </row>
    <row r="1424" spans="1:4" x14ac:dyDescent="0.2">
      <c r="A1424" s="5">
        <v>1363</v>
      </c>
      <c r="B1424" s="138">
        <f>'Expenditures 15-22'!D257</f>
        <v>12671</v>
      </c>
      <c r="C1424" s="2" t="s">
        <v>573</v>
      </c>
      <c r="D1424" s="2" t="str">
        <f t="shared" si="21"/>
        <v>Error?</v>
      </c>
    </row>
    <row r="1425" spans="1:4" x14ac:dyDescent="0.2">
      <c r="A1425" s="5">
        <v>1364</v>
      </c>
      <c r="B1425" s="138">
        <f>'Expenditures 15-22'!D259</f>
        <v>24459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24459</v>
      </c>
      <c r="C1427" s="2" t="s">
        <v>573</v>
      </c>
      <c r="D1427" s="2" t="str">
        <f t="shared" si="21"/>
        <v>Error?</v>
      </c>
    </row>
    <row r="1428" spans="1:4" x14ac:dyDescent="0.2">
      <c r="A1428" s="5">
        <v>1367</v>
      </c>
      <c r="B1428" s="138">
        <f>'Expenditures 15-22'!D263</f>
        <v>7964</v>
      </c>
      <c r="D1428" s="2" t="str">
        <f t="shared" si="21"/>
        <v>Error?</v>
      </c>
    </row>
    <row r="1429" spans="1:4" x14ac:dyDescent="0.2">
      <c r="A1429" s="5">
        <v>1368</v>
      </c>
      <c r="B1429" s="138">
        <f>'Expenditures 15-22'!D264</f>
        <v>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90407</v>
      </c>
      <c r="D1431" s="2" t="str">
        <f t="shared" si="21"/>
        <v>Error?</v>
      </c>
    </row>
    <row r="1432" spans="1:4" x14ac:dyDescent="0.2">
      <c r="A1432" s="5">
        <v>1371</v>
      </c>
      <c r="B1432" s="138">
        <f>'Expenditures 15-22'!D267</f>
        <v>84686</v>
      </c>
      <c r="D1432" s="2" t="str">
        <f t="shared" si="21"/>
        <v>Error?</v>
      </c>
    </row>
    <row r="1433" spans="1:4" x14ac:dyDescent="0.2">
      <c r="A1433" s="5">
        <v>1372</v>
      </c>
      <c r="B1433" s="138">
        <f>'Expenditures 15-22'!D268</f>
        <v>39769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222885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38888</v>
      </c>
      <c r="D1442" s="2" t="str">
        <f t="shared" si="21"/>
        <v>Error?</v>
      </c>
    </row>
    <row r="1443" spans="1:4" x14ac:dyDescent="0.2">
      <c r="A1443" s="10">
        <v>1382</v>
      </c>
      <c r="D1443" s="2" t="str">
        <f t="shared" si="21"/>
        <v>OK</v>
      </c>
    </row>
    <row r="1444" spans="1:4" x14ac:dyDescent="0.2">
      <c r="A1444" s="5">
        <v>1383</v>
      </c>
      <c r="B1444" s="138">
        <f>'Expenditures 15-22'!D277</f>
        <v>38888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357708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500313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6669</v>
      </c>
      <c r="C1471" s="2" t="s">
        <v>573</v>
      </c>
      <c r="D1471" s="2" t="str">
        <f t="shared" ref="D1471:D1534" si="22">IF(ISBLANK(B1471),"OK",IF(A1471-B1471=0,"OK","Error?"))</f>
        <v>Error?</v>
      </c>
    </row>
    <row r="1472" spans="1:4" x14ac:dyDescent="0.2">
      <c r="A1472" s="5">
        <v>1411</v>
      </c>
      <c r="B1472" s="138">
        <f>'Expenditures 15-22'!K223</f>
        <v>19945</v>
      </c>
      <c r="C1472" s="2" t="s">
        <v>573</v>
      </c>
      <c r="D1472" s="2" t="str">
        <f t="shared" si="22"/>
        <v>Error?</v>
      </c>
    </row>
    <row r="1473" spans="1:4" x14ac:dyDescent="0.2">
      <c r="A1473" s="5">
        <v>1412</v>
      </c>
      <c r="B1473" s="138">
        <f>'Expenditures 15-22'!K224</f>
        <v>248</v>
      </c>
      <c r="C1473" s="2" t="s">
        <v>573</v>
      </c>
      <c r="D1473" s="2" t="str">
        <f t="shared" si="22"/>
        <v>Error?</v>
      </c>
    </row>
    <row r="1474" spans="1:4" x14ac:dyDescent="0.2">
      <c r="A1474" s="5">
        <v>1413</v>
      </c>
      <c r="B1474" s="138">
        <f>'Expenditures 15-22'!K229</f>
        <v>142605</v>
      </c>
      <c r="C1474" s="2" t="s">
        <v>573</v>
      </c>
      <c r="D1474" s="2" t="str">
        <f t="shared" si="22"/>
        <v>Error?</v>
      </c>
    </row>
    <row r="1475" spans="1:4" x14ac:dyDescent="0.2">
      <c r="A1475" s="5">
        <v>1414</v>
      </c>
      <c r="B1475" s="138">
        <f>'Expenditures 15-22'!K232</f>
        <v>30017</v>
      </c>
      <c r="C1475" s="2" t="s">
        <v>573</v>
      </c>
      <c r="D1475" s="2" t="str">
        <f t="shared" si="22"/>
        <v>Error?</v>
      </c>
    </row>
    <row r="1476" spans="1:4" x14ac:dyDescent="0.2">
      <c r="A1476" s="5">
        <v>1415</v>
      </c>
      <c r="B1476" s="138">
        <f>'Expenditures 15-22'!K233</f>
        <v>13821</v>
      </c>
      <c r="C1476" s="2" t="s">
        <v>573</v>
      </c>
      <c r="D1476" s="2" t="str">
        <f t="shared" si="22"/>
        <v>Error?</v>
      </c>
    </row>
    <row r="1477" spans="1:4" x14ac:dyDescent="0.2">
      <c r="A1477" s="5">
        <v>1416</v>
      </c>
      <c r="B1477" s="138">
        <f>'Expenditures 15-22'!K234</f>
        <v>7279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51117</v>
      </c>
      <c r="C1481" s="2" t="s">
        <v>573</v>
      </c>
      <c r="D1481" s="2" t="str">
        <f t="shared" si="22"/>
        <v>Error?</v>
      </c>
    </row>
    <row r="1482" spans="1:4" x14ac:dyDescent="0.2">
      <c r="A1482" s="5">
        <v>1421</v>
      </c>
      <c r="B1482" s="138">
        <f>'Expenditures 15-22'!K240</f>
        <v>1621</v>
      </c>
      <c r="C1482" s="2" t="s">
        <v>573</v>
      </c>
      <c r="D1482" s="2" t="str">
        <f t="shared" si="22"/>
        <v>Error?</v>
      </c>
    </row>
    <row r="1483" spans="1:4" x14ac:dyDescent="0.2">
      <c r="A1483" s="5">
        <v>1422</v>
      </c>
      <c r="B1483" s="138">
        <f>'Expenditures 15-22'!K241</f>
        <v>6067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7688</v>
      </c>
      <c r="C1485" s="2" t="s">
        <v>573</v>
      </c>
      <c r="D1485" s="2" t="str">
        <f t="shared" si="22"/>
        <v>Error?</v>
      </c>
    </row>
    <row r="1486" spans="1:4" x14ac:dyDescent="0.2">
      <c r="A1486" s="5">
        <v>1425</v>
      </c>
      <c r="B1486" s="138">
        <f>'Expenditures 15-22'!K245</f>
        <v>463</v>
      </c>
      <c r="C1486" s="2" t="s">
        <v>573</v>
      </c>
      <c r="D1486" s="2" t="str">
        <f t="shared" si="22"/>
        <v>Error?</v>
      </c>
    </row>
    <row r="1487" spans="1:4" x14ac:dyDescent="0.2">
      <c r="A1487" s="5">
        <v>1426</v>
      </c>
      <c r="B1487" s="138">
        <f>'Expenditures 15-22'!K246</f>
        <v>12208</v>
      </c>
      <c r="C1487" s="2" t="s">
        <v>573</v>
      </c>
      <c r="D1487" s="2" t="str">
        <f t="shared" si="22"/>
        <v>Error?</v>
      </c>
    </row>
    <row r="1488" spans="1:4" x14ac:dyDescent="0.2">
      <c r="A1488" s="5">
        <v>1427</v>
      </c>
      <c r="B1488" s="138">
        <f>'Expenditures 15-22'!K257</f>
        <v>12671</v>
      </c>
      <c r="C1488" s="2" t="s">
        <v>573</v>
      </c>
      <c r="D1488" s="2" t="str">
        <f t="shared" si="22"/>
        <v>Error?</v>
      </c>
    </row>
    <row r="1489" spans="1:4" x14ac:dyDescent="0.2">
      <c r="A1489" s="5">
        <v>1428</v>
      </c>
      <c r="B1489" s="138">
        <f>'Expenditures 15-22'!K259</f>
        <v>24459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24459</v>
      </c>
      <c r="C1491" s="2" t="s">
        <v>573</v>
      </c>
      <c r="D1491" s="2" t="str">
        <f t="shared" si="22"/>
        <v>Error?</v>
      </c>
    </row>
    <row r="1492" spans="1:4" x14ac:dyDescent="0.2">
      <c r="A1492" s="5">
        <v>1431</v>
      </c>
      <c r="B1492" s="138">
        <f>'Expenditures 15-22'!K263</f>
        <v>7964</v>
      </c>
      <c r="C1492" s="2" t="s">
        <v>573</v>
      </c>
      <c r="D1492" s="2" t="str">
        <f t="shared" si="22"/>
        <v>Error?</v>
      </c>
    </row>
    <row r="1493" spans="1:4" x14ac:dyDescent="0.2">
      <c r="A1493" s="5">
        <v>1432</v>
      </c>
      <c r="B1493" s="138">
        <f>'Expenditures 15-22'!K264</f>
        <v>59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90407</v>
      </c>
      <c r="C1495" s="2" t="s">
        <v>573</v>
      </c>
      <c r="D1495" s="2" t="str">
        <f t="shared" si="22"/>
        <v>Error?</v>
      </c>
    </row>
    <row r="1496" spans="1:4" x14ac:dyDescent="0.2">
      <c r="A1496" s="5">
        <v>1435</v>
      </c>
      <c r="B1496" s="138">
        <f>'Expenditures 15-22'!K267</f>
        <v>84686</v>
      </c>
      <c r="C1496" s="2" t="s">
        <v>573</v>
      </c>
      <c r="D1496" s="2" t="str">
        <f t="shared" si="22"/>
        <v>Error?</v>
      </c>
    </row>
    <row r="1497" spans="1:4" x14ac:dyDescent="0.2">
      <c r="A1497" s="5">
        <v>1436</v>
      </c>
      <c r="B1497" s="138">
        <f>'Expenditures 15-22'!K268</f>
        <v>39769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222885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38888</v>
      </c>
      <c r="C1506" s="2" t="s">
        <v>573</v>
      </c>
      <c r="D1506" s="2" t="str">
        <f t="shared" si="22"/>
        <v>Error?</v>
      </c>
    </row>
    <row r="1507" spans="1:4" x14ac:dyDescent="0.2">
      <c r="A1507" s="10">
        <v>1446</v>
      </c>
      <c r="D1507" s="2" t="str">
        <f t="shared" si="22"/>
        <v>OK</v>
      </c>
    </row>
    <row r="1508" spans="1:4" x14ac:dyDescent="0.2">
      <c r="A1508" s="5">
        <v>1447</v>
      </c>
      <c r="B1508" s="138">
        <f>'Expenditures 15-22'!K277</f>
        <v>38888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357708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500313</v>
      </c>
      <c r="C1517" s="2" t="s">
        <v>573</v>
      </c>
      <c r="D1517" s="2" t="str">
        <f t="shared" si="22"/>
        <v>Error?</v>
      </c>
    </row>
    <row r="1518" spans="1:4" x14ac:dyDescent="0.2">
      <c r="A1518" s="5">
        <v>1457</v>
      </c>
      <c r="B1518" s="138">
        <f>'Expenditures 15-22'!K296</f>
        <v>59137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1357525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1357525</v>
      </c>
      <c r="C1547" s="2" t="s">
        <v>573</v>
      </c>
      <c r="D1547" s="2" t="str">
        <f t="shared" si="23"/>
        <v>Error?</v>
      </c>
    </row>
    <row r="1548" spans="1:4" x14ac:dyDescent="0.2">
      <c r="A1548" s="5">
        <v>1487</v>
      </c>
      <c r="B1548" s="138">
        <f>'Expenditures 15-22'!G312</f>
        <v>1357525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1357525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1357525</v>
      </c>
      <c r="C1559" s="2" t="s">
        <v>573</v>
      </c>
      <c r="D1559" s="2" t="str">
        <f t="shared" si="23"/>
        <v>Error?</v>
      </c>
    </row>
    <row r="1560" spans="1:4" x14ac:dyDescent="0.2">
      <c r="A1560" s="5">
        <v>1499</v>
      </c>
      <c r="B1560" s="138">
        <f>'Expenditures 15-22'!K312</f>
        <v>1357525</v>
      </c>
      <c r="C1560" s="2" t="s">
        <v>573</v>
      </c>
      <c r="D1560" s="2" t="str">
        <f t="shared" si="23"/>
        <v>Error?</v>
      </c>
    </row>
    <row r="1561" spans="1:4" x14ac:dyDescent="0.2">
      <c r="A1561" s="5">
        <v>1500</v>
      </c>
      <c r="B1561" s="138">
        <f>'Expenditures 15-22'!K313</f>
        <v>-1308783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4049453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2614502</v>
      </c>
      <c r="C1630" s="2" t="s">
        <v>573</v>
      </c>
      <c r="D1630" s="2" t="str">
        <f t="shared" si="24"/>
        <v>Error?</v>
      </c>
    </row>
    <row r="1631" spans="1:4" x14ac:dyDescent="0.2">
      <c r="A1631" s="5">
        <v>1570</v>
      </c>
      <c r="B1631" s="138">
        <f>'Acct Summary 7-8'!D79</f>
        <v>1524226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1040898</v>
      </c>
      <c r="C1644" s="2" t="s">
        <v>573</v>
      </c>
      <c r="D1644" s="2" t="str">
        <f t="shared" si="24"/>
        <v>Error?</v>
      </c>
    </row>
    <row r="1645" spans="1:4" x14ac:dyDescent="0.2">
      <c r="A1645" s="5">
        <v>1584</v>
      </c>
      <c r="B1645" s="138">
        <f>'Acct Summary 7-8'!E79</f>
        <v>1243371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1268127</v>
      </c>
      <c r="C1658" s="2" t="s">
        <v>573</v>
      </c>
      <c r="D1658" s="2" t="str">
        <f t="shared" si="24"/>
        <v>Error?</v>
      </c>
    </row>
    <row r="1659" spans="1:4" x14ac:dyDescent="0.2">
      <c r="A1659" s="5">
        <v>1598</v>
      </c>
      <c r="B1659" s="138">
        <f>'Acct Summary 7-8'!F79</f>
        <v>2803637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1828392</v>
      </c>
      <c r="C1672" s="2" t="s">
        <v>573</v>
      </c>
      <c r="D1672" s="2" t="str">
        <f t="shared" si="25"/>
        <v>Error?</v>
      </c>
    </row>
    <row r="1673" spans="1:4" x14ac:dyDescent="0.2">
      <c r="A1673" s="5">
        <v>1612</v>
      </c>
      <c r="B1673" s="138">
        <f>'Acct Summary 7-8'!G79</f>
        <v>594141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653278</v>
      </c>
      <c r="C1686" s="2" t="s">
        <v>573</v>
      </c>
      <c r="D1686" s="2" t="str">
        <f t="shared" si="25"/>
        <v>Error?</v>
      </c>
    </row>
    <row r="1687" spans="1:4" x14ac:dyDescent="0.2">
      <c r="A1687" s="5">
        <v>1626</v>
      </c>
      <c r="B1687" s="138">
        <f>'Acct Summary 7-8'!H79</f>
        <v>185083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1376300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5679042</v>
      </c>
      <c r="C1744" s="2" t="s">
        <v>573</v>
      </c>
      <c r="D1744" s="2" t="str">
        <f t="shared" si="26"/>
        <v>Error?</v>
      </c>
    </row>
    <row r="1745" spans="1:5" x14ac:dyDescent="0.2">
      <c r="A1745" s="5">
        <v>1684</v>
      </c>
      <c r="B1745" s="138">
        <f>'Tax Sched 23'!B5</f>
        <v>1526773</v>
      </c>
      <c r="C1745" s="2" t="s">
        <v>573</v>
      </c>
      <c r="D1745" s="2" t="str">
        <f t="shared" si="26"/>
        <v>Error?</v>
      </c>
    </row>
    <row r="1746" spans="1:5" x14ac:dyDescent="0.2">
      <c r="A1746" s="5">
        <v>1685</v>
      </c>
      <c r="B1746" s="138">
        <f>'Tax Sched 23'!B6</f>
        <v>498684</v>
      </c>
      <c r="C1746" s="2" t="s">
        <v>573</v>
      </c>
      <c r="D1746" s="2" t="str">
        <f t="shared" si="26"/>
        <v>Error?</v>
      </c>
    </row>
    <row r="1747" spans="1:5" x14ac:dyDescent="0.2">
      <c r="A1747" s="5">
        <v>1686</v>
      </c>
      <c r="B1747" s="138">
        <f>'Tax Sched 23'!B7</f>
        <v>735713</v>
      </c>
      <c r="C1747" s="2" t="s">
        <v>573</v>
      </c>
      <c r="D1747" s="2" t="str">
        <f t="shared" si="26"/>
        <v>Error?</v>
      </c>
    </row>
    <row r="1748" spans="1:5" x14ac:dyDescent="0.2">
      <c r="A1748" s="5">
        <v>1687</v>
      </c>
      <c r="B1748" s="138">
        <f>'Tax Sched 23'!B8</f>
        <v>173484</v>
      </c>
      <c r="C1748" s="2" t="s">
        <v>573</v>
      </c>
      <c r="D1748" s="2" t="str">
        <f t="shared" si="26"/>
        <v>Error?</v>
      </c>
    </row>
    <row r="1749" spans="1:5" x14ac:dyDescent="0.2">
      <c r="A1749" s="5">
        <v>1688</v>
      </c>
      <c r="B1749" s="138">
        <f>'Tax Sched 23'!B10</f>
        <v>213602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277707</v>
      </c>
      <c r="C1753" s="2" t="s">
        <v>573</v>
      </c>
      <c r="D1753" s="2" t="str">
        <f t="shared" si="26"/>
        <v>Error?</v>
      </c>
    </row>
    <row r="1754" spans="1:5" x14ac:dyDescent="0.2">
      <c r="A1754" s="5">
        <v>1693</v>
      </c>
      <c r="B1754" s="138">
        <f>'Tax Sched 23'!B14</f>
        <v>111872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9818538</v>
      </c>
      <c r="C1759" s="2" t="s">
        <v>573</v>
      </c>
      <c r="D1759" s="2" t="str">
        <f t="shared" si="26"/>
        <v>Error?</v>
      </c>
    </row>
    <row r="1760" spans="1:5" x14ac:dyDescent="0.2">
      <c r="A1760" s="5">
        <v>1699</v>
      </c>
      <c r="B1760" s="138">
        <f>'Tax Sched 23'!D4</f>
        <v>5679042</v>
      </c>
      <c r="C1760" s="2" t="s">
        <v>573</v>
      </c>
      <c r="D1760" s="2" t="str">
        <f t="shared" si="26"/>
        <v>Error?</v>
      </c>
    </row>
    <row r="1761" spans="1:5" x14ac:dyDescent="0.2">
      <c r="A1761" s="5">
        <v>1700</v>
      </c>
      <c r="B1761" s="138">
        <f>'Tax Sched 23'!D5</f>
        <v>1526773</v>
      </c>
      <c r="C1761" s="2" t="s">
        <v>573</v>
      </c>
      <c r="D1761" s="2" t="str">
        <f t="shared" si="26"/>
        <v>Error?</v>
      </c>
    </row>
    <row r="1762" spans="1:5" s="8" customFormat="1" x14ac:dyDescent="0.2">
      <c r="A1762" s="5">
        <v>1701</v>
      </c>
      <c r="B1762" s="138">
        <f>'Tax Sched 23'!D6</f>
        <v>498684</v>
      </c>
      <c r="C1762" s="2" t="s">
        <v>573</v>
      </c>
      <c r="D1762" s="2" t="str">
        <f t="shared" si="26"/>
        <v>Error?</v>
      </c>
      <c r="E1762" s="9"/>
    </row>
    <row r="1763" spans="1:5" x14ac:dyDescent="0.2">
      <c r="A1763" s="5">
        <v>1702</v>
      </c>
      <c r="B1763" s="138">
        <f>'Tax Sched 23'!D7</f>
        <v>735713</v>
      </c>
      <c r="C1763" s="2" t="s">
        <v>573</v>
      </c>
      <c r="D1763" s="2" t="str">
        <f t="shared" si="26"/>
        <v>Error?</v>
      </c>
    </row>
    <row r="1764" spans="1:5" x14ac:dyDescent="0.2">
      <c r="A1764" s="5">
        <v>1703</v>
      </c>
      <c r="B1764" s="138">
        <f>'Tax Sched 23'!D8</f>
        <v>173484</v>
      </c>
      <c r="C1764" s="2" t="s">
        <v>573</v>
      </c>
      <c r="D1764" s="2" t="str">
        <f t="shared" si="26"/>
        <v>Error?</v>
      </c>
    </row>
    <row r="1765" spans="1:5" x14ac:dyDescent="0.2">
      <c r="A1765" s="5">
        <v>1704</v>
      </c>
      <c r="B1765" s="138">
        <f>'Tax Sched 23'!D10</f>
        <v>213602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277707</v>
      </c>
      <c r="C1769" s="2" t="s">
        <v>573</v>
      </c>
      <c r="D1769" s="2" t="str">
        <f t="shared" si="26"/>
        <v>Error?</v>
      </c>
    </row>
    <row r="1770" spans="1:5" x14ac:dyDescent="0.2">
      <c r="A1770" s="5">
        <v>1709</v>
      </c>
      <c r="B1770" s="138">
        <f>'Tax Sched 23'!D14</f>
        <v>111872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9818538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5842768</v>
      </c>
      <c r="C1792" s="2" t="s">
        <v>573</v>
      </c>
      <c r="D1792" s="2" t="str">
        <f t="shared" si="27"/>
        <v>Error?</v>
      </c>
    </row>
    <row r="1793" spans="1:4" x14ac:dyDescent="0.2">
      <c r="A1793" s="5">
        <v>1732</v>
      </c>
      <c r="B1793" s="138">
        <f>'Tax Sched 23'!F5</f>
        <v>1570878</v>
      </c>
      <c r="C1793" s="2" t="s">
        <v>573</v>
      </c>
      <c r="D1793" s="2" t="str">
        <f t="shared" si="27"/>
        <v>Error?</v>
      </c>
    </row>
    <row r="1794" spans="1:4" x14ac:dyDescent="0.2">
      <c r="A1794" s="5">
        <v>1733</v>
      </c>
      <c r="B1794" s="138">
        <f>'Tax Sched 23'!F6</f>
        <v>493570</v>
      </c>
      <c r="C1794" s="2" t="s">
        <v>573</v>
      </c>
      <c r="D1794" s="2" t="str">
        <f t="shared" si="27"/>
        <v>Error?</v>
      </c>
    </row>
    <row r="1795" spans="1:4" x14ac:dyDescent="0.2">
      <c r="A1795" s="5">
        <v>1734</v>
      </c>
      <c r="B1795" s="138">
        <f>'Tax Sched 23'!F7</f>
        <v>757003</v>
      </c>
      <c r="C1795" s="2" t="s">
        <v>573</v>
      </c>
      <c r="D1795" s="2" t="str">
        <f t="shared" si="27"/>
        <v>Error?</v>
      </c>
    </row>
    <row r="1796" spans="1:4" x14ac:dyDescent="0.2">
      <c r="A1796" s="5">
        <v>1735</v>
      </c>
      <c r="B1796" s="138">
        <f>'Tax Sched 23'!F8</f>
        <v>178520</v>
      </c>
      <c r="C1796" s="2" t="s">
        <v>573</v>
      </c>
      <c r="D1796" s="2" t="str">
        <f t="shared" si="27"/>
        <v>Error?</v>
      </c>
    </row>
    <row r="1797" spans="1:4" x14ac:dyDescent="0.2">
      <c r="A1797" s="5">
        <v>1736</v>
      </c>
      <c r="B1797" s="138">
        <f>'Tax Sched 23'!F10</f>
        <v>217210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285800</v>
      </c>
      <c r="C1801" s="2" t="s">
        <v>573</v>
      </c>
      <c r="D1801" s="2" t="str">
        <f t="shared" si="27"/>
        <v>Error?</v>
      </c>
    </row>
    <row r="1802" spans="1:4" x14ac:dyDescent="0.2">
      <c r="A1802" s="5">
        <v>1741</v>
      </c>
      <c r="B1802" s="138">
        <f>'Tax Sched 23'!F14</f>
        <v>115697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10085593</v>
      </c>
      <c r="C1807" s="2" t="s">
        <v>573</v>
      </c>
      <c r="D1807" s="2" t="str">
        <f t="shared" si="27"/>
        <v>Error?</v>
      </c>
    </row>
    <row r="1808" spans="1:4" x14ac:dyDescent="0.2">
      <c r="A1808" s="5">
        <v>1747</v>
      </c>
      <c r="B1808" s="138">
        <f>'Tax Sched 23'!E4</f>
        <v>5842768</v>
      </c>
      <c r="D1808" s="2" t="str">
        <f t="shared" si="27"/>
        <v>Error?</v>
      </c>
    </row>
    <row r="1809" spans="1:4" x14ac:dyDescent="0.2">
      <c r="A1809" s="5">
        <v>1748</v>
      </c>
      <c r="B1809" s="138">
        <f>'Tax Sched 23'!E5</f>
        <v>1570878</v>
      </c>
      <c r="D1809" s="2" t="str">
        <f t="shared" si="27"/>
        <v>Error?</v>
      </c>
    </row>
    <row r="1810" spans="1:4" x14ac:dyDescent="0.2">
      <c r="A1810" s="5">
        <v>1749</v>
      </c>
      <c r="B1810" s="138">
        <f>'Tax Sched 23'!E6</f>
        <v>493570</v>
      </c>
      <c r="D1810" s="2" t="str">
        <f t="shared" si="27"/>
        <v>Error?</v>
      </c>
    </row>
    <row r="1811" spans="1:4" x14ac:dyDescent="0.2">
      <c r="A1811" s="5">
        <v>1750</v>
      </c>
      <c r="B1811" s="138">
        <f>'Tax Sched 23'!E7</f>
        <v>757003</v>
      </c>
      <c r="D1811" s="2" t="str">
        <f t="shared" si="27"/>
        <v>Error?</v>
      </c>
    </row>
    <row r="1812" spans="1:4" x14ac:dyDescent="0.2">
      <c r="A1812" s="5">
        <v>1751</v>
      </c>
      <c r="B1812" s="138">
        <f>'Tax Sched 23'!E8</f>
        <v>178520</v>
      </c>
      <c r="D1812" s="2" t="str">
        <f t="shared" si="27"/>
        <v>Error?</v>
      </c>
    </row>
    <row r="1813" spans="1:4" x14ac:dyDescent="0.2">
      <c r="A1813" s="5">
        <v>1752</v>
      </c>
      <c r="B1813" s="138">
        <f>'Tax Sched 23'!E10</f>
        <v>217210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285800</v>
      </c>
      <c r="D1817" s="2" t="str">
        <f t="shared" si="27"/>
        <v>Error?</v>
      </c>
    </row>
    <row r="1818" spans="1:4" x14ac:dyDescent="0.2">
      <c r="A1818" s="5">
        <v>1757</v>
      </c>
      <c r="B1818" s="138">
        <f>'Tax Sched 23'!E14</f>
        <v>115697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10085593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12260999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111872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111872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111872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60099</v>
      </c>
      <c r="D2008" s="2" t="str">
        <f t="shared" si="30"/>
        <v>Error?</v>
      </c>
    </row>
    <row r="2009" spans="1:4" x14ac:dyDescent="0.2">
      <c r="A2009" s="5">
        <v>1948</v>
      </c>
      <c r="B2009" s="138">
        <f>'Cap Outlay Deprec 26'!C8</f>
        <v>31370472</v>
      </c>
      <c r="D2009" s="2" t="str">
        <f t="shared" si="30"/>
        <v>Error?</v>
      </c>
    </row>
    <row r="2010" spans="1:4" x14ac:dyDescent="0.2">
      <c r="A2010" s="5">
        <v>1949</v>
      </c>
      <c r="B2010" s="138">
        <f>'Cap Outlay Deprec 26'!C10</f>
        <v>1678543</v>
      </c>
      <c r="D2010" s="2" t="str">
        <f t="shared" si="30"/>
        <v>Error?</v>
      </c>
    </row>
    <row r="2011" spans="1:4" x14ac:dyDescent="0.2">
      <c r="A2011" s="5">
        <v>1950</v>
      </c>
      <c r="B2011" s="138">
        <f>'Cap Outlay Deprec 26'!C12</f>
        <v>2579684</v>
      </c>
      <c r="D2011" s="2" t="str">
        <f t="shared" si="30"/>
        <v>Error?</v>
      </c>
    </row>
    <row r="2012" spans="1:4" x14ac:dyDescent="0.2">
      <c r="A2012" s="5">
        <v>1951</v>
      </c>
      <c r="B2012" s="138">
        <f>'Cap Outlay Deprec 26'!C13</f>
        <v>2259404</v>
      </c>
      <c r="D2012" s="2" t="str">
        <f t="shared" si="30"/>
        <v>Error?</v>
      </c>
    </row>
    <row r="2013" spans="1:4" x14ac:dyDescent="0.2">
      <c r="A2013" s="5">
        <v>1952</v>
      </c>
      <c r="B2013" s="138">
        <f>'Cap Outlay Deprec 26'!C16</f>
        <v>37948202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531699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237762</v>
      </c>
      <c r="D2017" s="2" t="str">
        <f t="shared" si="30"/>
        <v>Error?</v>
      </c>
    </row>
    <row r="2018" spans="1:4" x14ac:dyDescent="0.2">
      <c r="A2018" s="5">
        <v>1957</v>
      </c>
      <c r="B2018" s="138">
        <f>'Cap Outlay Deprec 26'!D13</f>
        <v>117726</v>
      </c>
      <c r="D2018" s="2" t="str">
        <f t="shared" si="30"/>
        <v>Error?</v>
      </c>
    </row>
    <row r="2019" spans="1:4" x14ac:dyDescent="0.2">
      <c r="A2019" s="5">
        <v>1958</v>
      </c>
      <c r="B2019" s="138">
        <f>'Cap Outlay Deprec 26'!D16</f>
        <v>1783999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80348</v>
      </c>
      <c r="D2023" s="2" t="str">
        <f t="shared" si="30"/>
        <v>Error?</v>
      </c>
    </row>
    <row r="2024" spans="1:4" x14ac:dyDescent="0.2">
      <c r="A2024" s="5">
        <v>1963</v>
      </c>
      <c r="B2024" s="138">
        <f>'Cap Outlay Deprec 26'!E13</f>
        <v>779338</v>
      </c>
      <c r="D2024" s="2" t="str">
        <f t="shared" si="30"/>
        <v>Error?</v>
      </c>
    </row>
    <row r="2025" spans="1:4" x14ac:dyDescent="0.2">
      <c r="A2025" s="5">
        <v>1964</v>
      </c>
      <c r="B2025" s="138">
        <f>'Cap Outlay Deprec 26'!E16</f>
        <v>859686</v>
      </c>
      <c r="C2025" s="2" t="s">
        <v>573</v>
      </c>
      <c r="D2025" s="2" t="str">
        <f t="shared" si="30"/>
        <v>Error?</v>
      </c>
    </row>
    <row r="2026" spans="1:4" x14ac:dyDescent="0.2">
      <c r="A2026" s="5">
        <v>1965</v>
      </c>
      <c r="B2026" s="138">
        <f>'Cap Outlay Deprec 26'!F5</f>
        <v>60099</v>
      </c>
      <c r="C2026" s="2" t="s">
        <v>573</v>
      </c>
      <c r="D2026" s="2" t="str">
        <f t="shared" si="30"/>
        <v>Error?</v>
      </c>
    </row>
    <row r="2027" spans="1:4" x14ac:dyDescent="0.2">
      <c r="A2027" s="5">
        <v>1966</v>
      </c>
      <c r="B2027" s="138">
        <f>'Cap Outlay Deprec 26'!F8</f>
        <v>31902171</v>
      </c>
      <c r="C2027" s="2" t="s">
        <v>573</v>
      </c>
      <c r="D2027" s="2" t="str">
        <f t="shared" si="30"/>
        <v>Error?</v>
      </c>
    </row>
    <row r="2028" spans="1:4" x14ac:dyDescent="0.2">
      <c r="A2028" s="5">
        <v>1967</v>
      </c>
      <c r="B2028" s="138">
        <f>'Cap Outlay Deprec 26'!F10</f>
        <v>1678543</v>
      </c>
      <c r="C2028" s="2" t="s">
        <v>573</v>
      </c>
      <c r="D2028" s="2" t="str">
        <f t="shared" si="30"/>
        <v>Error?</v>
      </c>
    </row>
    <row r="2029" spans="1:4" x14ac:dyDescent="0.2">
      <c r="A2029" s="5">
        <v>1968</v>
      </c>
      <c r="B2029" s="138">
        <f>'Cap Outlay Deprec 26'!F12</f>
        <v>2737098</v>
      </c>
      <c r="C2029" s="2" t="s">
        <v>573</v>
      </c>
      <c r="D2029" s="2" t="str">
        <f t="shared" si="30"/>
        <v>Error?</v>
      </c>
    </row>
    <row r="2030" spans="1:4" x14ac:dyDescent="0.2">
      <c r="A2030" s="5">
        <v>1969</v>
      </c>
      <c r="B2030" s="138">
        <f>'Cap Outlay Deprec 26'!F13</f>
        <v>1597792</v>
      </c>
      <c r="C2030" s="2" t="s">
        <v>573</v>
      </c>
      <c r="D2030" s="2" t="str">
        <f t="shared" si="30"/>
        <v>Error?</v>
      </c>
    </row>
    <row r="2031" spans="1:4" x14ac:dyDescent="0.2">
      <c r="A2031" s="5">
        <v>1970</v>
      </c>
      <c r="B2031" s="138">
        <f>'Cap Outlay Deprec 26'!F16</f>
        <v>38872515</v>
      </c>
      <c r="C2031" s="2" t="s">
        <v>573</v>
      </c>
      <c r="D2031" s="2" t="str">
        <f t="shared" si="30"/>
        <v>Error?</v>
      </c>
    </row>
    <row r="2032" spans="1:4" x14ac:dyDescent="0.2">
      <c r="A2032" s="10">
        <v>1971</v>
      </c>
      <c r="D2032" s="2" t="str">
        <f t="shared" si="30"/>
        <v>OK</v>
      </c>
    </row>
    <row r="2033" spans="1:4" x14ac:dyDescent="0.2">
      <c r="A2033" s="5">
        <v>1972</v>
      </c>
      <c r="B2033" s="138">
        <f>'Cap Outlay Deprec 26'!H8</f>
        <v>12819409</v>
      </c>
      <c r="D2033" s="2" t="str">
        <f t="shared" si="30"/>
        <v>Error?</v>
      </c>
    </row>
    <row r="2034" spans="1:4" x14ac:dyDescent="0.2">
      <c r="A2034" s="5">
        <v>1973</v>
      </c>
      <c r="B2034" s="138">
        <f>'Cap Outlay Deprec 26'!H10</f>
        <v>547695</v>
      </c>
      <c r="D2034" s="2" t="str">
        <f t="shared" si="30"/>
        <v>Error?</v>
      </c>
    </row>
    <row r="2035" spans="1:4" x14ac:dyDescent="0.2">
      <c r="A2035" s="5">
        <v>1974</v>
      </c>
      <c r="B2035" s="138">
        <f>'Cap Outlay Deprec 26'!H12</f>
        <v>1576656</v>
      </c>
      <c r="D2035" s="2" t="str">
        <f t="shared" si="30"/>
        <v>Error?</v>
      </c>
    </row>
    <row r="2036" spans="1:4" x14ac:dyDescent="0.2">
      <c r="A2036" s="5">
        <v>1975</v>
      </c>
      <c r="B2036" s="138">
        <f>'Cap Outlay Deprec 26'!H13</f>
        <v>679020</v>
      </c>
      <c r="D2036" s="2" t="str">
        <f t="shared" si="30"/>
        <v>Error?</v>
      </c>
    </row>
    <row r="2037" spans="1:4" x14ac:dyDescent="0.2">
      <c r="A2037" s="5">
        <v>1976</v>
      </c>
      <c r="B2037" s="138">
        <f>'Cap Outlay Deprec 26'!H16</f>
        <v>15622780</v>
      </c>
      <c r="C2037" s="2" t="s">
        <v>573</v>
      </c>
      <c r="D2037" s="2" t="str">
        <f t="shared" si="30"/>
        <v>Error?</v>
      </c>
    </row>
    <row r="2038" spans="1:4" x14ac:dyDescent="0.2">
      <c r="A2038" s="10">
        <v>1977</v>
      </c>
      <c r="D2038" s="2" t="str">
        <f t="shared" si="30"/>
        <v>OK</v>
      </c>
    </row>
    <row r="2039" spans="1:4" x14ac:dyDescent="0.2">
      <c r="A2039" s="5">
        <v>1978</v>
      </c>
      <c r="B2039" s="138">
        <f>'Cap Outlay Deprec 26'!I8</f>
        <v>552996</v>
      </c>
      <c r="D2039" s="2" t="str">
        <f t="shared" si="30"/>
        <v>Error?</v>
      </c>
    </row>
    <row r="2040" spans="1:4" x14ac:dyDescent="0.2">
      <c r="A2040" s="5">
        <v>1979</v>
      </c>
      <c r="B2040" s="138">
        <f>'Cap Outlay Deprec 26'!I10</f>
        <v>74396</v>
      </c>
      <c r="D2040" s="2" t="str">
        <f t="shared" si="30"/>
        <v>Error?</v>
      </c>
    </row>
    <row r="2041" spans="1:4" x14ac:dyDescent="0.2">
      <c r="A2041" s="5">
        <v>1980</v>
      </c>
      <c r="B2041" s="138">
        <f>'Cap Outlay Deprec 26'!I12</f>
        <v>266075</v>
      </c>
      <c r="D2041" s="2" t="str">
        <f t="shared" si="30"/>
        <v>Error?</v>
      </c>
    </row>
    <row r="2042" spans="1:4" x14ac:dyDescent="0.2">
      <c r="A2042" s="5">
        <v>1981</v>
      </c>
      <c r="B2042" s="138">
        <f>'Cap Outlay Deprec 26'!I13</f>
        <v>249779</v>
      </c>
      <c r="D2042" s="2" t="str">
        <f t="shared" si="30"/>
        <v>Error?</v>
      </c>
    </row>
    <row r="2043" spans="1:4" x14ac:dyDescent="0.2">
      <c r="A2043" s="5">
        <v>1982</v>
      </c>
      <c r="B2043" s="138">
        <f>'Cap Outlay Deprec 26'!I16</f>
        <v>1143246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80348</v>
      </c>
      <c r="D2047" s="2" t="str">
        <f t="shared" ref="D2047:D2110" si="31">IF(ISBLANK(B2047),"OK",IF(A2047-B2047=0,"OK","Error?"))</f>
        <v>Error?</v>
      </c>
    </row>
    <row r="2048" spans="1:4" x14ac:dyDescent="0.2">
      <c r="A2048" s="5">
        <v>1987</v>
      </c>
      <c r="B2048" s="138">
        <f>'Cap Outlay Deprec 26'!J13</f>
        <v>389154</v>
      </c>
      <c r="D2048" s="2" t="str">
        <f t="shared" si="31"/>
        <v>Error?</v>
      </c>
    </row>
    <row r="2049" spans="1:4" x14ac:dyDescent="0.2">
      <c r="A2049" s="5">
        <v>1988</v>
      </c>
      <c r="B2049" s="138">
        <f>'Cap Outlay Deprec 26'!J16</f>
        <v>469502</v>
      </c>
      <c r="C2049" s="2" t="s">
        <v>573</v>
      </c>
      <c r="D2049" s="2" t="str">
        <f t="shared" si="31"/>
        <v>Error?</v>
      </c>
    </row>
    <row r="2050" spans="1:4" x14ac:dyDescent="0.2">
      <c r="A2050" s="10">
        <v>1989</v>
      </c>
      <c r="D2050" s="2" t="str">
        <f t="shared" si="31"/>
        <v>OK</v>
      </c>
    </row>
    <row r="2051" spans="1:4" x14ac:dyDescent="0.2">
      <c r="A2051" s="5">
        <v>1990</v>
      </c>
      <c r="B2051" s="138">
        <f>'Cap Outlay Deprec 26'!K8</f>
        <v>13372405</v>
      </c>
      <c r="C2051" s="2" t="s">
        <v>573</v>
      </c>
      <c r="D2051" s="2" t="str">
        <f t="shared" si="31"/>
        <v>Error?</v>
      </c>
    </row>
    <row r="2052" spans="1:4" x14ac:dyDescent="0.2">
      <c r="A2052" s="5">
        <v>1991</v>
      </c>
      <c r="B2052" s="138">
        <f>'Cap Outlay Deprec 26'!K10</f>
        <v>622091</v>
      </c>
      <c r="C2052" s="2" t="s">
        <v>573</v>
      </c>
      <c r="D2052" s="2" t="str">
        <f t="shared" si="31"/>
        <v>Error?</v>
      </c>
    </row>
    <row r="2053" spans="1:4" x14ac:dyDescent="0.2">
      <c r="A2053" s="5">
        <v>1992</v>
      </c>
      <c r="B2053" s="138">
        <f>'Cap Outlay Deprec 26'!K12</f>
        <v>1762383</v>
      </c>
      <c r="C2053" s="2" t="s">
        <v>573</v>
      </c>
      <c r="D2053" s="2" t="str">
        <f t="shared" si="31"/>
        <v>Error?</v>
      </c>
    </row>
    <row r="2054" spans="1:4" x14ac:dyDescent="0.2">
      <c r="A2054" s="5">
        <v>1993</v>
      </c>
      <c r="B2054" s="138">
        <f>'Cap Outlay Deprec 26'!K13</f>
        <v>539645</v>
      </c>
      <c r="C2054" s="2" t="s">
        <v>573</v>
      </c>
      <c r="D2054" s="2" t="str">
        <f t="shared" si="31"/>
        <v>Error?</v>
      </c>
    </row>
    <row r="2055" spans="1:4" x14ac:dyDescent="0.2">
      <c r="A2055" s="5">
        <v>1994</v>
      </c>
      <c r="B2055" s="138">
        <f>'Cap Outlay Deprec 26'!K16</f>
        <v>16296524</v>
      </c>
      <c r="C2055" s="2" t="s">
        <v>573</v>
      </c>
      <c r="D2055" s="2" t="str">
        <f t="shared" si="31"/>
        <v>Error?</v>
      </c>
    </row>
    <row r="2056" spans="1:4" x14ac:dyDescent="0.2">
      <c r="A2056" s="5">
        <v>1995</v>
      </c>
      <c r="B2056" s="138">
        <f>'Cap Outlay Deprec 26'!L5</f>
        <v>60099</v>
      </c>
      <c r="C2056" s="2" t="s">
        <v>573</v>
      </c>
      <c r="D2056" s="2" t="str">
        <f t="shared" si="31"/>
        <v>Error?</v>
      </c>
    </row>
    <row r="2057" spans="1:4" x14ac:dyDescent="0.2">
      <c r="A2057" s="5">
        <v>1996</v>
      </c>
      <c r="B2057" s="138">
        <f>'Cap Outlay Deprec 26'!L8</f>
        <v>18529766</v>
      </c>
      <c r="C2057" s="2" t="s">
        <v>573</v>
      </c>
      <c r="D2057" s="2" t="str">
        <f t="shared" si="31"/>
        <v>Error?</v>
      </c>
    </row>
    <row r="2058" spans="1:4" x14ac:dyDescent="0.2">
      <c r="A2058" s="5">
        <v>1997</v>
      </c>
      <c r="B2058" s="138">
        <f>'Cap Outlay Deprec 26'!L10</f>
        <v>1056452</v>
      </c>
      <c r="C2058" s="2" t="s">
        <v>573</v>
      </c>
      <c r="D2058" s="2" t="str">
        <f t="shared" si="31"/>
        <v>Error?</v>
      </c>
    </row>
    <row r="2059" spans="1:4" x14ac:dyDescent="0.2">
      <c r="A2059" s="5">
        <v>1998</v>
      </c>
      <c r="B2059" s="138">
        <f>'Cap Outlay Deprec 26'!L12</f>
        <v>974715</v>
      </c>
      <c r="C2059" s="2" t="s">
        <v>573</v>
      </c>
      <c r="D2059" s="2" t="str">
        <f t="shared" si="31"/>
        <v>Error?</v>
      </c>
    </row>
    <row r="2060" spans="1:4" x14ac:dyDescent="0.2">
      <c r="A2060" s="5">
        <v>1999</v>
      </c>
      <c r="B2060" s="138">
        <f>'Cap Outlay Deprec 26'!L13</f>
        <v>1058147</v>
      </c>
      <c r="C2060" s="2" t="s">
        <v>573</v>
      </c>
      <c r="D2060" s="2" t="str">
        <f t="shared" si="31"/>
        <v>Error?</v>
      </c>
    </row>
    <row r="2061" spans="1:4" x14ac:dyDescent="0.2">
      <c r="A2061" s="5">
        <v>2000</v>
      </c>
      <c r="B2061" s="138">
        <f>'Cap Outlay Deprec 26'!L16</f>
        <v>22575991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311240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311240</v>
      </c>
      <c r="C2088" s="2" t="s">
        <v>573</v>
      </c>
      <c r="D2088" s="2" t="str">
        <f t="shared" si="31"/>
        <v>Error?</v>
      </c>
    </row>
    <row r="2089" spans="1:4" x14ac:dyDescent="0.2">
      <c r="A2089" s="5">
        <v>2028</v>
      </c>
      <c r="B2089" s="138">
        <f>'Expenditures 15-22'!K92</f>
        <v>3534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662164</v>
      </c>
      <c r="D2435" s="2" t="str">
        <f t="shared" si="37"/>
        <v>Error?</v>
      </c>
    </row>
    <row r="2436" spans="1:4" x14ac:dyDescent="0.2">
      <c r="A2436" s="10">
        <v>2375</v>
      </c>
      <c r="D2436" s="2" t="str">
        <f t="shared" si="37"/>
        <v>OK</v>
      </c>
    </row>
    <row r="2437" spans="1:4" x14ac:dyDescent="0.2">
      <c r="A2437" s="5">
        <v>2376</v>
      </c>
      <c r="B2437" s="138">
        <f>'Assets-Liab 5-6'!D38</f>
        <v>766960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298646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8161873</v>
      </c>
      <c r="C2551" s="2" t="s">
        <v>573</v>
      </c>
      <c r="D2551" s="2" t="str">
        <f t="shared" si="38"/>
        <v>Error?</v>
      </c>
    </row>
    <row r="2552" spans="1:4" x14ac:dyDescent="0.2">
      <c r="A2552" s="10">
        <v>2491</v>
      </c>
      <c r="D2552" s="2" t="str">
        <f t="shared" si="38"/>
        <v>OK</v>
      </c>
    </row>
    <row r="2553" spans="1:4" x14ac:dyDescent="0.2">
      <c r="A2553" s="5">
        <v>2492</v>
      </c>
      <c r="B2553" s="138">
        <f>'Acct Summary 7-8'!C6</f>
        <v>1534140</v>
      </c>
      <c r="C2553" s="2" t="s">
        <v>573</v>
      </c>
      <c r="D2553" s="2" t="str">
        <f t="shared" si="38"/>
        <v>Error?</v>
      </c>
    </row>
    <row r="2554" spans="1:4" x14ac:dyDescent="0.2">
      <c r="A2554" s="5">
        <v>2493</v>
      </c>
      <c r="B2554" s="138">
        <f>'Acct Summary 7-8'!C7</f>
        <v>827471</v>
      </c>
      <c r="C2554" s="2" t="s">
        <v>573</v>
      </c>
      <c r="D2554" s="2" t="str">
        <f t="shared" si="38"/>
        <v>Error?</v>
      </c>
    </row>
    <row r="2555" spans="1:4" x14ac:dyDescent="0.2">
      <c r="A2555" s="5">
        <v>2494</v>
      </c>
      <c r="B2555" s="138">
        <f>'Acct Summary 7-8'!C8</f>
        <v>10523484</v>
      </c>
      <c r="C2555" s="2" t="s">
        <v>573</v>
      </c>
      <c r="D2555" s="2" t="str">
        <f t="shared" si="38"/>
        <v>Error?</v>
      </c>
    </row>
    <row r="2556" spans="1:4" x14ac:dyDescent="0.2">
      <c r="A2556" s="5">
        <v>2495</v>
      </c>
      <c r="B2556" s="138">
        <f>'Acct Summary 7-8'!C12</f>
        <v>7300526</v>
      </c>
      <c r="C2556" s="2" t="s">
        <v>573</v>
      </c>
      <c r="D2556" s="2" t="str">
        <f t="shared" si="38"/>
        <v>Error?</v>
      </c>
    </row>
    <row r="2557" spans="1:4" x14ac:dyDescent="0.2">
      <c r="A2557" s="5">
        <v>2496</v>
      </c>
      <c r="B2557" s="138">
        <f>'Acct Summary 7-8'!C13</f>
        <v>3319308</v>
      </c>
      <c r="C2557" s="2" t="s">
        <v>573</v>
      </c>
      <c r="D2557" s="2" t="str">
        <f t="shared" si="38"/>
        <v>Error?</v>
      </c>
    </row>
    <row r="2558" spans="1:4" x14ac:dyDescent="0.2">
      <c r="A2558" s="5">
        <v>2497</v>
      </c>
      <c r="B2558" s="138">
        <f>'Acct Summary 7-8'!C14</f>
        <v>1838</v>
      </c>
      <c r="C2558" s="2" t="s">
        <v>573</v>
      </c>
      <c r="D2558" s="2" t="str">
        <f t="shared" si="38"/>
        <v>Error?</v>
      </c>
    </row>
    <row r="2559" spans="1:4" x14ac:dyDescent="0.2">
      <c r="A2559" s="5">
        <v>2498</v>
      </c>
      <c r="B2559" s="138">
        <f>'Acct Summary 7-8'!C15</f>
        <v>314774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10936446</v>
      </c>
      <c r="C2561" s="2" t="s">
        <v>573</v>
      </c>
      <c r="D2561" s="2" t="str">
        <f t="shared" si="39"/>
        <v>Error?</v>
      </c>
    </row>
    <row r="2562" spans="1:4" x14ac:dyDescent="0.2">
      <c r="A2562" s="5">
        <v>2501</v>
      </c>
      <c r="B2562" s="138">
        <f>'Acct Summary 7-8'!C20</f>
        <v>-412962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1910246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1910246</v>
      </c>
      <c r="C2568" s="2" t="s">
        <v>573</v>
      </c>
      <c r="D2568" s="2" t="str">
        <f t="shared" si="39"/>
        <v>Error?</v>
      </c>
    </row>
    <row r="2569" spans="1:4" x14ac:dyDescent="0.2">
      <c r="A2569" s="5">
        <v>2508</v>
      </c>
      <c r="B2569" s="138">
        <f>'Acct Summary 7-8'!D13</f>
        <v>1660274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1660274</v>
      </c>
      <c r="C2573" s="2" t="s">
        <v>573</v>
      </c>
      <c r="D2573" s="2" t="str">
        <f t="shared" si="39"/>
        <v>Error?</v>
      </c>
    </row>
    <row r="2574" spans="1:4" x14ac:dyDescent="0.2">
      <c r="A2574" s="5">
        <v>2513</v>
      </c>
      <c r="B2574" s="138">
        <f>'Acct Summary 7-8'!D20</f>
        <v>249972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773164</v>
      </c>
      <c r="C2591" s="2" t="s">
        <v>573</v>
      </c>
      <c r="D2591" s="2" t="str">
        <f t="shared" si="39"/>
        <v>Error?</v>
      </c>
    </row>
    <row r="2592" spans="1:4" x14ac:dyDescent="0.2">
      <c r="A2592" s="10">
        <v>2531</v>
      </c>
      <c r="D2592" s="2" t="str">
        <f t="shared" si="39"/>
        <v>OK</v>
      </c>
    </row>
    <row r="2593" spans="1:4" x14ac:dyDescent="0.2">
      <c r="A2593" s="5">
        <v>2532</v>
      </c>
      <c r="B2593" s="138">
        <f>'Acct Summary 7-8'!F6</f>
        <v>507569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1280733</v>
      </c>
      <c r="C2595" s="2" t="s">
        <v>573</v>
      </c>
      <c r="D2595" s="2" t="str">
        <f t="shared" si="39"/>
        <v>Error?</v>
      </c>
    </row>
    <row r="2596" spans="1:4" x14ac:dyDescent="0.2">
      <c r="A2596" s="5">
        <v>2535</v>
      </c>
      <c r="B2596" s="138">
        <f>'Acct Summary 7-8'!F13</f>
        <v>1063879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192099</v>
      </c>
      <c r="C2599" s="2" t="s">
        <v>573</v>
      </c>
      <c r="D2599" s="2" t="str">
        <f t="shared" si="39"/>
        <v>Error?</v>
      </c>
    </row>
    <row r="2600" spans="1:4" x14ac:dyDescent="0.2">
      <c r="A2600" s="5">
        <v>2539</v>
      </c>
      <c r="B2600" s="138">
        <f>'Acct Summary 7-8'!F17</f>
        <v>1255978</v>
      </c>
      <c r="C2600" s="2" t="s">
        <v>573</v>
      </c>
      <c r="D2600" s="2" t="str">
        <f t="shared" si="39"/>
        <v>Error?</v>
      </c>
    </row>
    <row r="2601" spans="1:4" x14ac:dyDescent="0.2">
      <c r="A2601" s="5">
        <v>2540</v>
      </c>
      <c r="B2601" s="138">
        <f>'Acct Summary 7-8'!F20</f>
        <v>24755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559450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559450</v>
      </c>
      <c r="C2606" s="2" t="s">
        <v>573</v>
      </c>
      <c r="D2606" s="2" t="str">
        <f t="shared" si="39"/>
        <v>Error?</v>
      </c>
    </row>
    <row r="2607" spans="1:4" x14ac:dyDescent="0.2">
      <c r="A2607" s="5">
        <v>2546</v>
      </c>
      <c r="B2607" s="138">
        <f>'Acct Summary 7-8'!G12</f>
        <v>142605</v>
      </c>
      <c r="C2607" s="2" t="s">
        <v>573</v>
      </c>
      <c r="D2607" s="2" t="str">
        <f t="shared" si="39"/>
        <v>Error?</v>
      </c>
    </row>
    <row r="2608" spans="1:4" x14ac:dyDescent="0.2">
      <c r="A2608" s="5">
        <v>2547</v>
      </c>
      <c r="B2608" s="138">
        <f>'Acct Summary 7-8'!G13</f>
        <v>357708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500313</v>
      </c>
      <c r="C2612" s="2" t="s">
        <v>573</v>
      </c>
      <c r="D2612" s="2" t="str">
        <f t="shared" si="39"/>
        <v>Error?</v>
      </c>
    </row>
    <row r="2613" spans="1:4" x14ac:dyDescent="0.2">
      <c r="A2613" s="5">
        <v>2552</v>
      </c>
      <c r="B2613" s="138">
        <f>'Acct Summary 7-8'!G20</f>
        <v>59137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921727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921727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896971</v>
      </c>
      <c r="C2634" s="2" t="s">
        <v>573</v>
      </c>
      <c r="D2634" s="2" t="str">
        <f t="shared" si="40"/>
        <v>Error?</v>
      </c>
    </row>
    <row r="2635" spans="1:4" x14ac:dyDescent="0.2">
      <c r="A2635" s="5">
        <v>2574</v>
      </c>
      <c r="B2635" s="138">
        <f>'Acct Summary 7-8'!E17</f>
        <v>896971</v>
      </c>
      <c r="C2635" s="2" t="s">
        <v>573</v>
      </c>
      <c r="D2635" s="2" t="str">
        <f t="shared" si="40"/>
        <v>Error?</v>
      </c>
    </row>
    <row r="2636" spans="1:4" x14ac:dyDescent="0.2">
      <c r="A2636" s="5">
        <v>2575</v>
      </c>
      <c r="B2636" s="138">
        <f>'Acct Summary 7-8'!E20</f>
        <v>24756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48742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48742</v>
      </c>
      <c r="C2658" s="2" t="s">
        <v>573</v>
      </c>
      <c r="D2658" s="2" t="str">
        <f t="shared" si="40"/>
        <v>Error?</v>
      </c>
    </row>
    <row r="2659" spans="1:4" x14ac:dyDescent="0.2">
      <c r="A2659" s="5">
        <v>2598</v>
      </c>
      <c r="B2659" s="138">
        <f>'Acct Summary 7-8'!H13</f>
        <v>1357525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1357525</v>
      </c>
      <c r="C2661" s="2" t="s">
        <v>573</v>
      </c>
      <c r="D2661" s="2" t="str">
        <f t="shared" si="40"/>
        <v>Error?</v>
      </c>
    </row>
    <row r="2662" spans="1:4" x14ac:dyDescent="0.2">
      <c r="A2662" s="5">
        <v>2601</v>
      </c>
      <c r="B2662" s="138">
        <f>'Acct Summary 7-8'!H20</f>
        <v>-1308783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896812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5483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2635179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316396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2635179</v>
      </c>
      <c r="D2912" s="2" t="str">
        <f t="shared" si="44"/>
        <v>Error?</v>
      </c>
    </row>
    <row r="2913" spans="1:4" x14ac:dyDescent="0.2">
      <c r="A2913" s="5">
        <v>2852</v>
      </c>
      <c r="B2913" s="138">
        <f>'Assets-Liab 5-6'!I41</f>
        <v>2635179</v>
      </c>
      <c r="C2913" s="2" t="s">
        <v>573</v>
      </c>
      <c r="D2913" s="2" t="str">
        <f t="shared" si="44"/>
        <v>Error?</v>
      </c>
    </row>
    <row r="2914" spans="1:4" x14ac:dyDescent="0.2">
      <c r="A2914" s="5">
        <v>2853</v>
      </c>
      <c r="B2914" s="138">
        <f>'Assets-Liab 5-6'!L33</f>
        <v>316396</v>
      </c>
      <c r="D2914" s="2" t="str">
        <f t="shared" si="44"/>
        <v>Error?</v>
      </c>
    </row>
    <row r="2915" spans="1:4" x14ac:dyDescent="0.2">
      <c r="A2915" s="10">
        <v>2854</v>
      </c>
      <c r="D2915" s="2" t="str">
        <f t="shared" si="44"/>
        <v>OK</v>
      </c>
    </row>
    <row r="2916" spans="1:4" x14ac:dyDescent="0.2">
      <c r="A2916" s="5">
        <v>2855</v>
      </c>
      <c r="B2916" s="138">
        <f>'Assets-Liab 5-6'!L34</f>
        <v>316396</v>
      </c>
      <c r="C2916" s="2" t="s">
        <v>573</v>
      </c>
      <c r="D2916" s="2" t="str">
        <f t="shared" si="44"/>
        <v>Error?</v>
      </c>
    </row>
    <row r="2917" spans="1:4" x14ac:dyDescent="0.2">
      <c r="A2917" s="5">
        <v>2856</v>
      </c>
      <c r="B2917" s="138">
        <f>'Assets-Liab 5-6'!L41</f>
        <v>316396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2648</v>
      </c>
      <c r="D2955" s="2" t="str">
        <f t="shared" si="45"/>
        <v>Error?</v>
      </c>
    </row>
    <row r="2956" spans="1:4" x14ac:dyDescent="0.2">
      <c r="A2956" s="5">
        <v>2895</v>
      </c>
      <c r="B2956" s="138">
        <f>'Expenditures 15-22'!H79</f>
        <v>273647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34945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2648</v>
      </c>
      <c r="C2973" s="2" t="s">
        <v>573</v>
      </c>
      <c r="D2973" s="2" t="str">
        <f t="shared" si="45"/>
        <v>Error?</v>
      </c>
    </row>
    <row r="2974" spans="1:4" x14ac:dyDescent="0.2">
      <c r="A2974" s="5">
        <v>2913</v>
      </c>
      <c r="B2974" s="138">
        <f>'Expenditures 15-22'!K79</f>
        <v>273647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34945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4199</v>
      </c>
      <c r="D3055" s="2" t="str">
        <f t="shared" si="46"/>
        <v>Error?</v>
      </c>
    </row>
    <row r="3056" spans="1:4" x14ac:dyDescent="0.2">
      <c r="A3056" s="5">
        <v>2995</v>
      </c>
      <c r="B3056" s="138">
        <f>'Expenditures 15-22'!D10</f>
        <v>843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5042</v>
      </c>
      <c r="C3062" s="2" t="s">
        <v>573</v>
      </c>
      <c r="D3062" s="2" t="str">
        <f t="shared" si="46"/>
        <v>Error?</v>
      </c>
    </row>
    <row r="3063" spans="1:4" x14ac:dyDescent="0.2">
      <c r="A3063" s="10">
        <v>3002</v>
      </c>
      <c r="D3063" s="2" t="str">
        <f t="shared" si="46"/>
        <v>OK</v>
      </c>
    </row>
    <row r="3064" spans="1:4" x14ac:dyDescent="0.2">
      <c r="A3064" s="5">
        <v>3003</v>
      </c>
      <c r="B3064" s="138">
        <f>'Expenditures 15-22'!D219</f>
        <v>62</v>
      </c>
      <c r="D3064" s="2" t="str">
        <f t="shared" si="46"/>
        <v>Error?</v>
      </c>
    </row>
    <row r="3065" spans="1:4" x14ac:dyDescent="0.2">
      <c r="A3065" s="5">
        <v>3004</v>
      </c>
      <c r="B3065" s="138">
        <f>'Expenditures 15-22'!K219</f>
        <v>62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250321</v>
      </c>
      <c r="C3225" s="2" t="s">
        <v>573</v>
      </c>
      <c r="D3225" s="2" t="str">
        <f t="shared" si="49"/>
        <v>Error?</v>
      </c>
    </row>
    <row r="3226" spans="1:4" x14ac:dyDescent="0.2">
      <c r="A3226" s="5">
        <v>3165</v>
      </c>
      <c r="B3226" s="138">
        <f>'Acct Summary 7-8'!I8</f>
        <v>250321</v>
      </c>
      <c r="C3226" s="2" t="s">
        <v>573</v>
      </c>
      <c r="D3226" s="2" t="str">
        <f t="shared" si="49"/>
        <v>Error?</v>
      </c>
    </row>
    <row r="3227" spans="1:4" x14ac:dyDescent="0.2">
      <c r="A3227" s="5">
        <v>3166</v>
      </c>
      <c r="B3227" s="138">
        <f>'Acct Summary 7-8'!I20</f>
        <v>250321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2059</v>
      </c>
      <c r="C3229" s="2" t="s">
        <v>573</v>
      </c>
      <c r="D3229" s="2" t="str">
        <f t="shared" si="49"/>
        <v>Error?</v>
      </c>
    </row>
    <row r="3230" spans="1:4" x14ac:dyDescent="0.2">
      <c r="A3230" s="5">
        <v>3169</v>
      </c>
      <c r="B3230" s="138">
        <f>'Acct Summary 7-8'!C75</f>
        <v>24048</v>
      </c>
      <c r="D3230" s="2" t="str">
        <f t="shared" si="49"/>
        <v>Error?</v>
      </c>
    </row>
    <row r="3231" spans="1:4" x14ac:dyDescent="0.2">
      <c r="A3231" s="5">
        <v>3170</v>
      </c>
      <c r="B3231" s="138">
        <f>'Acct Summary 7-8'!C76</f>
        <v>1024048</v>
      </c>
      <c r="C3231" s="2" t="s">
        <v>573</v>
      </c>
      <c r="D3231" s="2" t="str">
        <f t="shared" si="49"/>
        <v>Error?</v>
      </c>
    </row>
    <row r="3232" spans="1:4" x14ac:dyDescent="0.2">
      <c r="A3232" s="5">
        <v>3171</v>
      </c>
      <c r="B3232" s="138">
        <f>'Acct Summary 7-8'!C77</f>
        <v>-1021989</v>
      </c>
      <c r="C3232" s="2" t="s">
        <v>573</v>
      </c>
      <c r="D3232" s="2" t="str">
        <f t="shared" si="49"/>
        <v>Error?</v>
      </c>
    </row>
    <row r="3233" spans="1:4" x14ac:dyDescent="0.2">
      <c r="A3233" s="5">
        <v>3172</v>
      </c>
      <c r="B3233" s="138">
        <f>'Acct Summary 7-8'!C78</f>
        <v>-1434951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2000000</v>
      </c>
      <c r="C3235" s="2" t="s">
        <v>573</v>
      </c>
      <c r="D3235" s="2" t="str">
        <f t="shared" si="49"/>
        <v>Error?</v>
      </c>
    </row>
    <row r="3236" spans="1:4" x14ac:dyDescent="0.2">
      <c r="A3236" s="5">
        <v>3175</v>
      </c>
      <c r="B3236" s="138">
        <f>'Acct Summary 7-8'!D75</f>
        <v>233300</v>
      </c>
      <c r="D3236" s="2" t="str">
        <f t="shared" si="49"/>
        <v>Error?</v>
      </c>
    </row>
    <row r="3237" spans="1:4" x14ac:dyDescent="0.2">
      <c r="A3237" s="5">
        <v>3176</v>
      </c>
      <c r="B3237" s="138">
        <f>'Acct Summary 7-8'!D76</f>
        <v>2733300</v>
      </c>
      <c r="C3237" s="2" t="s">
        <v>573</v>
      </c>
      <c r="D3237" s="2" t="str">
        <f t="shared" si="49"/>
        <v>Error?</v>
      </c>
    </row>
    <row r="3238" spans="1:4" x14ac:dyDescent="0.2">
      <c r="A3238" s="5">
        <v>3177</v>
      </c>
      <c r="B3238" s="138">
        <f>'Acct Summary 7-8'!D77</f>
        <v>-733300</v>
      </c>
      <c r="C3238" s="2" t="s">
        <v>573</v>
      </c>
      <c r="D3238" s="2" t="str">
        <f t="shared" si="49"/>
        <v>Error?</v>
      </c>
    </row>
    <row r="3239" spans="1:4" x14ac:dyDescent="0.2">
      <c r="A3239" s="5">
        <v>3178</v>
      </c>
      <c r="B3239" s="138">
        <f>'Acct Summary 7-8'!D78</f>
        <v>-483328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1000000</v>
      </c>
      <c r="C3254" s="2" t="s">
        <v>573</v>
      </c>
      <c r="D3254" s="2" t="str">
        <f t="shared" si="49"/>
        <v>Error?</v>
      </c>
    </row>
    <row r="3255" spans="1:4" x14ac:dyDescent="0.2">
      <c r="A3255" s="5">
        <v>3194</v>
      </c>
      <c r="B3255" s="138">
        <f>'Acct Summary 7-8'!F77</f>
        <v>-1000000</v>
      </c>
      <c r="C3255" s="2" t="s">
        <v>573</v>
      </c>
      <c r="D3255" s="2" t="str">
        <f t="shared" si="49"/>
        <v>Error?</v>
      </c>
    </row>
    <row r="3256" spans="1:4" x14ac:dyDescent="0.2">
      <c r="A3256" s="5">
        <v>3195</v>
      </c>
      <c r="B3256" s="138">
        <f>'Acct Summary 7-8'!F78</f>
        <v>-975245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59137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24756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2500000</v>
      </c>
      <c r="C3299" s="2" t="s">
        <v>573</v>
      </c>
      <c r="D3299" s="2" t="str">
        <f t="shared" si="50"/>
        <v>Error?</v>
      </c>
    </row>
    <row r="3300" spans="1:4" x14ac:dyDescent="0.2">
      <c r="A3300" s="5">
        <v>3239</v>
      </c>
      <c r="B3300" s="138">
        <f>'Acct Summary 7-8'!H78</f>
        <v>1191217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250321</v>
      </c>
      <c r="C3320" s="2" t="s">
        <v>573</v>
      </c>
      <c r="D3320" s="2" t="str">
        <f t="shared" si="50"/>
        <v>Error?</v>
      </c>
    </row>
    <row r="3321" spans="1:4" x14ac:dyDescent="0.2">
      <c r="A3321" s="5">
        <v>3260</v>
      </c>
      <c r="B3321" s="138">
        <f>'Acct Summary 7-8'!I79</f>
        <v>2384858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2635179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1354145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234420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9221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16227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1614013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44916</v>
      </c>
      <c r="D3387" s="2" t="str">
        <f t="shared" si="51"/>
        <v>Error?</v>
      </c>
    </row>
    <row r="3388" spans="1:4" x14ac:dyDescent="0.2">
      <c r="A3388" s="5">
        <v>3327</v>
      </c>
      <c r="B3388" s="138">
        <f>'Expenditures 15-22'!D217</f>
        <v>69953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44916</v>
      </c>
      <c r="C3390" s="2" t="s">
        <v>573</v>
      </c>
      <c r="D3390" s="2" t="str">
        <f t="shared" si="51"/>
        <v>Error?</v>
      </c>
    </row>
    <row r="3391" spans="1:4" x14ac:dyDescent="0.2">
      <c r="A3391" s="5">
        <v>3330</v>
      </c>
      <c r="B3391" s="138">
        <f>'Expenditures 15-22'!K217</f>
        <v>69953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2623286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918392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1237323</v>
      </c>
      <c r="D3417" s="2" t="str">
        <f t="shared" si="52"/>
        <v>Error?</v>
      </c>
    </row>
    <row r="3418" spans="1:4" x14ac:dyDescent="0.2">
      <c r="A3418" s="10">
        <v>3357</v>
      </c>
      <c r="D3418" s="2" t="str">
        <f t="shared" si="52"/>
        <v>OK</v>
      </c>
    </row>
    <row r="3419" spans="1:4" x14ac:dyDescent="0.2">
      <c r="A3419" s="5">
        <v>3358</v>
      </c>
      <c r="B3419" s="138">
        <f>'Assets-Liab 5-6'!F4</f>
        <v>1635338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530564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2376300</v>
      </c>
      <c r="D3425" s="2" t="str">
        <f t="shared" si="52"/>
        <v>Error?</v>
      </c>
    </row>
    <row r="3426" spans="1:4" x14ac:dyDescent="0.2">
      <c r="A3426" s="10">
        <v>3365</v>
      </c>
      <c r="D3426" s="2" t="str">
        <f t="shared" si="52"/>
        <v>OK</v>
      </c>
    </row>
    <row r="3427" spans="1:4" x14ac:dyDescent="0.2">
      <c r="A3427" s="5">
        <v>3366</v>
      </c>
      <c r="B3427" s="138">
        <f>'Assets-Liab 5-6'!I4</f>
        <v>1629696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316396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323953</v>
      </c>
      <c r="C3446" s="2" t="s">
        <v>573</v>
      </c>
      <c r="D3446" s="2" t="str">
        <f t="shared" si="52"/>
        <v>Error?</v>
      </c>
    </row>
    <row r="3447" spans="1:4" x14ac:dyDescent="0.2">
      <c r="A3447" s="5">
        <v>3386</v>
      </c>
      <c r="B3447" s="138">
        <f>'Tax Sched 23'!D16</f>
        <v>323953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339742</v>
      </c>
      <c r="C3449" s="2" t="s">
        <v>573</v>
      </c>
      <c r="D3449" s="2" t="str">
        <f t="shared" si="52"/>
        <v>Error?</v>
      </c>
    </row>
    <row r="3450" spans="1:4" x14ac:dyDescent="0.2">
      <c r="A3450" s="5">
        <v>3389</v>
      </c>
      <c r="B3450" s="138">
        <f>'Tax Sched 23'!E16</f>
        <v>339742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896812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896812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896812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2059</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1468565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70650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1539215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1539215</v>
      </c>
      <c r="D3567" s="2" t="str">
        <f t="shared" si="54"/>
        <v>Error?</v>
      </c>
    </row>
    <row r="3568" spans="1:4" x14ac:dyDescent="0.2">
      <c r="A3568" s="5">
        <v>3507</v>
      </c>
      <c r="B3568" s="138">
        <f>'Assets-Liab 5-6'!K41</f>
        <v>1539215</v>
      </c>
      <c r="C3568" s="2" t="s">
        <v>573</v>
      </c>
      <c r="D3568" s="2" t="str">
        <f t="shared" si="54"/>
        <v>Error?</v>
      </c>
    </row>
    <row r="3569" spans="1:4" x14ac:dyDescent="0.2">
      <c r="A3569" s="5">
        <v>3508</v>
      </c>
      <c r="B3569" s="138">
        <f>'Acct Summary 7-8'!K4</f>
        <v>299131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299131</v>
      </c>
      <c r="C3571" s="2" t="s">
        <v>573</v>
      </c>
      <c r="D3571" s="2" t="str">
        <f t="shared" si="54"/>
        <v>Error?</v>
      </c>
    </row>
    <row r="3572" spans="1:4" x14ac:dyDescent="0.2">
      <c r="A3572" s="5">
        <v>3511</v>
      </c>
      <c r="B3572" s="138">
        <f>'Acct Summary 7-8'!K13</f>
        <v>11535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11535</v>
      </c>
      <c r="C3575" s="2" t="s">
        <v>573</v>
      </c>
      <c r="D3575" s="2" t="str">
        <f t="shared" si="54"/>
        <v>Error?</v>
      </c>
    </row>
    <row r="3576" spans="1:4" x14ac:dyDescent="0.2">
      <c r="A3576" s="5">
        <v>3515</v>
      </c>
      <c r="B3576" s="138">
        <f>'Acct Summary 7-8'!K20</f>
        <v>287596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287596</v>
      </c>
      <c r="C3588" s="2" t="s">
        <v>573</v>
      </c>
      <c r="D3588" s="2" t="str">
        <f t="shared" si="55"/>
        <v>Error?</v>
      </c>
    </row>
    <row r="3589" spans="1:4" x14ac:dyDescent="0.2">
      <c r="A3589" s="5">
        <v>3528</v>
      </c>
      <c r="B3589" s="138">
        <f>'Acct Summary 7-8'!K79</f>
        <v>1251619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1539215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11535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11535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11535</v>
      </c>
      <c r="C3649" s="2" t="s">
        <v>573</v>
      </c>
      <c r="D3649" s="2" t="str">
        <f t="shared" si="56"/>
        <v>Error?</v>
      </c>
    </row>
    <row r="3650" spans="1:4" x14ac:dyDescent="0.2">
      <c r="A3650" s="5">
        <v>3589</v>
      </c>
      <c r="B3650" s="138">
        <f>'Expenditures 15-22'!G367</f>
        <v>11535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11535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11535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11535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11535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287596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277708</v>
      </c>
      <c r="C3725" s="2" t="s">
        <v>573</v>
      </c>
      <c r="D3725" s="2" t="str">
        <f t="shared" si="57"/>
        <v>Error?</v>
      </c>
    </row>
    <row r="3726" spans="1:4" x14ac:dyDescent="0.2">
      <c r="A3726" s="5">
        <v>3665</v>
      </c>
      <c r="B3726" s="138">
        <f>'Tax Sched 23'!D13</f>
        <v>277708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284405</v>
      </c>
      <c r="C3728" s="2" t="s">
        <v>573</v>
      </c>
      <c r="D3728" s="2" t="str">
        <f t="shared" si="57"/>
        <v>Error?</v>
      </c>
    </row>
    <row r="3729" spans="1:4" x14ac:dyDescent="0.2">
      <c r="A3729" s="5">
        <v>3668</v>
      </c>
      <c r="B3729" s="138">
        <f>'Tax Sched 23'!E13</f>
        <v>284405</v>
      </c>
      <c r="D3729" s="2" t="str">
        <f t="shared" si="57"/>
        <v>Error?</v>
      </c>
    </row>
    <row r="3730" spans="1:4" x14ac:dyDescent="0.2">
      <c r="A3730" s="5">
        <v>3669</v>
      </c>
      <c r="B3730" s="138">
        <f>'ICR Computation 30'!E10</f>
        <v>232620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3937969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14461453</v>
      </c>
      <c r="C4122" s="2" t="s">
        <v>573</v>
      </c>
      <c r="D4122" s="2" t="str">
        <f t="shared" si="63"/>
        <v>Error?</v>
      </c>
    </row>
    <row r="4123" spans="1:4" x14ac:dyDescent="0.2">
      <c r="A4123" s="5">
        <v>4062</v>
      </c>
      <c r="B4123" s="138">
        <f>'Acct Summary 7-8'!D10</f>
        <v>1910246</v>
      </c>
      <c r="C4123" s="2" t="s">
        <v>573</v>
      </c>
      <c r="D4123" s="2" t="str">
        <f t="shared" si="63"/>
        <v>Error?</v>
      </c>
    </row>
    <row r="4124" spans="1:4" x14ac:dyDescent="0.2">
      <c r="A4124" s="5">
        <v>4063</v>
      </c>
      <c r="B4124" s="138">
        <f>'Acct Summary 7-8'!E10</f>
        <v>921727</v>
      </c>
      <c r="C4124" s="2" t="s">
        <v>573</v>
      </c>
      <c r="D4124" s="2" t="str">
        <f t="shared" si="63"/>
        <v>Error?</v>
      </c>
    </row>
    <row r="4125" spans="1:4" x14ac:dyDescent="0.2">
      <c r="A4125" s="5">
        <v>4064</v>
      </c>
      <c r="B4125" s="138">
        <f>'Acct Summary 7-8'!F10</f>
        <v>1280733</v>
      </c>
      <c r="C4125" s="2" t="s">
        <v>573</v>
      </c>
      <c r="D4125" s="2" t="str">
        <f t="shared" si="63"/>
        <v>Error?</v>
      </c>
    </row>
    <row r="4126" spans="1:4" x14ac:dyDescent="0.2">
      <c r="A4126" s="5">
        <v>4065</v>
      </c>
      <c r="B4126" s="138">
        <f>'Acct Summary 7-8'!G10</f>
        <v>559450</v>
      </c>
      <c r="C4126" s="2" t="s">
        <v>573</v>
      </c>
      <c r="D4126" s="2" t="str">
        <f t="shared" si="63"/>
        <v>Error?</v>
      </c>
    </row>
    <row r="4127" spans="1:4" x14ac:dyDescent="0.2">
      <c r="A4127" s="5">
        <v>4066</v>
      </c>
      <c r="B4127" s="138">
        <f>'Acct Summary 7-8'!H10</f>
        <v>48742</v>
      </c>
      <c r="C4127" s="2" t="s">
        <v>573</v>
      </c>
      <c r="D4127" s="2" t="str">
        <f t="shared" si="63"/>
        <v>Error?</v>
      </c>
    </row>
    <row r="4128" spans="1:4" x14ac:dyDescent="0.2">
      <c r="A4128" s="5">
        <v>4067</v>
      </c>
      <c r="B4128" s="138">
        <f>'Acct Summary 7-8'!I10</f>
        <v>250321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299131</v>
      </c>
      <c r="C4130" s="2" t="s">
        <v>573</v>
      </c>
      <c r="D4130" s="2" t="str">
        <f t="shared" si="63"/>
        <v>Error?</v>
      </c>
    </row>
    <row r="4131" spans="1:4" x14ac:dyDescent="0.2">
      <c r="A4131" s="5">
        <v>4070</v>
      </c>
      <c r="B4131" s="138">
        <f>'Acct Summary 7-8'!C18</f>
        <v>3937969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14874415</v>
      </c>
      <c r="C4136" s="2" t="s">
        <v>573</v>
      </c>
      <c r="D4136" s="2" t="str">
        <f t="shared" si="63"/>
        <v>Error?</v>
      </c>
    </row>
    <row r="4137" spans="1:4" x14ac:dyDescent="0.2">
      <c r="A4137" s="5">
        <v>4076</v>
      </c>
      <c r="B4137" s="138">
        <f>'Acct Summary 7-8'!D19</f>
        <v>1660274</v>
      </c>
      <c r="C4137" s="2" t="s">
        <v>573</v>
      </c>
      <c r="D4137" s="2" t="str">
        <f t="shared" si="63"/>
        <v>Error?</v>
      </c>
    </row>
    <row r="4138" spans="1:4" x14ac:dyDescent="0.2">
      <c r="A4138" s="5">
        <v>4077</v>
      </c>
      <c r="B4138" s="138">
        <f>'Acct Summary 7-8'!E19</f>
        <v>896971</v>
      </c>
      <c r="C4138" s="2" t="s">
        <v>573</v>
      </c>
      <c r="D4138" s="2" t="str">
        <f t="shared" si="63"/>
        <v>Error?</v>
      </c>
    </row>
    <row r="4139" spans="1:4" x14ac:dyDescent="0.2">
      <c r="A4139" s="5">
        <v>4078</v>
      </c>
      <c r="B4139" s="138">
        <f>'Acct Summary 7-8'!F19</f>
        <v>1255978</v>
      </c>
      <c r="C4139" s="2" t="s">
        <v>573</v>
      </c>
      <c r="D4139" s="2" t="str">
        <f t="shared" si="63"/>
        <v>Error?</v>
      </c>
    </row>
    <row r="4140" spans="1:4" x14ac:dyDescent="0.2">
      <c r="A4140" s="5">
        <v>4079</v>
      </c>
      <c r="B4140" s="138">
        <f>'Acct Summary 7-8'!G19</f>
        <v>500313</v>
      </c>
      <c r="C4140" s="2" t="s">
        <v>573</v>
      </c>
      <c r="D4140" s="2" t="str">
        <f t="shared" si="63"/>
        <v>Error?</v>
      </c>
    </row>
    <row r="4141" spans="1:4" x14ac:dyDescent="0.2">
      <c r="A4141" s="5">
        <v>4080</v>
      </c>
      <c r="B4141" s="138">
        <f>'Acct Summary 7-8'!H19</f>
        <v>1357525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11535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11686565</v>
      </c>
      <c r="C4171" s="2" t="s">
        <v>573</v>
      </c>
      <c r="D4171" s="2" t="str">
        <f t="shared" si="64"/>
        <v>Error?</v>
      </c>
    </row>
    <row r="4172" spans="1:4" x14ac:dyDescent="0.2">
      <c r="A4172" s="5">
        <v>4111</v>
      </c>
      <c r="B4172" s="138">
        <f>'Short-Term Long-Term Debt 24'!J49</f>
        <v>10418438</v>
      </c>
      <c r="C4172" s="2" t="s">
        <v>573</v>
      </c>
      <c r="D4172" s="2" t="str">
        <f t="shared" si="64"/>
        <v>Error?</v>
      </c>
    </row>
    <row r="4173" spans="1:4" x14ac:dyDescent="0.2">
      <c r="A4173" s="5">
        <v>4112</v>
      </c>
      <c r="B4173" s="138">
        <f>'Short-Term Long-Term Debt 24'!H49</f>
        <v>1106657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532223</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151819</v>
      </c>
      <c r="D4210" s="2" t="str">
        <f t="shared" si="64"/>
        <v>Error?</v>
      </c>
    </row>
    <row r="4211" spans="1:4" x14ac:dyDescent="0.2">
      <c r="A4211" s="5">
        <v>4150</v>
      </c>
      <c r="B4211" s="138">
        <f>'Expenditures 15-22'!K206</f>
        <v>151819</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1256.46</v>
      </c>
      <c r="C4265" s="2" t="s">
        <v>573</v>
      </c>
      <c r="D4265" s="2" t="str">
        <f t="shared" si="65"/>
        <v>Error?</v>
      </c>
      <c r="E4265" s="128"/>
    </row>
    <row r="4266" spans="1:5" x14ac:dyDescent="0.2">
      <c r="A4266" s="12">
        <v>4205</v>
      </c>
      <c r="B4266" s="138">
        <f>('FP Info 3'!F10)*100000</f>
        <v>337.81</v>
      </c>
      <c r="C4266" s="2" t="s">
        <v>573</v>
      </c>
      <c r="D4266" s="2" t="str">
        <f t="shared" si="65"/>
        <v>Error?</v>
      </c>
      <c r="E4266" s="128"/>
    </row>
    <row r="4267" spans="1:5" x14ac:dyDescent="0.2">
      <c r="A4267" s="12">
        <v>4206</v>
      </c>
      <c r="B4267" s="138">
        <f>('FP Info 3'!H10)*100000</f>
        <v>162.79</v>
      </c>
      <c r="C4267" s="2" t="s">
        <v>573</v>
      </c>
      <c r="D4267" s="2" t="str">
        <f t="shared" si="65"/>
        <v>Error?</v>
      </c>
      <c r="E4267" s="128"/>
    </row>
    <row r="4268" spans="1:5" x14ac:dyDescent="0.2">
      <c r="A4268" s="12">
        <v>4207</v>
      </c>
      <c r="B4268" s="138">
        <f>('FP Info 3'!J10)*100000</f>
        <v>1756.9999999999998</v>
      </c>
      <c r="C4268" s="2" t="s">
        <v>573</v>
      </c>
      <c r="D4268" s="2" t="str">
        <f t="shared" si="65"/>
        <v>Error?</v>
      </c>
    </row>
    <row r="4269" spans="1:5" x14ac:dyDescent="0.2">
      <c r="A4269" s="12">
        <v>4208</v>
      </c>
      <c r="B4269" s="138">
        <f>'FP Info 3'!J16</f>
        <v>8118971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15877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39027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46.71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31470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465018191</v>
      </c>
      <c r="D4995" s="2" t="str">
        <f t="shared" si="77"/>
        <v>Error?</v>
      </c>
    </row>
    <row r="4996" spans="1:4" x14ac:dyDescent="0.2">
      <c r="A4996" s="12">
        <v>4935</v>
      </c>
      <c r="B4996" s="138">
        <f>'FP Info 3'!H31</f>
        <v>32086255.179000001</v>
      </c>
      <c r="D4996" s="2" t="str">
        <f t="shared" si="77"/>
        <v>Error?</v>
      </c>
    </row>
    <row r="4997" spans="1:4" x14ac:dyDescent="0.2">
      <c r="A4997" s="12">
        <v>4936</v>
      </c>
      <c r="B4997" s="138">
        <f>'FP Info 3'!H37</f>
        <v>11686565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2000000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1000000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5679042</v>
      </c>
      <c r="D5061" s="2" t="str">
        <f t="shared" si="78"/>
        <v>Error?</v>
      </c>
    </row>
    <row r="5062" spans="1:4" x14ac:dyDescent="0.2">
      <c r="A5062" s="10">
        <v>5001</v>
      </c>
      <c r="D5062" s="2" t="str">
        <f t="shared" si="78"/>
        <v>OK</v>
      </c>
    </row>
    <row r="5063" spans="1:4" x14ac:dyDescent="0.2">
      <c r="A5063" s="5">
        <v>5002</v>
      </c>
      <c r="B5063" s="138">
        <f>'Revenues 9-14'!C7</f>
        <v>111872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5790914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1461142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1461142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3658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3658</v>
      </c>
      <c r="C5087" s="2" t="s">
        <v>573</v>
      </c>
      <c r="D5087" s="2" t="str">
        <f t="shared" si="78"/>
        <v>Error?</v>
      </c>
    </row>
    <row r="5088" spans="1:4" x14ac:dyDescent="0.2">
      <c r="A5088" s="5">
        <v>5027</v>
      </c>
      <c r="B5088" s="138">
        <f>'Revenues 9-14'!C65</f>
        <v>80677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80677</v>
      </c>
      <c r="C5090" s="2" t="s">
        <v>573</v>
      </c>
      <c r="D5090" s="2" t="str">
        <f t="shared" si="78"/>
        <v>Error?</v>
      </c>
    </row>
    <row r="5091" spans="1:4" x14ac:dyDescent="0.2">
      <c r="A5091" s="5">
        <v>5030</v>
      </c>
      <c r="B5091" s="138">
        <f>'Revenues 9-14'!C70</f>
        <v>3984</v>
      </c>
      <c r="D5091" s="2" t="str">
        <f t="shared" si="78"/>
        <v>Error?</v>
      </c>
    </row>
    <row r="5092" spans="1:4" x14ac:dyDescent="0.2">
      <c r="A5092" s="5">
        <v>5031</v>
      </c>
      <c r="B5092" s="138">
        <f>'Revenues 9-14'!C71</f>
        <v>149636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4167</v>
      </c>
      <c r="D5094" s="2" t="str">
        <f t="shared" si="78"/>
        <v>Error?</v>
      </c>
    </row>
    <row r="5095" spans="1:4" x14ac:dyDescent="0.2">
      <c r="A5095" s="5">
        <v>5034</v>
      </c>
      <c r="B5095" s="138">
        <f>'Revenues 9-14'!C74</f>
        <v>19675</v>
      </c>
      <c r="D5095" s="2" t="str">
        <f t="shared" si="78"/>
        <v>Error?</v>
      </c>
    </row>
    <row r="5096" spans="1:4" x14ac:dyDescent="0.2">
      <c r="A5096" s="5">
        <v>5035</v>
      </c>
      <c r="B5096" s="138">
        <f>'Revenues 9-14'!C75</f>
        <v>280994</v>
      </c>
      <c r="C5096" s="2" t="s">
        <v>573</v>
      </c>
      <c r="D5096" s="2" t="str">
        <f t="shared" si="78"/>
        <v>Error?</v>
      </c>
    </row>
    <row r="5097" spans="1:4" x14ac:dyDescent="0.2">
      <c r="A5097" s="5">
        <v>5036</v>
      </c>
      <c r="B5097" s="138">
        <f>'Revenues 9-14'!C77</f>
        <v>76404</v>
      </c>
      <c r="D5097" s="2" t="str">
        <f t="shared" si="78"/>
        <v>Error?</v>
      </c>
    </row>
    <row r="5098" spans="1:4" x14ac:dyDescent="0.2">
      <c r="A5098" s="5">
        <v>5037</v>
      </c>
      <c r="B5098" s="138">
        <f>'Revenues 9-14'!C78</f>
        <v>3453</v>
      </c>
      <c r="D5098" s="2" t="str">
        <f t="shared" si="78"/>
        <v>Error?</v>
      </c>
    </row>
    <row r="5099" spans="1:4" x14ac:dyDescent="0.2">
      <c r="A5099" s="5">
        <v>5038</v>
      </c>
      <c r="B5099" s="138">
        <f>'Revenues 9-14'!C79</f>
        <v>697</v>
      </c>
      <c r="D5099" s="2" t="str">
        <f t="shared" si="78"/>
        <v>Error?</v>
      </c>
    </row>
    <row r="5100" spans="1:4" x14ac:dyDescent="0.2">
      <c r="A5100" s="5">
        <v>5039</v>
      </c>
      <c r="B5100" s="138">
        <f>'Revenues 9-14'!C80</f>
        <v>2787</v>
      </c>
      <c r="D5100" s="2" t="str">
        <f t="shared" si="78"/>
        <v>Error?</v>
      </c>
    </row>
    <row r="5101" spans="1:4" x14ac:dyDescent="0.2">
      <c r="A5101" s="5">
        <v>5040</v>
      </c>
      <c r="B5101" s="138">
        <f>'Revenues 9-14'!C81</f>
        <v>117720</v>
      </c>
      <c r="D5101" s="2" t="str">
        <f t="shared" si="78"/>
        <v>Error?</v>
      </c>
    </row>
    <row r="5102" spans="1:4" x14ac:dyDescent="0.2">
      <c r="A5102" s="5">
        <v>5041</v>
      </c>
      <c r="B5102" s="138">
        <f>'Revenues 9-14'!C82</f>
        <v>201061</v>
      </c>
      <c r="C5102" s="2" t="s">
        <v>573</v>
      </c>
      <c r="D5102" s="2" t="str">
        <f t="shared" si="78"/>
        <v>Error?</v>
      </c>
    </row>
    <row r="5103" spans="1:4" x14ac:dyDescent="0.2">
      <c r="A5103" s="5">
        <v>5042</v>
      </c>
      <c r="B5103" s="138">
        <f>'Revenues 9-14'!C84</f>
        <v>80382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3868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84250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445</v>
      </c>
      <c r="D5114" s="2" t="str">
        <f t="shared" si="78"/>
        <v>Error?</v>
      </c>
    </row>
    <row r="5115" spans="1:4" x14ac:dyDescent="0.2">
      <c r="A5115" s="5">
        <v>5054</v>
      </c>
      <c r="B5115" s="138">
        <f>'Revenues 9-14'!C98</f>
        <v>102746</v>
      </c>
      <c r="D5115" s="2" t="str">
        <f t="shared" si="78"/>
        <v>Error?</v>
      </c>
    </row>
    <row r="5116" spans="1:4" x14ac:dyDescent="0.2">
      <c r="A5116" s="5">
        <v>5055</v>
      </c>
      <c r="B5116" s="138">
        <f>'Revenues 9-14'!C99</f>
        <v>11700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96932</v>
      </c>
      <c r="D5119" s="2" t="str">
        <f t="shared" ref="D5119:D5182" si="79">IF(ISBLANK(B5119),"OK",IF(A5119-B5119=0,"OK","Error?"))</f>
        <v>Error?</v>
      </c>
    </row>
    <row r="5120" spans="1:4" x14ac:dyDescent="0.2">
      <c r="A5120" s="5">
        <v>5059</v>
      </c>
      <c r="B5120" s="138">
        <f>'Revenues 9-14'!C108</f>
        <v>259177</v>
      </c>
      <c r="C5120" s="2" t="s">
        <v>573</v>
      </c>
      <c r="D5120" s="2" t="str">
        <f t="shared" si="79"/>
        <v>Error?</v>
      </c>
    </row>
    <row r="5121" spans="1:4" x14ac:dyDescent="0.2">
      <c r="A5121" s="5">
        <v>5060</v>
      </c>
      <c r="B5121" s="138">
        <f>'Revenues 9-14'!C109</f>
        <v>8161873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1349991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1349991</v>
      </c>
      <c r="C5132" s="2" t="s">
        <v>573</v>
      </c>
      <c r="D5132" s="2" t="str">
        <f t="shared" si="79"/>
        <v>Error?</v>
      </c>
    </row>
    <row r="5133" spans="1:4" x14ac:dyDescent="0.2">
      <c r="A5133" s="5">
        <v>5072</v>
      </c>
      <c r="B5133" s="138">
        <f>'Revenues 9-14'!C125</f>
        <v>52382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1984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54366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71007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84845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4025</v>
      </c>
      <c r="D5167" s="2" t="str">
        <f t="shared" si="79"/>
        <v>Error?</v>
      </c>
    </row>
    <row r="5168" spans="1:4" x14ac:dyDescent="0.2">
      <c r="A5168" s="5">
        <v>5107</v>
      </c>
      <c r="B5168" s="138">
        <f>'Revenues 9-14'!C148</f>
        <v>40163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184149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1534140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218761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35051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253812</v>
      </c>
      <c r="C5246" s="2" t="s">
        <v>573</v>
      </c>
      <c r="D5246" s="2" t="str">
        <f t="shared" si="80"/>
        <v>Error?</v>
      </c>
    </row>
    <row r="5247" spans="1:4" x14ac:dyDescent="0.2">
      <c r="A5247" s="5">
        <v>5186</v>
      </c>
      <c r="B5247" s="138">
        <f>'Revenues 9-14'!C200</f>
        <v>228122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228122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133280</v>
      </c>
      <c r="D5278" s="2" t="str">
        <f t="shared" si="81"/>
        <v>Error?</v>
      </c>
    </row>
    <row r="5279" spans="1:4" x14ac:dyDescent="0.2">
      <c r="A5279" s="5">
        <v>5218</v>
      </c>
      <c r="B5279" s="138">
        <f>'Revenues 9-14'!C214</f>
        <v>152842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286122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4511</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827471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827471</v>
      </c>
      <c r="C5326" s="2" t="s">
        <v>573</v>
      </c>
      <c r="D5326" s="2" t="str">
        <f t="shared" si="82"/>
        <v>Error?</v>
      </c>
    </row>
    <row r="5327" spans="1:5" x14ac:dyDescent="0.2">
      <c r="A5327" s="5">
        <v>5266</v>
      </c>
      <c r="B5327" s="138">
        <f>'Revenues 9-14'!C268</f>
        <v>10523484</v>
      </c>
      <c r="C5327" s="2" t="s">
        <v>573</v>
      </c>
      <c r="D5327" s="2" t="str">
        <f t="shared" si="82"/>
        <v>Error?</v>
      </c>
    </row>
    <row r="5328" spans="1:5" x14ac:dyDescent="0.2">
      <c r="A5328" s="5">
        <v>5267</v>
      </c>
      <c r="B5328" s="138">
        <f>'Revenues 9-14'!D5</f>
        <v>1526773</v>
      </c>
      <c r="D5328" s="2" t="str">
        <f t="shared" si="82"/>
        <v>Error?</v>
      </c>
    </row>
    <row r="5329" spans="1:4" x14ac:dyDescent="0.2">
      <c r="A5329" s="10">
        <v>5268</v>
      </c>
      <c r="D5329" s="2" t="str">
        <f t="shared" si="82"/>
        <v>OK</v>
      </c>
    </row>
    <row r="5330" spans="1:4" x14ac:dyDescent="0.2">
      <c r="A5330" s="5">
        <v>5269</v>
      </c>
      <c r="B5330" s="138">
        <f>'Revenues 9-14'!D6</f>
        <v>277708</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1804481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29535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29535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18335</v>
      </c>
      <c r="D5349" s="2" t="str">
        <f t="shared" si="82"/>
        <v>Error?</v>
      </c>
    </row>
    <row r="5350" spans="1:4" x14ac:dyDescent="0.2">
      <c r="A5350" s="5">
        <v>5289</v>
      </c>
      <c r="B5350" s="138">
        <f>'Revenues 9-14'!D96</f>
        <v>3000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13243</v>
      </c>
      <c r="D5354" s="2" t="str">
        <f t="shared" si="82"/>
        <v>Error?</v>
      </c>
    </row>
    <row r="5355" spans="1:4" x14ac:dyDescent="0.2">
      <c r="A5355" s="5">
        <v>5294</v>
      </c>
      <c r="B5355" s="138">
        <f>'Revenues 9-14'!D108</f>
        <v>76230</v>
      </c>
      <c r="C5355" s="2" t="s">
        <v>573</v>
      </c>
      <c r="D5355" s="2" t="str">
        <f t="shared" si="82"/>
        <v>Error?</v>
      </c>
    </row>
    <row r="5356" spans="1:4" x14ac:dyDescent="0.2">
      <c r="A5356" s="5">
        <v>5295</v>
      </c>
      <c r="B5356" s="138">
        <f>'Revenues 9-14'!D109</f>
        <v>1910246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1910246</v>
      </c>
      <c r="C5508" s="2" t="s">
        <v>573</v>
      </c>
      <c r="D5508" s="2" t="str">
        <f t="shared" si="85"/>
        <v>Error?</v>
      </c>
    </row>
    <row r="5509" spans="1:4" x14ac:dyDescent="0.2">
      <c r="A5509" s="5">
        <v>5448</v>
      </c>
      <c r="B5509" s="138">
        <f>'Revenues 9-14'!E5</f>
        <v>498684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498684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20222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20222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402821</v>
      </c>
      <c r="D5525" s="2" t="str">
        <f t="shared" si="85"/>
        <v>Error?</v>
      </c>
    </row>
    <row r="5526" spans="1:4" x14ac:dyDescent="0.2">
      <c r="A5526" s="5">
        <v>5465</v>
      </c>
      <c r="B5526" s="138">
        <f>'Revenues 9-14'!E108</f>
        <v>402821</v>
      </c>
      <c r="C5526" s="2" t="s">
        <v>573</v>
      </c>
      <c r="D5526" s="2" t="str">
        <f t="shared" si="85"/>
        <v>Error?</v>
      </c>
    </row>
    <row r="5527" spans="1:4" x14ac:dyDescent="0.2">
      <c r="A5527" s="5">
        <v>5466</v>
      </c>
      <c r="B5527" s="138">
        <f>'Revenues 9-14'!E109</f>
        <v>921727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921727</v>
      </c>
      <c r="C5552" s="2" t="s">
        <v>573</v>
      </c>
      <c r="D5552" s="2" t="str">
        <f t="shared" si="85"/>
        <v>Error?</v>
      </c>
    </row>
    <row r="5553" spans="1:4" x14ac:dyDescent="0.2">
      <c r="A5553" s="5">
        <v>5492</v>
      </c>
      <c r="B5553" s="138">
        <f>'Revenues 9-14'!F5</f>
        <v>735713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735713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34283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34283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3168</v>
      </c>
      <c r="D5586" s="2" t="str">
        <f t="shared" si="86"/>
        <v>Error?</v>
      </c>
    </row>
    <row r="5587" spans="1:4" x14ac:dyDescent="0.2">
      <c r="A5587" s="5">
        <v>5526</v>
      </c>
      <c r="B5587" s="138">
        <f>'Revenues 9-14'!F108</f>
        <v>3168</v>
      </c>
      <c r="C5587" s="2" t="s">
        <v>573</v>
      </c>
      <c r="D5587" s="2" t="str">
        <f t="shared" si="86"/>
        <v>Error?</v>
      </c>
    </row>
    <row r="5588" spans="1:4" x14ac:dyDescent="0.2">
      <c r="A5588" s="5">
        <v>5527</v>
      </c>
      <c r="B5588" s="138">
        <f>'Revenues 9-14'!F109</f>
        <v>773164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291765</v>
      </c>
      <c r="D5615" s="2" t="str">
        <f t="shared" si="86"/>
        <v>Error?</v>
      </c>
    </row>
    <row r="5616" spans="1:4" x14ac:dyDescent="0.2">
      <c r="A5616" s="10">
        <v>5555</v>
      </c>
      <c r="D5616" s="2" t="str">
        <f t="shared" si="86"/>
        <v>OK</v>
      </c>
    </row>
    <row r="5617" spans="1:5" x14ac:dyDescent="0.2">
      <c r="A5617" s="5">
        <v>5556</v>
      </c>
      <c r="B5617" s="138">
        <f>'Revenues 9-14'!F153</f>
        <v>215804</v>
      </c>
      <c r="D5617" s="2" t="str">
        <f t="shared" si="86"/>
        <v>Error?</v>
      </c>
    </row>
    <row r="5618" spans="1:5" x14ac:dyDescent="0.2">
      <c r="A5618" s="5">
        <v>5557</v>
      </c>
      <c r="B5618" s="138">
        <f>'Revenues 9-14'!F155</f>
        <v>507569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507569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507569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1280733</v>
      </c>
      <c r="C5720" s="2" t="s">
        <v>573</v>
      </c>
      <c r="D5720" s="2" t="str">
        <f t="shared" si="88"/>
        <v>Error?</v>
      </c>
    </row>
    <row r="5721" spans="1:4" x14ac:dyDescent="0.2">
      <c r="A5721" s="5">
        <v>5660</v>
      </c>
      <c r="B5721" s="138">
        <f>'Revenues 9-14'!G5</f>
        <v>173484</v>
      </c>
      <c r="D5721" s="2" t="str">
        <f t="shared" si="88"/>
        <v>Error?</v>
      </c>
    </row>
    <row r="5722" spans="1:4" x14ac:dyDescent="0.2">
      <c r="A5722" s="5">
        <v>5661</v>
      </c>
      <c r="B5722" s="138">
        <f>'Revenues 9-14'!G7</f>
        <v>0</v>
      </c>
      <c r="D5722" s="2" t="str">
        <f t="shared" si="88"/>
        <v>Error?</v>
      </c>
    </row>
    <row r="5723" spans="1:4" x14ac:dyDescent="0.2">
      <c r="A5723" s="5">
        <v>5662</v>
      </c>
      <c r="B5723" s="138">
        <f>'Revenues 9-14'!G8</f>
        <v>323953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497437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12013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12013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559450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16124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16124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32618</v>
      </c>
      <c r="D5885" s="2" t="str">
        <f t="shared" si="90"/>
        <v>Error?</v>
      </c>
    </row>
    <row r="5886" spans="1:4" x14ac:dyDescent="0.2">
      <c r="A5886" s="5">
        <v>5825</v>
      </c>
      <c r="B5886" s="138">
        <f>'Revenues 9-14'!H108</f>
        <v>32618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48742</v>
      </c>
      <c r="C5915" s="2" t="s">
        <v>573</v>
      </c>
      <c r="D5915" s="2" t="str">
        <f t="shared" si="91"/>
        <v>Error?</v>
      </c>
    </row>
    <row r="5916" spans="1:4" x14ac:dyDescent="0.2">
      <c r="A5916" s="5">
        <v>5855</v>
      </c>
      <c r="B5916" s="138">
        <f>'Revenues 9-14'!I5</f>
        <v>213602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213602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36719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36719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250321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277707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277707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21424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21424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299131</v>
      </c>
      <c r="C6023" s="2" t="s">
        <v>573</v>
      </c>
      <c r="D6023" s="2" t="str">
        <f t="shared" si="93"/>
        <v>Error?</v>
      </c>
    </row>
    <row r="6024" spans="1:5" x14ac:dyDescent="0.2">
      <c r="A6024" s="5">
        <v>5963</v>
      </c>
      <c r="B6024" s="138">
        <f>'Revenues 9-14'!G109</f>
        <v>559450</v>
      </c>
      <c r="C6024" s="2" t="s">
        <v>573</v>
      </c>
      <c r="D6024" s="2" t="str">
        <f t="shared" si="93"/>
        <v>Error?</v>
      </c>
    </row>
    <row r="6025" spans="1:5" x14ac:dyDescent="0.2">
      <c r="A6025" s="5">
        <v>5964</v>
      </c>
      <c r="B6025" s="138">
        <f>'Revenues 9-14'!H109</f>
        <v>48742</v>
      </c>
      <c r="C6025" s="2" t="s">
        <v>573</v>
      </c>
      <c r="D6025" s="2" t="str">
        <f t="shared" si="93"/>
        <v>Error?</v>
      </c>
    </row>
    <row r="6026" spans="1:5" x14ac:dyDescent="0.2">
      <c r="A6026" s="5">
        <v>5965</v>
      </c>
      <c r="B6026" s="138">
        <f>'Revenues 9-14'!I109</f>
        <v>250321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299131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103532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35409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840.9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1000000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235837</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1000000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25050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-1434951</v>
      </c>
      <c r="D6267" s="2" t="str">
        <f t="shared" si="96"/>
        <v>Error?</v>
      </c>
      <c r="E6267" s="2" t="s">
        <v>190</v>
      </c>
    </row>
    <row r="6268" spans="1:5" x14ac:dyDescent="0.2">
      <c r="A6268">
        <v>6207</v>
      </c>
      <c r="B6268" s="138">
        <f>'Acct Summary 7-8'!D82</f>
        <v>-483328</v>
      </c>
      <c r="D6268" s="2" t="str">
        <f t="shared" si="96"/>
        <v>Error?</v>
      </c>
      <c r="E6268" s="2" t="s">
        <v>190</v>
      </c>
    </row>
    <row r="6269" spans="1:5" x14ac:dyDescent="0.2">
      <c r="A6269">
        <v>6208</v>
      </c>
      <c r="B6269" s="138">
        <f>'Acct Summary 7-8'!E82</f>
        <v>24756</v>
      </c>
      <c r="D6269" s="2" t="str">
        <f t="shared" si="96"/>
        <v>Error?</v>
      </c>
      <c r="E6269" s="2" t="s">
        <v>190</v>
      </c>
    </row>
    <row r="6270" spans="1:5" x14ac:dyDescent="0.2">
      <c r="A6270">
        <v>6209</v>
      </c>
      <c r="B6270" s="138">
        <f>'Acct Summary 7-8'!F82</f>
        <v>-975245</v>
      </c>
      <c r="D6270" s="2" t="str">
        <f t="shared" si="96"/>
        <v>Error?</v>
      </c>
      <c r="E6270" s="2" t="s">
        <v>190</v>
      </c>
    </row>
    <row r="6271" spans="1:5" x14ac:dyDescent="0.2">
      <c r="A6271">
        <v>6210</v>
      </c>
      <c r="B6271" s="138">
        <f>'Acct Summary 7-8'!G82</f>
        <v>59137</v>
      </c>
      <c r="D6271" s="2" t="str">
        <f t="shared" ref="D6271:D6334" si="97">IF(ISBLANK(B6271),"OK",IF(A6271-B6271=0,"OK","Error?"))</f>
        <v>Error?</v>
      </c>
      <c r="E6271" s="2" t="s">
        <v>190</v>
      </c>
    </row>
    <row r="6272" spans="1:5" x14ac:dyDescent="0.2">
      <c r="A6272">
        <v>6211</v>
      </c>
      <c r="B6272" s="138">
        <f>'Acct Summary 7-8'!H82</f>
        <v>1191217</v>
      </c>
      <c r="D6272" s="2" t="str">
        <f t="shared" si="97"/>
        <v>Error?</v>
      </c>
      <c r="E6272" s="2" t="s">
        <v>190</v>
      </c>
    </row>
    <row r="6273" spans="1:5" x14ac:dyDescent="0.2">
      <c r="A6273">
        <v>6212</v>
      </c>
      <c r="B6273" s="138">
        <f>'Acct Summary 7-8'!I82</f>
        <v>250321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287596</v>
      </c>
      <c r="D6275" s="2" t="str">
        <f t="shared" si="97"/>
        <v>Error?</v>
      </c>
      <c r="E6275" s="2" t="s">
        <v>190</v>
      </c>
    </row>
    <row r="6276" spans="1:5" x14ac:dyDescent="0.2">
      <c r="A6276">
        <v>6215</v>
      </c>
      <c r="B6276" s="138">
        <f>'Acct Summary 7-8'!C83</f>
        <v>-0.54884295364853419</v>
      </c>
      <c r="D6276" s="2" t="str">
        <f t="shared" si="97"/>
        <v>Error?</v>
      </c>
      <c r="E6276" s="2" t="s">
        <v>190</v>
      </c>
    </row>
    <row r="6277" spans="1:5" x14ac:dyDescent="0.2">
      <c r="A6277">
        <v>6216</v>
      </c>
      <c r="B6277" s="138">
        <f>'Acct Summary 7-8'!D83</f>
        <v>-0.46433752394567002</v>
      </c>
      <c r="D6277" s="2" t="str">
        <f t="shared" si="97"/>
        <v>Error?</v>
      </c>
      <c r="E6277" s="2" t="s">
        <v>190</v>
      </c>
    </row>
    <row r="6278" spans="1:5" x14ac:dyDescent="0.2">
      <c r="A6278">
        <v>6217</v>
      </c>
      <c r="B6278" s="138">
        <f>'Acct Summary 7-8'!E83</f>
        <v>1.9521704056454914E-2</v>
      </c>
      <c r="D6278" s="2" t="str">
        <f t="shared" si="97"/>
        <v>Error?</v>
      </c>
      <c r="E6278" s="2" t="s">
        <v>190</v>
      </c>
    </row>
    <row r="6279" spans="1:5" x14ac:dyDescent="0.2">
      <c r="A6279">
        <v>6218</v>
      </c>
      <c r="B6279" s="138">
        <f>'Acct Summary 7-8'!F83</f>
        <v>-0.5333894482146061</v>
      </c>
      <c r="D6279" s="2" t="str">
        <f t="shared" si="97"/>
        <v>Error?</v>
      </c>
      <c r="E6279" s="2" t="s">
        <v>190</v>
      </c>
    </row>
    <row r="6280" spans="1:5" x14ac:dyDescent="0.2">
      <c r="A6280">
        <v>6219</v>
      </c>
      <c r="B6280" s="138">
        <f>'Acct Summary 7-8'!G83</f>
        <v>9.0523483111324729E-2</v>
      </c>
      <c r="D6280" s="2" t="str">
        <f t="shared" si="97"/>
        <v>Error?</v>
      </c>
      <c r="E6280" s="2" t="s">
        <v>190</v>
      </c>
    </row>
    <row r="6281" spans="1:5" x14ac:dyDescent="0.2">
      <c r="A6281">
        <v>6220</v>
      </c>
      <c r="B6281" s="138">
        <f>'Acct Summary 7-8'!H83</f>
        <v>0.86552132529245074</v>
      </c>
      <c r="D6281" s="2" t="str">
        <f t="shared" si="97"/>
        <v>Error?</v>
      </c>
      <c r="E6281" s="2" t="s">
        <v>190</v>
      </c>
    </row>
    <row r="6282" spans="1:5" x14ac:dyDescent="0.2">
      <c r="A6282">
        <v>6221</v>
      </c>
      <c r="B6282" s="138">
        <f>'Acct Summary 7-8'!I83</f>
        <v>9.4992029004481296E-2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0.18684589222428316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2500000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35837</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4900</v>
      </c>
      <c r="D6339" s="2" t="str">
        <f t="shared" si="98"/>
        <v>Error?</v>
      </c>
      <c r="E6339" s="2" t="s">
        <v>190</v>
      </c>
    </row>
    <row r="6340" spans="1:5" x14ac:dyDescent="0.2">
      <c r="A6340">
        <v>6279</v>
      </c>
      <c r="B6340" s="138">
        <f>'Revenues 9-14'!C102</f>
        <v>10984</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13838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85279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500823</v>
      </c>
      <c r="D6880" s="2" t="str">
        <f t="shared" si="106"/>
        <v>Error?</v>
      </c>
    </row>
    <row r="6881" spans="1:4" x14ac:dyDescent="0.2">
      <c r="A6881">
        <v>6820</v>
      </c>
      <c r="B6881" s="138">
        <f>'Expenditures 15-22'!K22</f>
        <v>500823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34801</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34801</v>
      </c>
      <c r="D6940" s="2" t="str">
        <f t="shared" si="107"/>
        <v>Error?</v>
      </c>
    </row>
    <row r="6941" spans="1:4" x14ac:dyDescent="0.2">
      <c r="A6941">
        <v>6880</v>
      </c>
      <c r="B6941" s="138">
        <f>'Expenditures 15-22'!L52</f>
        <v>35000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3534</v>
      </c>
      <c r="D6991" s="2" t="str">
        <f t="shared" si="108"/>
        <v>Error?</v>
      </c>
    </row>
    <row r="6992" spans="1:4" x14ac:dyDescent="0.2">
      <c r="A6992">
        <v>6931</v>
      </c>
      <c r="B6992" s="138">
        <f>'Expenditures 15-22'!K90</f>
        <v>3534</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3534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5815</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40280</v>
      </c>
      <c r="D7067" s="2" t="str">
        <f t="shared" si="109"/>
        <v>Error?</v>
      </c>
    </row>
    <row r="7068" spans="1:4" x14ac:dyDescent="0.2">
      <c r="A7068">
        <v>7007</v>
      </c>
      <c r="B7068" s="138">
        <f>'Expenditures 15-22'!K205</f>
        <v>40280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812</v>
      </c>
      <c r="D7079" s="2" t="str">
        <f t="shared" si="109"/>
        <v>Error?</v>
      </c>
    </row>
    <row r="7080" spans="1:4" x14ac:dyDescent="0.2">
      <c r="A7080">
        <v>7019</v>
      </c>
      <c r="B7080" s="138">
        <f>'Expenditures 15-22'!K226</f>
        <v>812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59881</v>
      </c>
      <c r="D7263" s="2" t="str">
        <f t="shared" si="112"/>
        <v>Error?</v>
      </c>
    </row>
    <row r="7264" spans="1:4" x14ac:dyDescent="0.2">
      <c r="A7264">
        <f t="shared" si="113"/>
        <v>7203</v>
      </c>
      <c r="B7264" s="138">
        <f>'Expenditures 15-22'!D17</f>
        <v>15858</v>
      </c>
      <c r="D7264" s="2" t="str">
        <f t="shared" si="112"/>
        <v>Error?</v>
      </c>
    </row>
    <row r="7265" spans="1:5" x14ac:dyDescent="0.2">
      <c r="A7265">
        <f t="shared" si="113"/>
        <v>7204</v>
      </c>
      <c r="B7265" s="138">
        <f>'Expenditures 15-22'!E17</f>
        <v>8051</v>
      </c>
      <c r="D7265" s="2" t="str">
        <f t="shared" si="112"/>
        <v>Error?</v>
      </c>
    </row>
    <row r="7266" spans="1:5" x14ac:dyDescent="0.2">
      <c r="A7266">
        <f t="shared" si="113"/>
        <v>7205</v>
      </c>
      <c r="B7266" s="138">
        <f>'Expenditures 15-22'!F17</f>
        <v>1489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1143246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2500000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4900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40163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45063</v>
      </c>
      <c r="D7719" s="2" t="str">
        <f t="shared" si="126"/>
        <v>Error?</v>
      </c>
      <c r="E7719" s="2" t="s">
        <v>827</v>
      </c>
    </row>
    <row r="7720" spans="1:6" x14ac:dyDescent="0.2">
      <c r="A7720">
        <v>7659</v>
      </c>
      <c r="B7720" s="138">
        <f>'Rest Tax Levies-Tort Im 25'!H14</f>
        <v>111872</v>
      </c>
      <c r="D7720" s="2" t="str">
        <f t="shared" si="126"/>
        <v>Error?</v>
      </c>
      <c r="E7720" s="2" t="s">
        <v>827</v>
      </c>
    </row>
    <row r="7721" spans="1:6" x14ac:dyDescent="0.2">
      <c r="A7721">
        <v>7660</v>
      </c>
      <c r="B7721" s="138">
        <f>'Rest Tax Levies-Tort Im 25'!K14</f>
        <v>45063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29'!D41</f>
        <v>266575.89999999997</v>
      </c>
      <c r="D7797" s="2" t="str">
        <f t="shared" si="127"/>
        <v>Error?</v>
      </c>
      <c r="E7797" s="4" t="s">
        <v>1901</v>
      </c>
    </row>
    <row r="7798" spans="1:5" x14ac:dyDescent="0.2">
      <c r="A7798">
        <v>7737</v>
      </c>
      <c r="B7798" s="138">
        <f>'Contracts Paid in CY 29'!F41</f>
        <v>115579.92</v>
      </c>
      <c r="D7798" s="2" t="str">
        <f t="shared" si="127"/>
        <v>Error?</v>
      </c>
      <c r="E7798" s="4" t="s">
        <v>1901</v>
      </c>
    </row>
    <row r="7799" spans="1:5" x14ac:dyDescent="0.2">
      <c r="A7799">
        <v>7738</v>
      </c>
      <c r="B7799" s="138">
        <f>'Contracts Paid in CY 29'!G41</f>
        <v>150995.97999999998</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5" zoomScale="110" zoomScaleNormal="110" workbookViewId="0">
      <selection activeCell="C46" sqref="C4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5" t="s">
        <v>1191</v>
      </c>
      <c r="B2" s="2415"/>
      <c r="C2" s="2415"/>
      <c r="D2" s="2415"/>
      <c r="E2" s="2415"/>
      <c r="F2" s="2415"/>
      <c r="G2" s="2415"/>
      <c r="H2" s="2415"/>
      <c r="I2" s="2415"/>
      <c r="J2" s="2415"/>
      <c r="K2" s="2415"/>
      <c r="L2" s="2415"/>
    </row>
    <row r="3" spans="1:29" ht="13.5" customHeight="1" x14ac:dyDescent="0.2">
      <c r="A3" s="2401" t="s">
        <v>1190</v>
      </c>
      <c r="B3" s="2401"/>
      <c r="C3" s="2401"/>
      <c r="D3" s="2401"/>
      <c r="E3" s="2401"/>
      <c r="F3" s="2401"/>
      <c r="G3" s="2401"/>
      <c r="H3" s="2401"/>
      <c r="I3" s="2401"/>
      <c r="J3" s="2401"/>
      <c r="K3" s="2401"/>
      <c r="L3" s="2401"/>
    </row>
    <row r="4" spans="1:29" ht="13.5" customHeight="1" x14ac:dyDescent="0.2">
      <c r="A4" s="2415" t="s">
        <v>1986</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5" t="str">
        <f>COVER!A17</f>
        <v>East Peoria CHSD 309</v>
      </c>
      <c r="B7" s="2396"/>
      <c r="C7" s="2396"/>
      <c r="D7" s="2433"/>
      <c r="E7" s="2434">
        <f>COVER!A13</f>
        <v>53090309016</v>
      </c>
      <c r="F7" s="2435"/>
      <c r="G7" s="2402" t="str">
        <f>COVER!T23</f>
        <v>066-004355</v>
      </c>
      <c r="H7" s="2403"/>
      <c r="I7" s="2403"/>
      <c r="J7" s="2403"/>
      <c r="K7" s="2403"/>
      <c r="L7" s="240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5"/>
      <c r="B9" s="2406"/>
      <c r="C9" s="2406"/>
      <c r="D9" s="2406"/>
      <c r="E9" s="2406"/>
      <c r="F9" s="2407"/>
      <c r="G9" s="2408" t="str">
        <f>COVER!T13</f>
        <v>Phillips, Salmi &amp; Associates, LLC</v>
      </c>
      <c r="H9" s="2409"/>
      <c r="I9" s="2409"/>
      <c r="J9" s="2409"/>
      <c r="K9" s="2409"/>
      <c r="L9" s="2410"/>
    </row>
    <row r="10" spans="1:29" ht="13.5" customHeight="1" x14ac:dyDescent="0.2">
      <c r="A10" s="2392" t="str">
        <f>COVER!A38</f>
        <v>Marjorie Greuter</v>
      </c>
      <c r="B10" s="2393"/>
      <c r="C10" s="2393"/>
      <c r="D10" s="2393"/>
      <c r="E10" s="2393"/>
      <c r="F10" s="2394"/>
      <c r="G10" s="2408" t="str">
        <f>COVER!T17</f>
        <v>112 S Main Street</v>
      </c>
      <c r="H10" s="2421"/>
      <c r="I10" s="2421"/>
      <c r="J10" s="2421"/>
      <c r="K10" s="2421"/>
      <c r="L10" s="2422"/>
    </row>
    <row r="11" spans="1:29" ht="13.5" customHeight="1" x14ac:dyDescent="0.2">
      <c r="A11" s="1184" t="s">
        <v>1519</v>
      </c>
      <c r="B11" s="1185"/>
      <c r="C11" s="1186"/>
      <c r="D11" s="1191"/>
      <c r="E11" s="1186"/>
      <c r="F11" s="1190"/>
      <c r="G11" s="2408" t="str">
        <f>COVER!T19</f>
        <v>Washington</v>
      </c>
      <c r="H11" s="2421"/>
      <c r="I11" s="2421"/>
      <c r="J11" s="2421"/>
      <c r="K11" s="2421"/>
      <c r="L11" s="2422"/>
    </row>
    <row r="12" spans="1:29" ht="13.5" customHeight="1" x14ac:dyDescent="0.2">
      <c r="A12" s="2426" t="s">
        <v>1518</v>
      </c>
      <c r="B12" s="2427"/>
      <c r="C12" s="2427"/>
      <c r="D12" s="2427"/>
      <c r="E12" s="2427"/>
      <c r="F12" s="2428"/>
      <c r="G12" s="2423"/>
      <c r="H12" s="2424"/>
      <c r="I12" s="2424"/>
      <c r="J12" s="2424"/>
      <c r="K12" s="2424"/>
      <c r="L12" s="2425"/>
    </row>
    <row r="13" spans="1:29" ht="13.5" customHeight="1" x14ac:dyDescent="0.2">
      <c r="A13" s="2408"/>
      <c r="B13" s="2421"/>
      <c r="C13" s="2421"/>
      <c r="D13" s="2421"/>
      <c r="E13" s="2421"/>
      <c r="F13" s="2422"/>
      <c r="G13" s="2416" t="s">
        <v>1520</v>
      </c>
      <c r="H13" s="2417"/>
      <c r="I13" s="2429" t="str">
        <f>COVER!T25</f>
        <v>lsalmi@psa-cpa.com</v>
      </c>
      <c r="J13" s="2430"/>
      <c r="K13" s="2430"/>
      <c r="L13" s="2431"/>
    </row>
    <row r="14" spans="1:29" ht="13.5" customHeight="1" x14ac:dyDescent="0.2">
      <c r="A14" s="2408" t="str">
        <f>COVER!A19</f>
        <v>1401 E. Washington Street</v>
      </c>
      <c r="B14" s="2421"/>
      <c r="C14" s="2421"/>
      <c r="D14" s="2421"/>
      <c r="E14" s="2421"/>
      <c r="F14" s="2422"/>
      <c r="G14" s="1195" t="s">
        <v>1185</v>
      </c>
      <c r="H14" s="1193"/>
      <c r="I14" s="1193"/>
      <c r="J14" s="1193"/>
      <c r="K14" s="1193"/>
      <c r="L14" s="1194"/>
    </row>
    <row r="15" spans="1:29" ht="13.5" customHeight="1" x14ac:dyDescent="0.2">
      <c r="A15" s="2408" t="str">
        <f>COVER!A21</f>
        <v xml:space="preserve">East Peoria </v>
      </c>
      <c r="B15" s="2421"/>
      <c r="C15" s="2421"/>
      <c r="D15" s="2421"/>
      <c r="E15" s="2421"/>
      <c r="F15" s="2422"/>
      <c r="G15" s="2418" t="str">
        <f>COVER!T15</f>
        <v>Lori Salmi</v>
      </c>
      <c r="H15" s="2419"/>
      <c r="I15" s="2419"/>
      <c r="J15" s="2419"/>
      <c r="K15" s="2419"/>
      <c r="L15" s="2420"/>
    </row>
    <row r="16" spans="1:29" ht="12.2" customHeight="1" x14ac:dyDescent="0.2">
      <c r="A16" s="2398">
        <f>COVER!A25</f>
        <v>61611</v>
      </c>
      <c r="B16" s="2399"/>
      <c r="C16" s="2399"/>
      <c r="D16" s="2399"/>
      <c r="E16" s="2399"/>
      <c r="F16" s="2400"/>
      <c r="G16" s="2411"/>
      <c r="H16" s="2412"/>
      <c r="I16" s="2412"/>
      <c r="J16" s="2412"/>
      <c r="K16" s="2412"/>
      <c r="L16" s="2413"/>
    </row>
    <row r="17" spans="1:13" ht="12.2" customHeight="1" x14ac:dyDescent="0.2">
      <c r="A17" s="2414"/>
      <c r="B17" s="2399"/>
      <c r="C17" s="2399"/>
      <c r="D17" s="2399"/>
      <c r="E17" s="2399"/>
      <c r="F17" s="2400"/>
      <c r="G17" s="1195" t="s">
        <v>1184</v>
      </c>
      <c r="H17" s="1193"/>
      <c r="I17" s="1193"/>
      <c r="J17" s="1193"/>
      <c r="K17" s="1197" t="s">
        <v>1183</v>
      </c>
      <c r="L17" s="1190"/>
      <c r="M17" s="1183"/>
    </row>
    <row r="18" spans="1:13" ht="12.2" customHeight="1" x14ac:dyDescent="0.2">
      <c r="A18" s="2392"/>
      <c r="B18" s="2393"/>
      <c r="C18" s="2393"/>
      <c r="D18" s="2393"/>
      <c r="E18" s="2393"/>
      <c r="F18" s="2394"/>
      <c r="G18" s="2395" t="str">
        <f>COVER!T21</f>
        <v>(309) 444-4909</v>
      </c>
      <c r="H18" s="2396"/>
      <c r="I18" s="2396"/>
      <c r="J18" s="2396"/>
      <c r="K18" s="2395" t="str">
        <f>COVER!X21</f>
        <v>(309) 444-8580</v>
      </c>
      <c r="L18" s="239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8" zoomScale="125" zoomScaleNormal="125" workbookViewId="0">
      <selection activeCell="D102" sqref="D10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6" t="str">
        <f>'Single Audit Cover'!A7</f>
        <v>East Peoria CHSD 309</v>
      </c>
      <c r="B1" s="2432"/>
      <c r="C1" s="2432"/>
      <c r="D1" s="2432"/>
    </row>
    <row r="2" spans="1:11" s="1212" customFormat="1" ht="12.75" x14ac:dyDescent="0.2">
      <c r="A2" s="2437">
        <f>'Single Audit Cover'!E7</f>
        <v>53090309016</v>
      </c>
      <c r="B2" s="2438"/>
      <c r="C2" s="2438"/>
      <c r="D2" s="2438"/>
    </row>
    <row r="3" spans="1:11" s="1212" customFormat="1" ht="12.75" x14ac:dyDescent="0.2">
      <c r="A3" s="2436" t="s">
        <v>1513</v>
      </c>
      <c r="B3" s="2432"/>
      <c r="C3" s="2432"/>
      <c r="D3" s="243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4"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5" zoomScale="110" zoomScaleNormal="110" zoomScaleSheetLayoutView="100" workbookViewId="0">
      <selection activeCell="L31" sqref="L3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0" t="str">
        <f>'Single Audit Cover'!A7</f>
        <v>East Peoria CHSD 309</v>
      </c>
      <c r="B1" s="2440"/>
      <c r="C1" s="2440"/>
      <c r="D1" s="2440"/>
      <c r="E1" s="2440"/>
    </row>
    <row r="2" spans="1:5" x14ac:dyDescent="0.2">
      <c r="A2" s="2441">
        <f>'Single Audit Cover'!E7</f>
        <v>53090309016</v>
      </c>
      <c r="B2" s="2441"/>
      <c r="C2" s="2441"/>
      <c r="D2" s="2441"/>
      <c r="E2" s="2441"/>
    </row>
    <row r="3" spans="1:5" ht="4.5" customHeight="1" x14ac:dyDescent="0.2"/>
    <row r="4" spans="1:5" x14ac:dyDescent="0.2">
      <c r="A4" s="2440" t="s">
        <v>1245</v>
      </c>
      <c r="B4" s="2440"/>
      <c r="C4" s="2440"/>
      <c r="D4" s="2440"/>
      <c r="E4" s="2440"/>
    </row>
    <row r="5" spans="1:5" x14ac:dyDescent="0.2">
      <c r="A5" s="2443" t="str">
        <f>'Single Audit Cover'!A4</f>
        <v>Year Ending June 30, 2019</v>
      </c>
      <c r="B5" s="2443"/>
      <c r="C5" s="2443"/>
      <c r="D5" s="2443"/>
      <c r="E5" s="2443"/>
    </row>
    <row r="6" spans="1:5" x14ac:dyDescent="0.2">
      <c r="A6" s="2440" t="s">
        <v>1244</v>
      </c>
      <c r="B6" s="2440"/>
      <c r="C6" s="2440"/>
      <c r="D6" s="2440"/>
      <c r="E6" s="2440"/>
    </row>
    <row r="8" spans="1:5" x14ac:dyDescent="0.2">
      <c r="A8" s="1257" t="s">
        <v>1243</v>
      </c>
    </row>
    <row r="10" spans="1:5" x14ac:dyDescent="0.2">
      <c r="A10" s="1258" t="s">
        <v>1242</v>
      </c>
      <c r="B10" s="1259" t="s">
        <v>1241</v>
      </c>
      <c r="C10" s="1259"/>
      <c r="D10" s="1260">
        <f>SUM('Acct Summary 7-8'!C7:K7)</f>
        <v>827471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35409</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-39027</v>
      </c>
    </row>
    <row r="19" spans="1:4" ht="13.5" thickBot="1" x14ac:dyDescent="0.25">
      <c r="A19" s="1262" t="s">
        <v>1235</v>
      </c>
      <c r="D19" s="1263">
        <f>SUM(D10:D17)</f>
        <v>823853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2"/>
      <c r="B24" s="2442"/>
      <c r="D24" s="1265"/>
    </row>
    <row r="25" spans="1:4" x14ac:dyDescent="0.2">
      <c r="A25" s="2439"/>
      <c r="B25" s="2439"/>
      <c r="D25" s="1265"/>
    </row>
    <row r="26" spans="1:4" x14ac:dyDescent="0.2">
      <c r="A26" s="2439"/>
      <c r="B26" s="2439"/>
      <c r="D26" s="1265"/>
    </row>
    <row r="27" spans="1:4" x14ac:dyDescent="0.2">
      <c r="A27" s="2439"/>
      <c r="B27" s="2439"/>
      <c r="D27" s="1265"/>
    </row>
    <row r="28" spans="1:4" x14ac:dyDescent="0.2">
      <c r="A28" s="2439"/>
      <c r="B28" s="2439"/>
      <c r="D28" s="1265"/>
    </row>
    <row r="29" spans="1:4" x14ac:dyDescent="0.2">
      <c r="A29" s="2439"/>
      <c r="B29" s="2439"/>
      <c r="D29" s="1265"/>
    </row>
    <row r="30" spans="1:4" x14ac:dyDescent="0.2">
      <c r="A30" s="2439"/>
      <c r="B30" s="2439"/>
      <c r="D30" s="1265"/>
    </row>
    <row r="32" spans="1:4" x14ac:dyDescent="0.2">
      <c r="A32" s="1257" t="s">
        <v>1233</v>
      </c>
      <c r="D32" s="1260">
        <f>SUM(D19:D30)</f>
        <v>823853</v>
      </c>
    </row>
    <row r="33" spans="1:4" x14ac:dyDescent="0.2">
      <c r="D33" s="1266"/>
    </row>
    <row r="34" spans="1:4" x14ac:dyDescent="0.2">
      <c r="A34" s="317" t="s">
        <v>1232</v>
      </c>
    </row>
    <row r="35" spans="1:4" x14ac:dyDescent="0.2">
      <c r="A35" s="317" t="s">
        <v>1231</v>
      </c>
      <c r="B35" s="1255" t="s">
        <v>1230</v>
      </c>
      <c r="D35" s="1267">
        <f>+' SEFA'!F26</f>
        <v>823853</v>
      </c>
    </row>
    <row r="37" spans="1:4" x14ac:dyDescent="0.2">
      <c r="A37" s="1257" t="s">
        <v>1229</v>
      </c>
    </row>
    <row r="39" spans="1:4" ht="13.35" customHeight="1" x14ac:dyDescent="0.2">
      <c r="A39" s="1264" t="s">
        <v>1228</v>
      </c>
    </row>
    <row r="40" spans="1:4" x14ac:dyDescent="0.2">
      <c r="A40" s="2439"/>
      <c r="B40" s="2439"/>
      <c r="D40" s="1265"/>
    </row>
    <row r="41" spans="1:4" x14ac:dyDescent="0.2">
      <c r="A41" s="2439"/>
      <c r="B41" s="2439"/>
      <c r="D41" s="1268"/>
    </row>
    <row r="42" spans="1:4" x14ac:dyDescent="0.2">
      <c r="A42" s="2439"/>
      <c r="B42" s="2439"/>
      <c r="D42" s="1268"/>
    </row>
    <row r="43" spans="1:4" x14ac:dyDescent="0.2">
      <c r="A43" s="2439"/>
      <c r="B43" s="2439"/>
      <c r="D43" s="1268"/>
    </row>
    <row r="44" spans="1:4" x14ac:dyDescent="0.2">
      <c r="A44" s="2439"/>
      <c r="B44" s="2439"/>
      <c r="D44" s="1268"/>
    </row>
    <row r="45" spans="1:4" x14ac:dyDescent="0.2">
      <c r="A45" s="2439"/>
      <c r="B45" s="2439"/>
      <c r="D45" s="1268"/>
    </row>
    <row r="47" spans="1:4" x14ac:dyDescent="0.2">
      <c r="B47" s="1269" t="s">
        <v>1227</v>
      </c>
      <c r="C47" s="1269"/>
      <c r="D47" s="1270">
        <f>SUM(D35:D45)</f>
        <v>823853</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B22" sqref="B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1" t="str">
        <f>'Single Audit Cover'!A7</f>
        <v>East Peoria CHSD 309</v>
      </c>
      <c r="C1" s="2444"/>
      <c r="D1" s="2444"/>
      <c r="E1" s="2444"/>
      <c r="F1" s="2444"/>
      <c r="G1" s="2444"/>
      <c r="H1" s="2444"/>
      <c r="I1" s="2444"/>
      <c r="J1" s="2444"/>
      <c r="K1" s="2444"/>
      <c r="L1" s="2444"/>
      <c r="M1" s="2444"/>
    </row>
    <row r="2" spans="2:14" ht="15" x14ac:dyDescent="0.2">
      <c r="B2" s="2445">
        <f>'Single Audit Cover'!E7</f>
        <v>53090309016</v>
      </c>
      <c r="C2" s="2445"/>
      <c r="D2" s="2445"/>
      <c r="E2" s="2445"/>
      <c r="F2" s="2445"/>
      <c r="G2" s="2445"/>
      <c r="H2" s="2445"/>
      <c r="I2" s="2445"/>
      <c r="J2" s="2445"/>
      <c r="K2" s="2445"/>
      <c r="L2" s="2445"/>
      <c r="M2" s="2445"/>
      <c r="N2" s="1299"/>
    </row>
    <row r="3" spans="2:14" ht="15" x14ac:dyDescent="0.2">
      <c r="B3" s="2446" t="s">
        <v>1219</v>
      </c>
      <c r="C3" s="2446"/>
      <c r="D3" s="2446"/>
      <c r="E3" s="2446"/>
      <c r="F3" s="2446"/>
      <c r="G3" s="2446"/>
      <c r="H3" s="2446"/>
      <c r="I3" s="2446"/>
      <c r="J3" s="2446"/>
      <c r="K3" s="2446"/>
      <c r="L3" s="2446"/>
      <c r="M3" s="2446"/>
      <c r="N3" s="1299"/>
    </row>
    <row r="4" spans="2:14" ht="15" x14ac:dyDescent="0.2">
      <c r="B4" s="2447" t="str">
        <f>'Single Audit Cover'!A4</f>
        <v>Year Ending June 30, 2019</v>
      </c>
      <c r="C4" s="2447"/>
      <c r="D4" s="2447"/>
      <c r="E4" s="2447"/>
      <c r="F4" s="2447"/>
      <c r="G4" s="2447"/>
      <c r="H4" s="2447"/>
      <c r="I4" s="2447"/>
      <c r="J4" s="2447"/>
      <c r="K4" s="2447"/>
      <c r="L4" s="2447"/>
      <c r="M4" s="244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1837</v>
      </c>
      <c r="I8" s="1316" t="s">
        <v>1262</v>
      </c>
      <c r="J8" s="1315" t="s">
        <v>1987</v>
      </c>
      <c r="K8" s="1316" t="s">
        <v>1261</v>
      </c>
      <c r="L8" s="1317" t="s">
        <v>1257</v>
      </c>
      <c r="M8" s="1318" t="s">
        <v>30</v>
      </c>
    </row>
    <row r="9" spans="2:14" ht="14.25" x14ac:dyDescent="0.2">
      <c r="B9" s="1322" t="s">
        <v>1259</v>
      </c>
      <c r="C9" s="1310" t="s">
        <v>1733</v>
      </c>
      <c r="D9" s="1311" t="s">
        <v>1734</v>
      </c>
      <c r="E9" s="1319" t="s">
        <v>1837</v>
      </c>
      <c r="F9" s="1320" t="s">
        <v>1987</v>
      </c>
      <c r="G9" s="1321" t="s">
        <v>1837</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2119</v>
      </c>
      <c r="C11" s="1335"/>
      <c r="D11" s="1336"/>
      <c r="E11" s="1337"/>
      <c r="F11" s="1337"/>
      <c r="G11" s="1337"/>
      <c r="H11" s="1337"/>
      <c r="I11" s="1337"/>
      <c r="J11" s="1337"/>
      <c r="K11" s="1337"/>
      <c r="L11" s="1337"/>
      <c r="M11" s="1337"/>
    </row>
    <row r="12" spans="2:14" ht="20.100000000000001" customHeight="1" x14ac:dyDescent="0.2">
      <c r="B12" s="1334" t="s">
        <v>2120</v>
      </c>
      <c r="C12" s="1338"/>
      <c r="D12" s="1339"/>
      <c r="E12" s="1340"/>
      <c r="F12" s="1340"/>
      <c r="G12" s="1340"/>
      <c r="H12" s="1340"/>
      <c r="I12" s="1340"/>
      <c r="J12" s="1340"/>
      <c r="K12" s="1340"/>
      <c r="L12" s="1337"/>
      <c r="M12" s="1340"/>
    </row>
    <row r="13" spans="2:14" ht="20.100000000000001" customHeight="1" x14ac:dyDescent="0.2">
      <c r="B13" s="1334" t="s">
        <v>2121</v>
      </c>
      <c r="C13" s="1338">
        <v>10.555</v>
      </c>
      <c r="D13" s="1339" t="s">
        <v>2127</v>
      </c>
      <c r="E13" s="1945">
        <v>147531</v>
      </c>
      <c r="F13" s="1945">
        <v>57847</v>
      </c>
      <c r="G13" s="1945">
        <v>164135</v>
      </c>
      <c r="H13" s="1945"/>
      <c r="I13" s="1945">
        <v>41243</v>
      </c>
      <c r="J13" s="1945"/>
      <c r="K13" s="1945"/>
      <c r="L13" s="1946">
        <f t="shared" ref="L13:L25" si="0">+G13+I13+K13</f>
        <v>205378</v>
      </c>
      <c r="M13" s="1340" t="s">
        <v>2130</v>
      </c>
    </row>
    <row r="14" spans="2:14" ht="20.100000000000001" customHeight="1" x14ac:dyDescent="0.2">
      <c r="B14" s="1334" t="s">
        <v>2121</v>
      </c>
      <c r="C14" s="1338">
        <v>10.555</v>
      </c>
      <c r="D14" s="1339" t="s">
        <v>2128</v>
      </c>
      <c r="E14" s="1940"/>
      <c r="F14" s="1940">
        <v>160914</v>
      </c>
      <c r="G14" s="1940"/>
      <c r="H14" s="1940"/>
      <c r="I14" s="1940">
        <v>160914</v>
      </c>
      <c r="J14" s="1940"/>
      <c r="K14" s="1940"/>
      <c r="L14" s="1941">
        <f t="shared" si="0"/>
        <v>160914</v>
      </c>
      <c r="M14" s="1340" t="s">
        <v>2130</v>
      </c>
    </row>
    <row r="15" spans="2:14" ht="20.100000000000001" customHeight="1" x14ac:dyDescent="0.2">
      <c r="B15" s="1334" t="s">
        <v>2122</v>
      </c>
      <c r="C15" s="1338">
        <v>10.553000000000001</v>
      </c>
      <c r="D15" s="1339" t="s">
        <v>2129</v>
      </c>
      <c r="E15" s="1940">
        <v>25519</v>
      </c>
      <c r="F15" s="1940">
        <v>8117</v>
      </c>
      <c r="G15" s="1940">
        <v>28511</v>
      </c>
      <c r="H15" s="1940"/>
      <c r="I15" s="1940">
        <v>5125</v>
      </c>
      <c r="J15" s="1940"/>
      <c r="K15" s="1940"/>
      <c r="L15" s="1941">
        <f t="shared" si="0"/>
        <v>33636</v>
      </c>
      <c r="M15" s="1340" t="s">
        <v>2130</v>
      </c>
    </row>
    <row r="16" spans="2:14" ht="20.100000000000001" customHeight="1" x14ac:dyDescent="0.2">
      <c r="B16" s="1334" t="s">
        <v>2122</v>
      </c>
      <c r="C16" s="1338">
        <v>10.553000000000001</v>
      </c>
      <c r="D16" s="1339" t="s">
        <v>2164</v>
      </c>
      <c r="E16" s="1940"/>
      <c r="F16" s="1940">
        <v>26934</v>
      </c>
      <c r="G16" s="1940"/>
      <c r="H16" s="1940"/>
      <c r="I16" s="1940">
        <v>26934</v>
      </c>
      <c r="J16" s="1940"/>
      <c r="K16" s="1940"/>
      <c r="L16" s="1941">
        <f t="shared" si="0"/>
        <v>26934</v>
      </c>
      <c r="M16" s="1340" t="s">
        <v>2130</v>
      </c>
    </row>
    <row r="17" spans="2:14" ht="20.100000000000001" customHeight="1" x14ac:dyDescent="0.2">
      <c r="B17" s="1334" t="s">
        <v>2123</v>
      </c>
      <c r="C17" s="1338">
        <v>10.555</v>
      </c>
      <c r="D17" s="1339" t="s">
        <v>2130</v>
      </c>
      <c r="E17" s="1940">
        <v>14958</v>
      </c>
      <c r="F17" s="1940"/>
      <c r="G17" s="1940">
        <v>14958</v>
      </c>
      <c r="H17" s="1940"/>
      <c r="I17" s="1940"/>
      <c r="J17" s="1940"/>
      <c r="K17" s="1940"/>
      <c r="L17" s="1941">
        <f t="shared" si="0"/>
        <v>14958</v>
      </c>
      <c r="M17" s="1340" t="s">
        <v>2130</v>
      </c>
    </row>
    <row r="18" spans="2:14" ht="20.100000000000001" customHeight="1" x14ac:dyDescent="0.2">
      <c r="B18" s="1334" t="s">
        <v>2123</v>
      </c>
      <c r="C18" s="1338">
        <v>10.555</v>
      </c>
      <c r="D18" s="1339" t="s">
        <v>2130</v>
      </c>
      <c r="E18" s="1940"/>
      <c r="F18" s="1940">
        <v>19240</v>
      </c>
      <c r="G18" s="1940"/>
      <c r="H18" s="1940"/>
      <c r="I18" s="1940">
        <v>19240</v>
      </c>
      <c r="J18" s="1940"/>
      <c r="K18" s="1940"/>
      <c r="L18" s="1941">
        <f t="shared" si="0"/>
        <v>19240</v>
      </c>
      <c r="M18" s="1340" t="s">
        <v>2130</v>
      </c>
    </row>
    <row r="19" spans="2:14" ht="20.100000000000001" customHeight="1" x14ac:dyDescent="0.2">
      <c r="B19" s="1334" t="s">
        <v>2124</v>
      </c>
      <c r="C19" s="1338">
        <v>10.555</v>
      </c>
      <c r="D19" s="1339" t="s">
        <v>2130</v>
      </c>
      <c r="E19" s="1940">
        <v>19125</v>
      </c>
      <c r="F19" s="1940"/>
      <c r="G19" s="1940">
        <v>19125</v>
      </c>
      <c r="H19" s="1940"/>
      <c r="I19" s="1940"/>
      <c r="J19" s="1940"/>
      <c r="K19" s="1940"/>
      <c r="L19" s="1941">
        <f t="shared" si="0"/>
        <v>19125</v>
      </c>
      <c r="M19" s="1340" t="s">
        <v>2130</v>
      </c>
    </row>
    <row r="20" spans="2:14" ht="20.100000000000001" customHeight="1" x14ac:dyDescent="0.2">
      <c r="B20" s="1334" t="s">
        <v>2124</v>
      </c>
      <c r="C20" s="1338">
        <v>10.555</v>
      </c>
      <c r="D20" s="1339" t="s">
        <v>2130</v>
      </c>
      <c r="E20" s="1940"/>
      <c r="F20" s="1940">
        <v>16169</v>
      </c>
      <c r="G20" s="1940"/>
      <c r="H20" s="1940"/>
      <c r="I20" s="1940">
        <v>16169</v>
      </c>
      <c r="J20" s="1940"/>
      <c r="K20" s="1940"/>
      <c r="L20" s="1941">
        <f t="shared" si="0"/>
        <v>16169</v>
      </c>
      <c r="M20" s="1340" t="s">
        <v>2130</v>
      </c>
    </row>
    <row r="21" spans="2:14" ht="20.100000000000001" customHeight="1" x14ac:dyDescent="0.2">
      <c r="B21" s="1334" t="s">
        <v>2125</v>
      </c>
      <c r="C21" s="1338"/>
      <c r="D21" s="1339"/>
      <c r="E21" s="1942"/>
      <c r="F21" s="1942"/>
      <c r="G21" s="1942"/>
      <c r="H21" s="1942"/>
      <c r="I21" s="1942"/>
      <c r="J21" s="1942"/>
      <c r="K21" s="1942"/>
      <c r="L21" s="1943"/>
      <c r="M21" s="1340"/>
    </row>
    <row r="22" spans="2:14" ht="20.100000000000001" customHeight="1" x14ac:dyDescent="0.2">
      <c r="B22" s="1334" t="s">
        <v>2126</v>
      </c>
      <c r="C22" s="1338"/>
      <c r="D22" s="1339"/>
      <c r="E22" s="1944">
        <f>SUM(E13:E21)</f>
        <v>207133</v>
      </c>
      <c r="F22" s="1944">
        <f t="shared" ref="F22:L22" si="1">SUM(F13:F21)</f>
        <v>289221</v>
      </c>
      <c r="G22" s="1944">
        <f t="shared" si="1"/>
        <v>226729</v>
      </c>
      <c r="H22" s="1944">
        <f t="shared" si="1"/>
        <v>0</v>
      </c>
      <c r="I22" s="1944">
        <f t="shared" si="1"/>
        <v>269625</v>
      </c>
      <c r="J22" s="1944">
        <f t="shared" si="1"/>
        <v>0</v>
      </c>
      <c r="K22" s="1944">
        <f t="shared" si="1"/>
        <v>0</v>
      </c>
      <c r="L22" s="1944">
        <f t="shared" si="1"/>
        <v>496354</v>
      </c>
      <c r="M22" s="1340"/>
    </row>
    <row r="23" spans="2:14" ht="20.100000000000001" customHeight="1" x14ac:dyDescent="0.2">
      <c r="B23" s="1334"/>
      <c r="C23" s="1338"/>
      <c r="D23" s="1339"/>
      <c r="E23" s="1337"/>
      <c r="F23" s="1337"/>
      <c r="G23" s="1337"/>
      <c r="H23" s="1337"/>
      <c r="I23" s="1337"/>
      <c r="J23" s="1337"/>
      <c r="K23" s="1337"/>
      <c r="L23" s="1337"/>
      <c r="M23" s="1340"/>
    </row>
    <row r="24" spans="2:14" ht="20.100000000000001" customHeight="1" x14ac:dyDescent="0.2">
      <c r="B24" s="1334" t="s">
        <v>2145</v>
      </c>
      <c r="C24" s="1338"/>
      <c r="D24" s="1339"/>
      <c r="E24" s="1940">
        <f>+' SEFA (2)'!E26</f>
        <v>209619</v>
      </c>
      <c r="F24" s="1940">
        <f>+' SEFA (2)'!F26</f>
        <v>385475</v>
      </c>
      <c r="G24" s="1940">
        <f>+' SEFA (2)'!G26</f>
        <v>327033</v>
      </c>
      <c r="H24" s="1940">
        <f>+' SEFA (2)'!H26</f>
        <v>0</v>
      </c>
      <c r="I24" s="1940">
        <f>+' SEFA (2)'!I26</f>
        <v>435440</v>
      </c>
      <c r="J24" s="1940">
        <f>+' SEFA (2)'!J26</f>
        <v>0</v>
      </c>
      <c r="K24" s="1940">
        <f>+' SEFA (2)'!K26</f>
        <v>0</v>
      </c>
      <c r="L24" s="1941">
        <f t="shared" si="0"/>
        <v>762473</v>
      </c>
      <c r="M24" s="1340"/>
    </row>
    <row r="25" spans="2:14" ht="20.100000000000001" customHeight="1" x14ac:dyDescent="0.2">
      <c r="B25" s="1334" t="s">
        <v>2160</v>
      </c>
      <c r="C25" s="1338"/>
      <c r="D25" s="1339"/>
      <c r="E25" s="1942">
        <f>+' SEFA (3)'!E24</f>
        <v>128964</v>
      </c>
      <c r="F25" s="1940">
        <f>+' SEFA (3)'!F24</f>
        <v>149157</v>
      </c>
      <c r="G25" s="1940">
        <f>+' SEFA (3)'!G24</f>
        <v>136432</v>
      </c>
      <c r="H25" s="1940">
        <f>+' SEFA (3)'!H24</f>
        <v>0</v>
      </c>
      <c r="I25" s="1940">
        <f>+' SEFA (3)'!I24</f>
        <v>141689</v>
      </c>
      <c r="J25" s="1940">
        <f>+' SEFA (3)'!J24</f>
        <v>0</v>
      </c>
      <c r="K25" s="1940">
        <f>+' SEFA (3)'!K24</f>
        <v>0</v>
      </c>
      <c r="L25" s="1941">
        <f t="shared" si="0"/>
        <v>278121</v>
      </c>
      <c r="M25" s="1340"/>
    </row>
    <row r="26" spans="2:14" ht="20.100000000000001" customHeight="1" thickBot="1" x14ac:dyDescent="0.25">
      <c r="B26" s="1334" t="s">
        <v>2161</v>
      </c>
      <c r="C26" s="1338"/>
      <c r="D26" s="1339"/>
      <c r="E26" s="1947">
        <f>SUM(E22:E25)</f>
        <v>545716</v>
      </c>
      <c r="F26" s="1947">
        <f t="shared" ref="F26:L26" si="2">SUM(F22:F25)</f>
        <v>823853</v>
      </c>
      <c r="G26" s="1947">
        <f t="shared" si="2"/>
        <v>690194</v>
      </c>
      <c r="H26" s="1947">
        <f t="shared" si="2"/>
        <v>0</v>
      </c>
      <c r="I26" s="1947">
        <f t="shared" si="2"/>
        <v>846754</v>
      </c>
      <c r="J26" s="1947">
        <f t="shared" si="2"/>
        <v>0</v>
      </c>
      <c r="K26" s="1947">
        <f t="shared" si="2"/>
        <v>0</v>
      </c>
      <c r="L26" s="1947">
        <f t="shared" si="2"/>
        <v>1536948</v>
      </c>
      <c r="M26" s="1340"/>
    </row>
    <row r="27" spans="2:14" ht="20.100000000000001" customHeight="1" thickTop="1" x14ac:dyDescent="0.2">
      <c r="B27" s="1334"/>
      <c r="C27" s="1338"/>
      <c r="D27" s="1339"/>
      <c r="E27" s="1337"/>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7" zoomScaleNormal="100" workbookViewId="0">
      <selection activeCell="I13" sqref="I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1" t="str">
        <f>'Single Audit Cover'!A7</f>
        <v>East Peoria CHSD 309</v>
      </c>
      <c r="C1" s="2444"/>
      <c r="D1" s="2444"/>
      <c r="E1" s="2444"/>
      <c r="F1" s="2444"/>
      <c r="G1" s="2444"/>
      <c r="H1" s="2444"/>
      <c r="I1" s="2444"/>
      <c r="J1" s="2444"/>
      <c r="K1" s="2444"/>
      <c r="L1" s="2444"/>
      <c r="M1" s="2444"/>
    </row>
    <row r="2" spans="2:14" ht="15" x14ac:dyDescent="0.2">
      <c r="B2" s="2445">
        <f>'Single Audit Cover'!E7</f>
        <v>53090309016</v>
      </c>
      <c r="C2" s="2445"/>
      <c r="D2" s="2445"/>
      <c r="E2" s="2445"/>
      <c r="F2" s="2445"/>
      <c r="G2" s="2445"/>
      <c r="H2" s="2445"/>
      <c r="I2" s="2445"/>
      <c r="J2" s="2445"/>
      <c r="K2" s="2445"/>
      <c r="L2" s="2445"/>
      <c r="M2" s="2445"/>
      <c r="N2" s="1299"/>
    </row>
    <row r="3" spans="2:14" ht="15" x14ac:dyDescent="0.2">
      <c r="B3" s="2446" t="s">
        <v>1219</v>
      </c>
      <c r="C3" s="2446"/>
      <c r="D3" s="2446"/>
      <c r="E3" s="2446"/>
      <c r="F3" s="2446"/>
      <c r="G3" s="2446"/>
      <c r="H3" s="2446"/>
      <c r="I3" s="2446"/>
      <c r="J3" s="2446"/>
      <c r="K3" s="2446"/>
      <c r="L3" s="2446"/>
      <c r="M3" s="2446"/>
      <c r="N3" s="1299"/>
    </row>
    <row r="4" spans="2:14" ht="15" x14ac:dyDescent="0.2">
      <c r="B4" s="2447" t="str">
        <f>'Single Audit Cover'!A4</f>
        <v>Year Ending June 30, 2019</v>
      </c>
      <c r="C4" s="2447"/>
      <c r="D4" s="2447"/>
      <c r="E4" s="2447"/>
      <c r="F4" s="2447"/>
      <c r="G4" s="2447"/>
      <c r="H4" s="2447"/>
      <c r="I4" s="2447"/>
      <c r="J4" s="2447"/>
      <c r="K4" s="2447"/>
      <c r="L4" s="2447"/>
      <c r="M4" s="244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1837</v>
      </c>
      <c r="I8" s="1316" t="s">
        <v>1262</v>
      </c>
      <c r="J8" s="1315" t="s">
        <v>1987</v>
      </c>
      <c r="K8" s="1316" t="s">
        <v>1261</v>
      </c>
      <c r="L8" s="1317" t="s">
        <v>1257</v>
      </c>
      <c r="M8" s="1318" t="s">
        <v>30</v>
      </c>
    </row>
    <row r="9" spans="2:14" ht="14.25" x14ac:dyDescent="0.2">
      <c r="B9" s="1322" t="s">
        <v>1259</v>
      </c>
      <c r="C9" s="1310" t="s">
        <v>1733</v>
      </c>
      <c r="D9" s="1311" t="s">
        <v>1734</v>
      </c>
      <c r="E9" s="1319" t="s">
        <v>1837</v>
      </c>
      <c r="F9" s="1320" t="s">
        <v>1987</v>
      </c>
      <c r="G9" s="1321" t="s">
        <v>1837</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2131</v>
      </c>
      <c r="C11" s="1335"/>
      <c r="D11" s="1336"/>
      <c r="E11" s="1337"/>
      <c r="F11" s="1337"/>
      <c r="G11" s="1337"/>
      <c r="H11" s="1337"/>
      <c r="I11" s="1337"/>
      <c r="J11" s="1337"/>
      <c r="K11" s="1337"/>
      <c r="L11" s="1337"/>
      <c r="M11" s="1337"/>
    </row>
    <row r="12" spans="2:14" ht="20.100000000000001" customHeight="1" x14ac:dyDescent="0.2">
      <c r="B12" s="1334" t="s">
        <v>2120</v>
      </c>
      <c r="C12" s="1338"/>
      <c r="D12" s="1339"/>
      <c r="E12" s="1340"/>
      <c r="F12" s="1340"/>
      <c r="G12" s="1340"/>
      <c r="H12" s="1340"/>
      <c r="I12" s="1340"/>
      <c r="J12" s="1340"/>
      <c r="K12" s="1340"/>
      <c r="L12" s="1337"/>
      <c r="M12" s="1340"/>
    </row>
    <row r="13" spans="2:14" ht="20.100000000000001" customHeight="1" x14ac:dyDescent="0.2">
      <c r="B13" s="1334" t="s">
        <v>2132</v>
      </c>
      <c r="C13" s="1338">
        <v>84.01</v>
      </c>
      <c r="D13" s="1339" t="s">
        <v>2134</v>
      </c>
      <c r="E13" s="1945">
        <v>131330</v>
      </c>
      <c r="F13" s="1945">
        <v>81748</v>
      </c>
      <c r="G13" s="1945">
        <v>213078</v>
      </c>
      <c r="H13" s="1945"/>
      <c r="I13" s="1945">
        <v>0</v>
      </c>
      <c r="J13" s="1945"/>
      <c r="K13" s="1945"/>
      <c r="L13" s="1946">
        <f t="shared" ref="L13:L22" si="0">+G13+I13+K13</f>
        <v>213078</v>
      </c>
      <c r="M13" s="1945">
        <v>266106</v>
      </c>
    </row>
    <row r="14" spans="2:14" ht="20.100000000000001" customHeight="1" x14ac:dyDescent="0.2">
      <c r="B14" s="1334" t="s">
        <v>2132</v>
      </c>
      <c r="C14" s="1338">
        <v>84.01</v>
      </c>
      <c r="D14" s="1339" t="s">
        <v>2135</v>
      </c>
      <c r="E14" s="1942"/>
      <c r="F14" s="1942">
        <v>146374</v>
      </c>
      <c r="G14" s="1942"/>
      <c r="H14" s="1942"/>
      <c r="I14" s="1942">
        <v>284149</v>
      </c>
      <c r="J14" s="1942"/>
      <c r="K14" s="1942"/>
      <c r="L14" s="1943">
        <f t="shared" si="0"/>
        <v>284149</v>
      </c>
      <c r="M14" s="1940">
        <v>284149</v>
      </c>
    </row>
    <row r="15" spans="2:14" ht="20.100000000000001" customHeight="1" x14ac:dyDescent="0.2">
      <c r="B15" s="1334" t="s">
        <v>2133</v>
      </c>
      <c r="C15" s="1338"/>
      <c r="D15" s="1339"/>
      <c r="E15" s="1944">
        <f>+E13+E14</f>
        <v>131330</v>
      </c>
      <c r="F15" s="1944">
        <f t="shared" ref="F15:L15" si="1">+F13+F14</f>
        <v>228122</v>
      </c>
      <c r="G15" s="1944">
        <f t="shared" si="1"/>
        <v>213078</v>
      </c>
      <c r="H15" s="1944">
        <f t="shared" si="1"/>
        <v>0</v>
      </c>
      <c r="I15" s="1944">
        <f t="shared" si="1"/>
        <v>284149</v>
      </c>
      <c r="J15" s="1944">
        <f t="shared" si="1"/>
        <v>0</v>
      </c>
      <c r="K15" s="1944">
        <f t="shared" si="1"/>
        <v>0</v>
      </c>
      <c r="L15" s="1944">
        <f t="shared" si="1"/>
        <v>497227</v>
      </c>
      <c r="M15" s="1940"/>
    </row>
    <row r="16" spans="2:14" ht="20.100000000000001" customHeight="1" x14ac:dyDescent="0.2">
      <c r="B16" s="1334"/>
      <c r="C16" s="1338"/>
      <c r="D16" s="1339"/>
      <c r="E16" s="1941"/>
      <c r="F16" s="1941"/>
      <c r="G16" s="1941"/>
      <c r="H16" s="1941"/>
      <c r="I16" s="1941"/>
      <c r="J16" s="1941"/>
      <c r="K16" s="1941"/>
      <c r="L16" s="1941"/>
      <c r="M16" s="1940"/>
    </row>
    <row r="17" spans="2:14" ht="20.100000000000001" customHeight="1" x14ac:dyDescent="0.2">
      <c r="B17" s="1334" t="s">
        <v>2136</v>
      </c>
      <c r="C17" s="1338">
        <v>84.367000000000004</v>
      </c>
      <c r="D17" s="1339" t="s">
        <v>2140</v>
      </c>
      <c r="E17" s="1940"/>
      <c r="F17" s="1940">
        <v>4511</v>
      </c>
      <c r="G17" s="1940">
        <v>4511</v>
      </c>
      <c r="H17" s="1940"/>
      <c r="I17" s="1940"/>
      <c r="J17" s="1940"/>
      <c r="K17" s="1940"/>
      <c r="L17" s="1941">
        <f t="shared" si="0"/>
        <v>4511</v>
      </c>
      <c r="M17" s="1940">
        <v>4511</v>
      </c>
    </row>
    <row r="18" spans="2:14" ht="20.100000000000001" customHeight="1" x14ac:dyDescent="0.2">
      <c r="B18" s="1334" t="s">
        <v>2136</v>
      </c>
      <c r="C18" s="1338">
        <v>84.367000000000004</v>
      </c>
      <c r="D18" s="1339" t="s">
        <v>2141</v>
      </c>
      <c r="E18" s="1942"/>
      <c r="F18" s="1942"/>
      <c r="G18" s="1942"/>
      <c r="H18" s="1942"/>
      <c r="I18" s="1942">
        <v>6523</v>
      </c>
      <c r="J18" s="1942"/>
      <c r="K18" s="1942"/>
      <c r="L18" s="1943">
        <f t="shared" si="0"/>
        <v>6523</v>
      </c>
      <c r="M18" s="1940">
        <v>8643</v>
      </c>
    </row>
    <row r="19" spans="2:14" ht="20.100000000000001" customHeight="1" x14ac:dyDescent="0.2">
      <c r="B19" s="1334" t="s">
        <v>2137</v>
      </c>
      <c r="C19" s="1338"/>
      <c r="D19" s="1339"/>
      <c r="E19" s="1944">
        <f>+E17+E18</f>
        <v>0</v>
      </c>
      <c r="F19" s="1944">
        <f t="shared" ref="F19:L19" si="2">+F17+F18</f>
        <v>4511</v>
      </c>
      <c r="G19" s="1944">
        <f t="shared" si="2"/>
        <v>4511</v>
      </c>
      <c r="H19" s="1944">
        <f t="shared" si="2"/>
        <v>0</v>
      </c>
      <c r="I19" s="1944">
        <f t="shared" si="2"/>
        <v>6523</v>
      </c>
      <c r="J19" s="1944">
        <f t="shared" si="2"/>
        <v>0</v>
      </c>
      <c r="K19" s="1944">
        <f t="shared" si="2"/>
        <v>0</v>
      </c>
      <c r="L19" s="1944">
        <f t="shared" si="2"/>
        <v>11034</v>
      </c>
      <c r="M19" s="1940"/>
    </row>
    <row r="20" spans="2:14" ht="20.100000000000001" customHeight="1" x14ac:dyDescent="0.2">
      <c r="B20" s="1334"/>
      <c r="C20" s="1338"/>
      <c r="D20" s="1339"/>
      <c r="E20" s="1941"/>
      <c r="F20" s="1941"/>
      <c r="G20" s="1941"/>
      <c r="H20" s="1941"/>
      <c r="I20" s="1941"/>
      <c r="J20" s="1941"/>
      <c r="K20" s="1941"/>
      <c r="L20" s="1941"/>
      <c r="M20" s="1940"/>
    </row>
    <row r="21" spans="2:14" ht="20.100000000000001" customHeight="1" x14ac:dyDescent="0.2">
      <c r="B21" s="1334" t="s">
        <v>2138</v>
      </c>
      <c r="C21" s="1338">
        <v>84.027000000000001</v>
      </c>
      <c r="D21" s="1339" t="s">
        <v>2142</v>
      </c>
      <c r="E21" s="1940">
        <v>78289</v>
      </c>
      <c r="F21" s="1940">
        <v>53978</v>
      </c>
      <c r="G21" s="1940">
        <v>109444</v>
      </c>
      <c r="H21" s="1940"/>
      <c r="I21" s="1940">
        <v>22823</v>
      </c>
      <c r="J21" s="1940"/>
      <c r="K21" s="1940"/>
      <c r="L21" s="1941">
        <f t="shared" si="0"/>
        <v>132267</v>
      </c>
      <c r="M21" s="1940" t="s">
        <v>2130</v>
      </c>
    </row>
    <row r="22" spans="2:14" ht="20.100000000000001" customHeight="1" x14ac:dyDescent="0.2">
      <c r="B22" s="1334" t="s">
        <v>2138</v>
      </c>
      <c r="C22" s="1338">
        <v>84.027000000000001</v>
      </c>
      <c r="D22" s="1339" t="s">
        <v>2143</v>
      </c>
      <c r="E22" s="1942"/>
      <c r="F22" s="1942">
        <v>98864</v>
      </c>
      <c r="G22" s="1942"/>
      <c r="H22" s="1942"/>
      <c r="I22" s="1942">
        <v>121945</v>
      </c>
      <c r="J22" s="1942"/>
      <c r="K22" s="1942"/>
      <c r="L22" s="1943">
        <f t="shared" si="0"/>
        <v>121945</v>
      </c>
      <c r="M22" s="1940" t="s">
        <v>2130</v>
      </c>
    </row>
    <row r="23" spans="2:14" ht="20.100000000000001" customHeight="1" x14ac:dyDescent="0.2">
      <c r="B23" s="1334" t="s">
        <v>2139</v>
      </c>
      <c r="C23" s="1338"/>
      <c r="D23" s="1339"/>
      <c r="E23" s="1944">
        <f>+E21+E22</f>
        <v>78289</v>
      </c>
      <c r="F23" s="1944">
        <f t="shared" ref="F23:L23" si="3">+F21+F22</f>
        <v>152842</v>
      </c>
      <c r="G23" s="1944">
        <f t="shared" si="3"/>
        <v>109444</v>
      </c>
      <c r="H23" s="1944">
        <f t="shared" si="3"/>
        <v>0</v>
      </c>
      <c r="I23" s="1944">
        <f t="shared" si="3"/>
        <v>144768</v>
      </c>
      <c r="J23" s="1944">
        <f t="shared" si="3"/>
        <v>0</v>
      </c>
      <c r="K23" s="1944">
        <f t="shared" si="3"/>
        <v>0</v>
      </c>
      <c r="L23" s="1944">
        <f t="shared" si="3"/>
        <v>254212</v>
      </c>
      <c r="M23" s="1940"/>
    </row>
    <row r="24" spans="2:14" ht="20.100000000000001" customHeight="1" x14ac:dyDescent="0.2">
      <c r="B24" s="1334"/>
      <c r="C24" s="1338"/>
      <c r="D24" s="1339"/>
      <c r="E24" s="1941"/>
      <c r="F24" s="1941"/>
      <c r="G24" s="1941"/>
      <c r="H24" s="1941"/>
      <c r="I24" s="1941"/>
      <c r="J24" s="1941"/>
      <c r="K24" s="1941"/>
      <c r="L24" s="1941"/>
      <c r="M24" s="1940"/>
    </row>
    <row r="25" spans="2:14" ht="20.100000000000001" customHeight="1" x14ac:dyDescent="0.2">
      <c r="B25" s="1334" t="s">
        <v>2144</v>
      </c>
      <c r="C25" s="1338"/>
      <c r="D25" s="1339"/>
      <c r="E25" s="1942"/>
      <c r="F25" s="1942"/>
      <c r="G25" s="1942"/>
      <c r="H25" s="1942"/>
      <c r="I25" s="1942"/>
      <c r="J25" s="1942"/>
      <c r="K25" s="1942"/>
      <c r="L25" s="1943"/>
      <c r="M25" s="1940"/>
    </row>
    <row r="26" spans="2:14" ht="20.100000000000001" customHeight="1" x14ac:dyDescent="0.2">
      <c r="B26" s="1334" t="s">
        <v>2145</v>
      </c>
      <c r="C26" s="1338"/>
      <c r="D26" s="1339"/>
      <c r="E26" s="1948">
        <f>+E15+E19+E23</f>
        <v>209619</v>
      </c>
      <c r="F26" s="1948">
        <f t="shared" ref="F26:L26" si="4">+F15+F19+F23</f>
        <v>385475</v>
      </c>
      <c r="G26" s="1948">
        <f t="shared" si="4"/>
        <v>327033</v>
      </c>
      <c r="H26" s="1948">
        <f t="shared" si="4"/>
        <v>0</v>
      </c>
      <c r="I26" s="1948">
        <f t="shared" si="4"/>
        <v>435440</v>
      </c>
      <c r="J26" s="1948">
        <f t="shared" si="4"/>
        <v>0</v>
      </c>
      <c r="K26" s="1948">
        <f t="shared" si="4"/>
        <v>0</v>
      </c>
      <c r="L26" s="1948">
        <f t="shared" si="4"/>
        <v>762473</v>
      </c>
      <c r="M26" s="1940"/>
    </row>
    <row r="27" spans="2:14" ht="20.100000000000001" customHeight="1" x14ac:dyDescent="0.2">
      <c r="B27" s="1334"/>
      <c r="C27" s="1338"/>
      <c r="D27" s="1339"/>
      <c r="E27" s="1941"/>
      <c r="F27" s="1941"/>
      <c r="G27" s="1941"/>
      <c r="H27" s="1941"/>
      <c r="I27" s="1941"/>
      <c r="J27" s="1941"/>
      <c r="K27" s="1941"/>
      <c r="L27" s="1941"/>
      <c r="M27" s="19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40.1&amp;R&amp;8Page 40.1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B614-EBD9-44F0-925D-D9A30EA7EC20}">
  <dimension ref="A1"/>
  <sheetViews>
    <sheetView workbookViewId="0"/>
  </sheetViews>
  <sheetFormatPr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K11" sqref="K1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1" t="str">
        <f>'Single Audit Cover'!A7</f>
        <v>East Peoria CHSD 309</v>
      </c>
      <c r="C1" s="2444"/>
      <c r="D1" s="2444"/>
      <c r="E1" s="2444"/>
      <c r="F1" s="2444"/>
      <c r="G1" s="2444"/>
      <c r="H1" s="2444"/>
      <c r="I1" s="2444"/>
      <c r="J1" s="2444"/>
      <c r="K1" s="2444"/>
      <c r="L1" s="2444"/>
      <c r="M1" s="2444"/>
    </row>
    <row r="2" spans="2:14" ht="15" x14ac:dyDescent="0.2">
      <c r="B2" s="2445">
        <f>'Single Audit Cover'!E7</f>
        <v>53090309016</v>
      </c>
      <c r="C2" s="2445"/>
      <c r="D2" s="2445"/>
      <c r="E2" s="2445"/>
      <c r="F2" s="2445"/>
      <c r="G2" s="2445"/>
      <c r="H2" s="2445"/>
      <c r="I2" s="2445"/>
      <c r="J2" s="2445"/>
      <c r="K2" s="2445"/>
      <c r="L2" s="2445"/>
      <c r="M2" s="2445"/>
      <c r="N2" s="1299"/>
    </row>
    <row r="3" spans="2:14" ht="15" x14ac:dyDescent="0.2">
      <c r="B3" s="2446" t="s">
        <v>1219</v>
      </c>
      <c r="C3" s="2446"/>
      <c r="D3" s="2446"/>
      <c r="E3" s="2446"/>
      <c r="F3" s="2446"/>
      <c r="G3" s="2446"/>
      <c r="H3" s="2446"/>
      <c r="I3" s="2446"/>
      <c r="J3" s="2446"/>
      <c r="K3" s="2446"/>
      <c r="L3" s="2446"/>
      <c r="M3" s="2446"/>
      <c r="N3" s="1299"/>
    </row>
    <row r="4" spans="2:14" ht="15" x14ac:dyDescent="0.2">
      <c r="B4" s="2447" t="str">
        <f>'Single Audit Cover'!A4</f>
        <v>Year Ending June 30, 2019</v>
      </c>
      <c r="C4" s="2447"/>
      <c r="D4" s="2447"/>
      <c r="E4" s="2447"/>
      <c r="F4" s="2447"/>
      <c r="G4" s="2447"/>
      <c r="H4" s="2447"/>
      <c r="I4" s="2447"/>
      <c r="J4" s="2447"/>
      <c r="K4" s="2447"/>
      <c r="L4" s="2447"/>
      <c r="M4" s="244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1837</v>
      </c>
      <c r="I8" s="1316" t="s">
        <v>1262</v>
      </c>
      <c r="J8" s="1315" t="s">
        <v>1987</v>
      </c>
      <c r="K8" s="1316" t="s">
        <v>1261</v>
      </c>
      <c r="L8" s="1317" t="s">
        <v>1257</v>
      </c>
      <c r="M8" s="1318" t="s">
        <v>30</v>
      </c>
    </row>
    <row r="9" spans="2:14" ht="14.25" x14ac:dyDescent="0.2">
      <c r="B9" s="1322" t="s">
        <v>1259</v>
      </c>
      <c r="C9" s="1310" t="s">
        <v>1733</v>
      </c>
      <c r="D9" s="1311" t="s">
        <v>1734</v>
      </c>
      <c r="E9" s="1319" t="s">
        <v>1837</v>
      </c>
      <c r="F9" s="1320" t="s">
        <v>1987</v>
      </c>
      <c r="G9" s="1321" t="s">
        <v>1837</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2146</v>
      </c>
      <c r="C11" s="1335"/>
      <c r="D11" s="1336"/>
      <c r="E11" s="1946">
        <f>+' SEFA (2)'!E26+' SEFA'!E22</f>
        <v>416752</v>
      </c>
      <c r="F11" s="1946">
        <f>+' SEFA (2)'!F26+' SEFA'!F22</f>
        <v>674696</v>
      </c>
      <c r="G11" s="1946">
        <f>+' SEFA (2)'!G26+' SEFA'!G22</f>
        <v>553762</v>
      </c>
      <c r="H11" s="1946"/>
      <c r="I11" s="1946">
        <f>+' SEFA (2)'!I26+' SEFA'!I22</f>
        <v>705065</v>
      </c>
      <c r="J11" s="1946"/>
      <c r="K11" s="1946"/>
      <c r="L11" s="1946">
        <f>+' SEFA (2)'!L26+' SEFA'!L22</f>
        <v>1258827</v>
      </c>
      <c r="M11" s="1337"/>
    </row>
    <row r="12" spans="2:14" ht="20.100000000000001" customHeight="1" x14ac:dyDescent="0.2">
      <c r="B12" s="1334"/>
      <c r="C12" s="1338"/>
      <c r="D12" s="1339"/>
      <c r="E12" s="1340"/>
      <c r="F12" s="1340"/>
      <c r="G12" s="1340"/>
      <c r="H12" s="1340"/>
      <c r="I12" s="1340"/>
      <c r="J12" s="1340"/>
      <c r="K12" s="1340"/>
      <c r="L12" s="1337"/>
      <c r="M12" s="1340"/>
    </row>
    <row r="13" spans="2:14" ht="20.100000000000001" customHeight="1" x14ac:dyDescent="0.2">
      <c r="B13" s="1334" t="s">
        <v>2131</v>
      </c>
      <c r="C13" s="1338"/>
      <c r="D13" s="1339"/>
      <c r="E13" s="1340"/>
      <c r="F13" s="1340"/>
      <c r="G13" s="1340"/>
      <c r="H13" s="1340"/>
      <c r="I13" s="1340"/>
      <c r="J13" s="1340"/>
      <c r="K13" s="1340"/>
      <c r="L13" s="1337"/>
      <c r="M13" s="1340"/>
    </row>
    <row r="14" spans="2:14" ht="20.100000000000001" customHeight="1" x14ac:dyDescent="0.2">
      <c r="B14" s="1334" t="s">
        <v>2147</v>
      </c>
      <c r="C14" s="1338"/>
      <c r="D14" s="1339"/>
      <c r="E14" s="1340"/>
      <c r="F14" s="1340"/>
      <c r="G14" s="1340"/>
      <c r="H14" s="1340"/>
      <c r="I14" s="1340"/>
      <c r="J14" s="1340"/>
      <c r="K14" s="1340"/>
      <c r="L14" s="1337"/>
      <c r="M14" s="1340"/>
    </row>
    <row r="15" spans="2:14" ht="20.100000000000001" customHeight="1" x14ac:dyDescent="0.2">
      <c r="B15" s="1334" t="s">
        <v>2148</v>
      </c>
      <c r="C15" s="1338">
        <v>84.027000000000001</v>
      </c>
      <c r="D15" s="1339" t="s">
        <v>2157</v>
      </c>
      <c r="E15" s="1940">
        <v>114071</v>
      </c>
      <c r="F15" s="1940">
        <v>7468</v>
      </c>
      <c r="G15" s="1940">
        <v>121539</v>
      </c>
      <c r="H15" s="1940"/>
      <c r="I15" s="1940"/>
      <c r="J15" s="1940"/>
      <c r="K15" s="1940"/>
      <c r="L15" s="1941">
        <f t="shared" ref="L15:L24" si="0">+G15+I15+K15</f>
        <v>121539</v>
      </c>
      <c r="M15" s="1940">
        <v>121566</v>
      </c>
    </row>
    <row r="16" spans="2:14" ht="20.100000000000001" customHeight="1" x14ac:dyDescent="0.2">
      <c r="B16" s="1334" t="s">
        <v>2149</v>
      </c>
      <c r="C16" s="1338">
        <v>84.027000000000001</v>
      </c>
      <c r="D16" s="1339" t="s">
        <v>2158</v>
      </c>
      <c r="E16" s="1942"/>
      <c r="F16" s="1942">
        <v>125812</v>
      </c>
      <c r="G16" s="1942"/>
      <c r="H16" s="1942"/>
      <c r="I16" s="1942">
        <v>125812</v>
      </c>
      <c r="J16" s="1942"/>
      <c r="K16" s="1942"/>
      <c r="L16" s="1943">
        <f t="shared" si="0"/>
        <v>125812</v>
      </c>
      <c r="M16" s="1940">
        <v>125812</v>
      </c>
    </row>
    <row r="17" spans="2:14" ht="20.100000000000001" customHeight="1" x14ac:dyDescent="0.2">
      <c r="B17" s="1334" t="s">
        <v>2150</v>
      </c>
      <c r="C17" s="1338"/>
      <c r="D17" s="1339"/>
      <c r="E17" s="1944">
        <f>+E15+E16</f>
        <v>114071</v>
      </c>
      <c r="F17" s="1944">
        <f t="shared" ref="F17:L17" si="1">+F15+F16</f>
        <v>133280</v>
      </c>
      <c r="G17" s="1944">
        <f t="shared" si="1"/>
        <v>121539</v>
      </c>
      <c r="H17" s="1944">
        <f t="shared" si="1"/>
        <v>0</v>
      </c>
      <c r="I17" s="1944">
        <f t="shared" si="1"/>
        <v>125812</v>
      </c>
      <c r="J17" s="1944">
        <f t="shared" si="1"/>
        <v>0</v>
      </c>
      <c r="K17" s="1944">
        <f t="shared" si="1"/>
        <v>0</v>
      </c>
      <c r="L17" s="1944">
        <f t="shared" si="1"/>
        <v>247351</v>
      </c>
      <c r="M17" s="1940"/>
    </row>
    <row r="18" spans="2:14" ht="20.100000000000001" customHeight="1" x14ac:dyDescent="0.2">
      <c r="B18" s="1334"/>
      <c r="C18" s="1338"/>
      <c r="D18" s="1339"/>
      <c r="E18" s="1941"/>
      <c r="F18" s="1941"/>
      <c r="G18" s="1941"/>
      <c r="H18" s="1941"/>
      <c r="I18" s="1941"/>
      <c r="J18" s="1941"/>
      <c r="K18" s="1941"/>
      <c r="L18" s="1941"/>
      <c r="M18" s="1940"/>
    </row>
    <row r="19" spans="2:14" ht="20.100000000000001" customHeight="1" x14ac:dyDescent="0.2">
      <c r="B19" s="1334" t="s">
        <v>2151</v>
      </c>
      <c r="C19" s="1338"/>
      <c r="D19" s="1339"/>
      <c r="E19" s="1940"/>
      <c r="F19" s="1940"/>
      <c r="G19" s="1940"/>
      <c r="H19" s="1940"/>
      <c r="I19" s="1940"/>
      <c r="J19" s="1940"/>
      <c r="K19" s="1940"/>
      <c r="L19" s="1941"/>
      <c r="M19" s="1940"/>
    </row>
    <row r="20" spans="2:14" ht="20.100000000000001" customHeight="1" x14ac:dyDescent="0.2">
      <c r="B20" s="1334" t="s">
        <v>568</v>
      </c>
      <c r="C20" s="1338">
        <v>93.778000000000006</v>
      </c>
      <c r="D20" s="1339" t="s">
        <v>2165</v>
      </c>
      <c r="E20" s="1940">
        <v>14893</v>
      </c>
      <c r="F20" s="1940"/>
      <c r="G20" s="1940">
        <v>14893</v>
      </c>
      <c r="H20" s="1940"/>
      <c r="I20" s="1940"/>
      <c r="J20" s="1940"/>
      <c r="K20" s="1940"/>
      <c r="L20" s="1941">
        <f t="shared" si="0"/>
        <v>14893</v>
      </c>
      <c r="M20" s="1940" t="s">
        <v>2130</v>
      </c>
    </row>
    <row r="21" spans="2:14" ht="20.100000000000001" customHeight="1" x14ac:dyDescent="0.2">
      <c r="B21" s="1334" t="s">
        <v>568</v>
      </c>
      <c r="C21" s="1338">
        <v>93.778000000000006</v>
      </c>
      <c r="D21" s="1339" t="s">
        <v>2166</v>
      </c>
      <c r="E21" s="1942"/>
      <c r="F21" s="1942">
        <v>15877</v>
      </c>
      <c r="G21" s="1942"/>
      <c r="H21" s="1942"/>
      <c r="I21" s="1942">
        <v>15877</v>
      </c>
      <c r="J21" s="1942"/>
      <c r="K21" s="1942"/>
      <c r="L21" s="1943">
        <f t="shared" si="0"/>
        <v>15877</v>
      </c>
      <c r="M21" s="1940" t="s">
        <v>2130</v>
      </c>
    </row>
    <row r="22" spans="2:14" ht="20.100000000000001" customHeight="1" x14ac:dyDescent="0.2">
      <c r="B22" s="1334"/>
      <c r="C22" s="1338"/>
      <c r="D22" s="1339"/>
      <c r="E22" s="1944">
        <f>SUM(E20:E21)</f>
        <v>14893</v>
      </c>
      <c r="F22" s="1944">
        <f t="shared" ref="F22:L22" si="2">SUM(F20:F21)</f>
        <v>15877</v>
      </c>
      <c r="G22" s="1944">
        <f t="shared" si="2"/>
        <v>14893</v>
      </c>
      <c r="H22" s="1944">
        <f t="shared" si="2"/>
        <v>0</v>
      </c>
      <c r="I22" s="1944">
        <f t="shared" si="2"/>
        <v>15877</v>
      </c>
      <c r="J22" s="1944">
        <f t="shared" si="2"/>
        <v>0</v>
      </c>
      <c r="K22" s="1944">
        <f t="shared" si="2"/>
        <v>0</v>
      </c>
      <c r="L22" s="1944">
        <f t="shared" si="2"/>
        <v>30770</v>
      </c>
      <c r="M22" s="1940"/>
    </row>
    <row r="23" spans="2:14" ht="20.100000000000001" customHeight="1" x14ac:dyDescent="0.2">
      <c r="B23" s="1334"/>
      <c r="C23" s="1338"/>
      <c r="D23" s="1339"/>
      <c r="E23" s="1941"/>
      <c r="F23" s="1941"/>
      <c r="G23" s="1941"/>
      <c r="H23" s="1941"/>
      <c r="I23" s="1941"/>
      <c r="J23" s="1941"/>
      <c r="K23" s="1941"/>
      <c r="L23" s="1941"/>
      <c r="M23" s="1940"/>
    </row>
    <row r="24" spans="2:14" ht="20.100000000000001" customHeight="1" x14ac:dyDescent="0.2">
      <c r="B24" s="1334" t="s">
        <v>2160</v>
      </c>
      <c r="C24" s="1338"/>
      <c r="D24" s="1339"/>
      <c r="E24" s="1948">
        <f>+E17+E22</f>
        <v>128964</v>
      </c>
      <c r="F24" s="1948">
        <f>+F17+F22</f>
        <v>149157</v>
      </c>
      <c r="G24" s="1948">
        <f>+G17+G22</f>
        <v>136432</v>
      </c>
      <c r="H24" s="1948">
        <f>+H22+H17</f>
        <v>0</v>
      </c>
      <c r="I24" s="1948">
        <f>+I22+I17</f>
        <v>141689</v>
      </c>
      <c r="J24" s="1948">
        <f>+J22+J17</f>
        <v>0</v>
      </c>
      <c r="K24" s="1948">
        <f>+K22+K17</f>
        <v>0</v>
      </c>
      <c r="L24" s="1948">
        <f t="shared" si="0"/>
        <v>278121</v>
      </c>
      <c r="M24" s="19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40.2&amp;R&amp;8Page 40.2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L31" sqref="L3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East Peoria CHSD 309</v>
      </c>
      <c r="B1" s="2449"/>
      <c r="C1" s="2449"/>
      <c r="D1" s="2449"/>
      <c r="E1" s="2449"/>
      <c r="F1" s="2449"/>
    </row>
    <row r="2" spans="1:7" ht="13.5" customHeight="1" x14ac:dyDescent="0.2">
      <c r="A2" s="2445">
        <f>'Single Audit Cover'!E7</f>
        <v>53090309016</v>
      </c>
      <c r="B2" s="2445"/>
      <c r="C2" s="2445"/>
      <c r="D2" s="2445"/>
      <c r="E2" s="2445"/>
      <c r="F2" s="2445"/>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2162</v>
      </c>
      <c r="B7" s="2448"/>
      <c r="C7" s="2448"/>
      <c r="D7" s="2448"/>
      <c r="E7" s="2448"/>
      <c r="F7" s="244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2070</v>
      </c>
      <c r="F10" s="1277" t="s">
        <v>99</v>
      </c>
      <c r="G10" s="1275"/>
    </row>
    <row r="11" spans="1:7" ht="12" customHeight="1" x14ac:dyDescent="0.2">
      <c r="A11" s="1276"/>
      <c r="B11" s="1277"/>
      <c r="C11" s="1901"/>
      <c r="D11" s="1277"/>
      <c r="E11" s="1901"/>
      <c r="F11" s="1277"/>
      <c r="G11" s="1275"/>
    </row>
    <row r="12" spans="1:7" x14ac:dyDescent="0.2">
      <c r="A12" s="1273" t="s">
        <v>1587</v>
      </c>
      <c r="C12" s="1257"/>
      <c r="D12" s="1257"/>
    </row>
    <row r="13" spans="1:7" ht="15" customHeight="1" x14ac:dyDescent="0.2">
      <c r="A13" s="2448" t="s">
        <v>1730</v>
      </c>
      <c r="B13" s="2448"/>
      <c r="C13" s="2448"/>
      <c r="D13" s="2448"/>
      <c r="E13" s="2448"/>
      <c r="F13" s="2448"/>
    </row>
    <row r="14" spans="1:7" ht="9.75" customHeight="1" x14ac:dyDescent="0.2">
      <c r="C14" s="1257"/>
      <c r="D14" s="1257"/>
    </row>
    <row r="15" spans="1:7" ht="13.5" customHeight="1" x14ac:dyDescent="0.2">
      <c r="C15" s="1845" t="s">
        <v>1270</v>
      </c>
      <c r="D15" s="2453" t="s">
        <v>1269</v>
      </c>
      <c r="E15" s="2453"/>
      <c r="F15" s="2453"/>
    </row>
    <row r="16" spans="1:7" ht="13.5" customHeight="1" x14ac:dyDescent="0.2">
      <c r="A16" s="1279"/>
      <c r="B16" s="1273" t="s">
        <v>1268</v>
      </c>
      <c r="C16" s="1845" t="s">
        <v>1267</v>
      </c>
      <c r="D16" s="2454" t="s">
        <v>1588</v>
      </c>
      <c r="E16" s="2454"/>
      <c r="F16" s="2454"/>
    </row>
    <row r="17" spans="1:6" ht="20.45" customHeight="1" x14ac:dyDescent="0.2">
      <c r="A17" s="1280"/>
      <c r="B17" s="1281"/>
      <c r="C17" s="1282"/>
      <c r="D17" s="2452"/>
      <c r="E17" s="2452"/>
      <c r="F17" s="2452"/>
    </row>
    <row r="18" spans="1:6" ht="20.65" customHeight="1" x14ac:dyDescent="0.2">
      <c r="A18" s="1280"/>
      <c r="B18" s="1281"/>
      <c r="C18" s="1282"/>
      <c r="D18" s="2452"/>
      <c r="E18" s="2452"/>
      <c r="F18" s="2452"/>
    </row>
    <row r="19" spans="1:6" ht="20.65" customHeight="1" x14ac:dyDescent="0.2">
      <c r="A19" s="1280"/>
      <c r="B19" s="1281"/>
      <c r="C19" s="1282"/>
      <c r="D19" s="2452"/>
      <c r="E19" s="2452"/>
      <c r="F19" s="2452"/>
    </row>
    <row r="20" spans="1:6" ht="20.65" customHeight="1" x14ac:dyDescent="0.2">
      <c r="A20" s="1280"/>
      <c r="B20" s="1281"/>
      <c r="C20" s="1282"/>
      <c r="D20" s="2452"/>
      <c r="E20" s="2452"/>
      <c r="F20" s="2452"/>
    </row>
    <row r="21" spans="1:6" ht="20.65" customHeight="1" x14ac:dyDescent="0.2">
      <c r="A21" s="1280"/>
      <c r="B21" s="1281"/>
      <c r="C21" s="1282"/>
      <c r="D21" s="2452"/>
      <c r="E21" s="2452"/>
      <c r="F21" s="2452"/>
    </row>
    <row r="22" spans="1:6" ht="20.65" customHeight="1" x14ac:dyDescent="0.2">
      <c r="A22" s="1280"/>
      <c r="B22" s="1281"/>
      <c r="C22" s="1282"/>
      <c r="D22" s="2452"/>
      <c r="E22" s="2452"/>
      <c r="F22" s="2452"/>
    </row>
    <row r="23" spans="1:6" ht="20.65" customHeight="1" x14ac:dyDescent="0.2">
      <c r="A23" s="1280"/>
      <c r="B23" s="1281"/>
      <c r="C23" s="1282"/>
      <c r="D23" s="2452"/>
      <c r="E23" s="2452"/>
      <c r="F23" s="2452"/>
    </row>
    <row r="24" spans="1:6" ht="20.65" customHeight="1" x14ac:dyDescent="0.2">
      <c r="A24" s="1280"/>
      <c r="B24" s="1281"/>
      <c r="C24" s="1282"/>
      <c r="D24" s="2452"/>
      <c r="E24" s="2452"/>
      <c r="F24" s="2452"/>
    </row>
    <row r="25" spans="1:6" ht="20.65" customHeight="1" x14ac:dyDescent="0.2">
      <c r="A25" s="1280"/>
      <c r="B25" s="1281"/>
      <c r="C25" s="1282"/>
      <c r="D25" s="2452"/>
      <c r="E25" s="2452"/>
      <c r="F25" s="2452"/>
    </row>
    <row r="26" spans="1:6" ht="20.65" customHeight="1" x14ac:dyDescent="0.2">
      <c r="A26" s="1280"/>
      <c r="B26" s="1281"/>
      <c r="C26" s="1282"/>
      <c r="D26" s="2452"/>
      <c r="E26" s="2452"/>
      <c r="F26" s="2452"/>
    </row>
    <row r="27" spans="1:6" ht="20.65" customHeight="1" x14ac:dyDescent="0.2">
      <c r="A27" s="1280"/>
      <c r="B27" s="1281"/>
      <c r="C27" s="1282"/>
      <c r="D27" s="2452"/>
      <c r="E27" s="2452"/>
      <c r="F27" s="2452"/>
    </row>
    <row r="28" spans="1:6" ht="20.65" customHeight="1" x14ac:dyDescent="0.2">
      <c r="A28" s="1280"/>
      <c r="B28" s="1281"/>
      <c r="C28" s="1282"/>
      <c r="D28" s="2452"/>
      <c r="E28" s="2452"/>
      <c r="F28" s="2452"/>
    </row>
    <row r="29" spans="1:6" ht="20.65" customHeight="1" x14ac:dyDescent="0.2">
      <c r="A29" s="1280"/>
      <c r="B29" s="1281"/>
      <c r="C29" s="1282"/>
      <c r="D29" s="2452"/>
      <c r="E29" s="2452"/>
      <c r="F29" s="2452"/>
    </row>
    <row r="30" spans="1:6" ht="12" customHeight="1" x14ac:dyDescent="0.2">
      <c r="A30" s="328"/>
      <c r="B30" s="328"/>
      <c r="C30" s="1462"/>
      <c r="D30" s="1902"/>
      <c r="E30" s="1283"/>
    </row>
    <row r="31" spans="1:6" ht="12" customHeight="1" x14ac:dyDescent="0.2">
      <c r="A31" s="1284" t="s">
        <v>1549</v>
      </c>
      <c r="B31" s="328"/>
      <c r="C31" s="1462"/>
      <c r="D31" s="1902"/>
      <c r="E31" s="1283"/>
    </row>
    <row r="32" spans="1:6" ht="30" customHeight="1" x14ac:dyDescent="0.2">
      <c r="A32" s="2456" t="s">
        <v>2163</v>
      </c>
      <c r="B32" s="2456"/>
      <c r="C32" s="2456"/>
      <c r="D32" s="2456"/>
      <c r="E32" s="2456"/>
      <c r="F32" s="2456"/>
    </row>
    <row r="33" spans="1:6" ht="13.5" customHeight="1" x14ac:dyDescent="0.2">
      <c r="A33" s="328" t="s">
        <v>1434</v>
      </c>
      <c r="B33" s="328"/>
      <c r="C33" s="1285">
        <f>+' SEFA'!F18</f>
        <v>19240</v>
      </c>
      <c r="D33" s="1902"/>
      <c r="E33" s="1283"/>
    </row>
    <row r="34" spans="1:6" ht="13.5" customHeight="1" x14ac:dyDescent="0.2">
      <c r="A34" s="328" t="s">
        <v>1836</v>
      </c>
      <c r="B34" s="328"/>
      <c r="C34" s="1286">
        <f>+' SEFA'!F20</f>
        <v>16169</v>
      </c>
      <c r="D34" s="1902" t="s">
        <v>1589</v>
      </c>
      <c r="E34" s="2457">
        <f>+C33+C34</f>
        <v>35409</v>
      </c>
      <c r="F34" s="2458"/>
    </row>
    <row r="35" spans="1:6" ht="12" customHeight="1" x14ac:dyDescent="0.2">
      <c r="A35" s="328"/>
      <c r="B35" s="328"/>
      <c r="C35" s="1903"/>
      <c r="D35" s="1902"/>
      <c r="E35" s="1287"/>
      <c r="F35" s="1288"/>
    </row>
    <row r="36" spans="1:6" ht="13.5" customHeight="1" x14ac:dyDescent="0.2">
      <c r="A36" s="1284" t="s">
        <v>1550</v>
      </c>
      <c r="B36" s="328"/>
      <c r="C36" s="1462"/>
      <c r="D36" s="1902"/>
      <c r="E36" s="1283"/>
    </row>
    <row r="37" spans="1:6" ht="14.25" customHeight="1" x14ac:dyDescent="0.2">
      <c r="A37" s="328" t="s">
        <v>1484</v>
      </c>
      <c r="B37" s="328"/>
      <c r="C37" s="1904"/>
      <c r="D37" s="1902"/>
      <c r="E37" s="1283"/>
    </row>
    <row r="38" spans="1:6" ht="14.25" customHeight="1" x14ac:dyDescent="0.2">
      <c r="A38" s="328"/>
      <c r="B38" s="328" t="s">
        <v>1435</v>
      </c>
      <c r="C38" s="1289"/>
      <c r="D38" s="1902"/>
      <c r="E38" s="1283"/>
    </row>
    <row r="39" spans="1:6" ht="14.25" customHeight="1" x14ac:dyDescent="0.2">
      <c r="A39" s="328"/>
      <c r="B39" s="328" t="s">
        <v>1436</v>
      </c>
      <c r="C39" s="1289"/>
      <c r="D39" s="1902"/>
      <c r="E39" s="1283"/>
    </row>
    <row r="40" spans="1:6" ht="14.25" customHeight="1" x14ac:dyDescent="0.2">
      <c r="A40" s="328"/>
      <c r="B40" s="328" t="s">
        <v>1437</v>
      </c>
      <c r="C40" s="1289"/>
      <c r="D40" s="1902"/>
      <c r="E40" s="1283"/>
    </row>
    <row r="41" spans="1:6" ht="14.25" customHeight="1" x14ac:dyDescent="0.2">
      <c r="A41" s="328"/>
      <c r="B41" s="328" t="s">
        <v>1438</v>
      </c>
      <c r="C41" s="1289"/>
      <c r="D41" s="1902"/>
      <c r="E41" s="1283"/>
    </row>
    <row r="42" spans="1:6" ht="14.25" customHeight="1" x14ac:dyDescent="0.2">
      <c r="A42" s="328" t="s">
        <v>1439</v>
      </c>
      <c r="B42" s="328"/>
      <c r="C42" s="1900"/>
      <c r="D42" s="1902"/>
      <c r="E42" s="1283"/>
    </row>
    <row r="43" spans="1:6" ht="14.25" customHeight="1" x14ac:dyDescent="0.2">
      <c r="A43" s="328" t="s">
        <v>1440</v>
      </c>
      <c r="B43" s="328"/>
      <c r="C43" s="1290" t="s">
        <v>383</v>
      </c>
      <c r="D43" s="1902"/>
      <c r="E43" s="1283"/>
    </row>
    <row r="44" spans="1:6" ht="14.25" customHeight="1" x14ac:dyDescent="0.2">
      <c r="A44" s="328"/>
      <c r="B44" s="328"/>
      <c r="C44" s="1904" t="s">
        <v>1441</v>
      </c>
      <c r="D44" s="1902"/>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9" t="s">
        <v>1590</v>
      </c>
      <c r="C49" s="2459"/>
      <c r="D49" s="2459"/>
      <c r="E49" s="1396"/>
    </row>
    <row r="50" spans="1:5" s="1297" customFormat="1" ht="3.75" customHeight="1" x14ac:dyDescent="0.2">
      <c r="A50" s="1296"/>
      <c r="B50" s="1844"/>
      <c r="C50" s="1844"/>
      <c r="D50" s="1844"/>
      <c r="E50" s="1396"/>
    </row>
    <row r="51" spans="1:5" s="1297" customFormat="1" ht="20.25" customHeight="1" x14ac:dyDescent="0.2">
      <c r="A51" s="1298">
        <v>6</v>
      </c>
      <c r="B51" s="2455" t="s">
        <v>1551</v>
      </c>
      <c r="C51" s="2455"/>
      <c r="D51" s="2455"/>
    </row>
    <row r="52" spans="1:5" ht="14.25" customHeight="1" x14ac:dyDescent="0.2">
      <c r="A52" s="1298"/>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topLeftCell="A22" zoomScale="110" zoomScaleNormal="110" workbookViewId="0">
      <selection activeCell="C43" sqref="C43:F4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East Peoria CHSD 309</v>
      </c>
      <c r="C1" s="2465"/>
      <c r="D1" s="2465"/>
      <c r="E1" s="2465"/>
      <c r="F1" s="2465"/>
      <c r="G1" s="2465"/>
      <c r="H1" s="2465"/>
      <c r="I1" s="2465"/>
      <c r="J1" s="1406"/>
    </row>
    <row r="2" spans="2:10" s="317" customFormat="1" ht="12.75" customHeight="1" x14ac:dyDescent="0.2">
      <c r="B2" s="2466">
        <f>'Single Audit Cover'!E7</f>
        <v>53090309016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t="s">
        <v>2167</v>
      </c>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2070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2070</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2070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2070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2070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t="s">
        <v>2167</v>
      </c>
      <c r="E29" s="2471"/>
      <c r="F29" s="2471"/>
      <c r="G29" s="2471"/>
      <c r="H29" s="2471"/>
      <c r="I29" s="2471"/>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t="s">
        <v>2070</v>
      </c>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72" t="s">
        <v>1749</v>
      </c>
      <c r="D37" s="2473"/>
      <c r="E37" s="2473"/>
      <c r="F37" s="2474"/>
      <c r="G37" s="2472" t="s">
        <v>1592</v>
      </c>
      <c r="H37" s="2473"/>
      <c r="I37" s="2474"/>
    </row>
    <row r="38" spans="2:9" ht="16.5" customHeight="1" x14ac:dyDescent="0.2">
      <c r="B38" s="1428" t="s">
        <v>2168</v>
      </c>
      <c r="C38" s="2460" t="s">
        <v>2169</v>
      </c>
      <c r="D38" s="2461"/>
      <c r="E38" s="2461"/>
      <c r="F38" s="2462"/>
      <c r="G38" s="2475">
        <f>+' SEFA'!I22</f>
        <v>269625</v>
      </c>
      <c r="H38" s="2476"/>
      <c r="I38" s="2477"/>
    </row>
    <row r="39" spans="2:9" ht="16.5" customHeight="1" x14ac:dyDescent="0.2">
      <c r="B39" s="1428">
        <v>84.01</v>
      </c>
      <c r="C39" s="2460" t="s">
        <v>918</v>
      </c>
      <c r="D39" s="2461"/>
      <c r="E39" s="2461"/>
      <c r="F39" s="2462"/>
      <c r="G39" s="2463">
        <f>+' SEFA (2)'!I15</f>
        <v>284149</v>
      </c>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78" t="s">
        <v>1593</v>
      </c>
      <c r="D43" s="2479"/>
      <c r="E43" s="2479"/>
      <c r="F43" s="2480"/>
      <c r="G43" s="2481">
        <f>SUM(G38:I42)</f>
        <v>553774</v>
      </c>
      <c r="H43" s="2481"/>
      <c r="I43" s="2481"/>
    </row>
    <row r="44" spans="2:9" ht="12.75" customHeight="1" x14ac:dyDescent="0.2"/>
    <row r="45" spans="2:9" ht="12.75" customHeight="1" x14ac:dyDescent="0.2">
      <c r="B45" s="1419" t="s">
        <v>2159</v>
      </c>
      <c r="D45" s="2482">
        <f>+' SEFA'!I26</f>
        <v>846754</v>
      </c>
      <c r="E45" s="2483"/>
    </row>
    <row r="46" spans="2:9" ht="5.25" customHeight="1" x14ac:dyDescent="0.2">
      <c r="B46" s="1429"/>
      <c r="D46" s="1430"/>
      <c r="E46" s="1431"/>
    </row>
    <row r="47" spans="2:9" ht="12.75" customHeight="1" x14ac:dyDescent="0.2">
      <c r="B47" s="1297" t="s">
        <v>1594</v>
      </c>
      <c r="C47" s="1297"/>
      <c r="D47" s="1432">
        <f>+G43/D45</f>
        <v>0.65399632006462327</v>
      </c>
      <c r="E47" s="1433"/>
      <c r="F47" s="1434"/>
      <c r="I47" s="1435"/>
    </row>
    <row r="48" spans="2:9" ht="9.9499999999999993" customHeight="1" x14ac:dyDescent="0.2"/>
    <row r="49" spans="1:9" x14ac:dyDescent="0.2">
      <c r="B49" s="1365" t="s">
        <v>1273</v>
      </c>
      <c r="C49" s="1279"/>
      <c r="D49" s="1279"/>
      <c r="E49" s="2484">
        <v>750000</v>
      </c>
      <c r="F49" s="2484"/>
      <c r="G49" s="2484"/>
      <c r="H49" s="322"/>
    </row>
    <row r="51" spans="1:9" ht="13.5" customHeight="1" x14ac:dyDescent="0.2">
      <c r="B51" s="1365" t="s">
        <v>1272</v>
      </c>
      <c r="C51" s="1279"/>
      <c r="E51" s="1422"/>
      <c r="F51" s="1297" t="s">
        <v>885</v>
      </c>
      <c r="G51" s="1422" t="s">
        <v>2070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4" zoomScale="110" zoomScaleNormal="110" workbookViewId="0">
      <selection activeCell="L31" sqref="L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East Peoria CHSD 309</v>
      </c>
      <c r="C1" s="2464"/>
      <c r="D1" s="2464"/>
      <c r="E1" s="2464"/>
      <c r="F1" s="2464"/>
      <c r="G1" s="2464"/>
      <c r="H1" s="2464"/>
      <c r="I1" s="2464"/>
      <c r="J1" s="2464"/>
      <c r="K1" s="2464"/>
      <c r="L1" s="1371"/>
      <c r="M1" s="1371"/>
    </row>
    <row r="2" spans="1:13" ht="12" customHeight="1" x14ac:dyDescent="0.2">
      <c r="B2" s="2466">
        <f>'Single Audit Cover'!E7</f>
        <v>53090309016</v>
      </c>
      <c r="C2" s="2466"/>
      <c r="D2" s="2466"/>
      <c r="E2" s="2466"/>
      <c r="F2" s="2466"/>
      <c r="G2" s="2466"/>
      <c r="H2" s="2466"/>
      <c r="I2" s="2466"/>
      <c r="J2" s="2466"/>
      <c r="K2" s="2466"/>
      <c r="L2" s="1372"/>
      <c r="M2" s="1373"/>
    </row>
    <row r="3" spans="1:13" ht="10.35" customHeight="1" x14ac:dyDescent="0.2">
      <c r="B3" s="2487" t="s">
        <v>1285</v>
      </c>
      <c r="C3" s="2487"/>
      <c r="D3" s="2487"/>
      <c r="E3" s="2487"/>
      <c r="F3" s="2487"/>
      <c r="G3" s="2487"/>
      <c r="H3" s="2487"/>
      <c r="I3" s="2487"/>
      <c r="J3" s="2487"/>
      <c r="K3" s="2487"/>
      <c r="L3" s="1374"/>
      <c r="M3" s="1374"/>
    </row>
    <row r="4" spans="1:13" ht="14.25" customHeight="1" x14ac:dyDescent="0.2">
      <c r="B4" s="2488" t="str">
        <f>'Single Audit Cover'!A4</f>
        <v>Year Ending June 30, 2019</v>
      </c>
      <c r="C4" s="2488"/>
      <c r="D4" s="2488"/>
      <c r="E4" s="2488"/>
      <c r="F4" s="2488"/>
      <c r="G4" s="2488"/>
      <c r="H4" s="2488"/>
      <c r="I4" s="2488"/>
      <c r="J4" s="2488"/>
      <c r="K4" s="248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8" t="s">
        <v>1296</v>
      </c>
      <c r="C7" s="2488"/>
      <c r="D7" s="2489"/>
      <c r="E7" s="2489"/>
      <c r="F7" s="2489"/>
      <c r="G7" s="2489"/>
      <c r="H7" s="2489"/>
      <c r="I7" s="2489"/>
      <c r="J7" s="2489"/>
      <c r="K7" s="248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1988</v>
      </c>
      <c r="D10" s="1383" t="s">
        <v>2170</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6"/>
      <c r="C14" s="2486"/>
      <c r="D14" s="2486"/>
      <c r="E14" s="2486"/>
      <c r="F14" s="2486"/>
      <c r="G14" s="2486"/>
      <c r="H14" s="2486"/>
      <c r="I14" s="2486"/>
      <c r="J14" s="2486"/>
      <c r="K14" s="248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6"/>
      <c r="C17" s="2486"/>
      <c r="D17" s="2486"/>
      <c r="E17" s="2486"/>
      <c r="F17" s="2486"/>
      <c r="G17" s="2486"/>
      <c r="H17" s="2486"/>
      <c r="I17" s="2486"/>
      <c r="J17" s="2486"/>
      <c r="K17" s="2486"/>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90"/>
      <c r="C20" s="2490"/>
      <c r="D20" s="2486"/>
      <c r="E20" s="2486"/>
      <c r="F20" s="2486"/>
      <c r="G20" s="2486"/>
      <c r="H20" s="2486"/>
      <c r="I20" s="2486"/>
      <c r="J20" s="2486"/>
      <c r="K20" s="248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6"/>
      <c r="C23" s="2486"/>
      <c r="D23" s="2486"/>
      <c r="E23" s="2486"/>
      <c r="F23" s="2486"/>
      <c r="G23" s="2486"/>
      <c r="H23" s="2486"/>
      <c r="I23" s="2486"/>
      <c r="J23" s="2486"/>
      <c r="K23" s="248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6"/>
      <c r="C26" s="2486"/>
      <c r="D26" s="2486"/>
      <c r="E26" s="2486"/>
      <c r="F26" s="2486"/>
      <c r="G26" s="2486"/>
      <c r="H26" s="2486"/>
      <c r="I26" s="2486"/>
      <c r="J26" s="2486"/>
      <c r="K26" s="248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5"/>
      <c r="C29" s="2485"/>
      <c r="D29" s="2486"/>
      <c r="E29" s="2486"/>
      <c r="F29" s="2486"/>
      <c r="G29" s="2486"/>
      <c r="H29" s="2486"/>
      <c r="I29" s="2486"/>
      <c r="J29" s="2486"/>
      <c r="K29" s="248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85"/>
      <c r="C32" s="2485"/>
      <c r="D32" s="2486"/>
      <c r="E32" s="2486"/>
      <c r="F32" s="2486"/>
      <c r="G32" s="2486"/>
      <c r="H32" s="2486"/>
      <c r="I32" s="2486"/>
      <c r="J32" s="2486"/>
      <c r="K32" s="248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I15" sqref="I1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East Peoria CHSD 309</v>
      </c>
      <c r="C1" s="2491"/>
      <c r="D1" s="2491"/>
      <c r="E1" s="2491"/>
      <c r="F1" s="2491"/>
      <c r="G1" s="2491"/>
      <c r="H1" s="2491"/>
      <c r="I1" s="2491"/>
      <c r="J1" s="2491"/>
      <c r="K1" s="2491"/>
      <c r="L1" s="1449"/>
    </row>
    <row r="2" spans="1:12" ht="12.75" customHeight="1" x14ac:dyDescent="0.2">
      <c r="B2" s="2492">
        <f>'Single Audit Cover'!E7</f>
        <v>53090309016</v>
      </c>
      <c r="C2" s="2492"/>
      <c r="D2" s="2492"/>
      <c r="E2" s="2492"/>
      <c r="F2" s="2492"/>
      <c r="G2" s="2492"/>
      <c r="H2" s="2492"/>
      <c r="I2" s="2492"/>
      <c r="J2" s="2492"/>
      <c r="K2" s="2492"/>
      <c r="L2" s="1450"/>
    </row>
    <row r="3" spans="1:12" ht="12.75" customHeight="1" x14ac:dyDescent="0.2">
      <c r="B3" s="2487" t="s">
        <v>1285</v>
      </c>
      <c r="C3" s="2487"/>
      <c r="D3" s="2487"/>
      <c r="E3" s="2487"/>
      <c r="F3" s="2487"/>
      <c r="G3" s="2487"/>
      <c r="H3" s="2487"/>
      <c r="I3" s="2487"/>
      <c r="J3" s="2487"/>
      <c r="K3" s="2487"/>
      <c r="L3" s="1374"/>
    </row>
    <row r="4" spans="1:12" ht="12.75" customHeight="1" x14ac:dyDescent="0.2">
      <c r="B4" s="2487" t="str">
        <f>'Single Audit Cover'!A4</f>
        <v>Year Ending June 30, 2019</v>
      </c>
      <c r="C4" s="2487"/>
      <c r="D4" s="2487"/>
      <c r="E4" s="2487"/>
      <c r="F4" s="2487"/>
      <c r="G4" s="2487"/>
      <c r="H4" s="2487"/>
      <c r="I4" s="2487"/>
      <c r="J4" s="2487"/>
      <c r="K4" s="2487"/>
      <c r="L4" s="1374"/>
    </row>
    <row r="5" spans="1:12" ht="5.25" customHeight="1" x14ac:dyDescent="0.2">
      <c r="B5" s="1257" t="s">
        <v>1169</v>
      </c>
      <c r="C5" s="1257"/>
      <c r="L5" s="322"/>
    </row>
    <row r="6" spans="1:12" ht="30.75" customHeight="1" x14ac:dyDescent="0.2">
      <c r="A6" s="322"/>
      <c r="B6" s="2493" t="s">
        <v>1308</v>
      </c>
      <c r="C6" s="2493"/>
      <c r="D6" s="2493"/>
      <c r="E6" s="2493"/>
      <c r="F6" s="2493"/>
      <c r="G6" s="2493"/>
      <c r="H6" s="2493"/>
      <c r="I6" s="2493"/>
      <c r="J6" s="2493"/>
      <c r="K6" s="2493"/>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1988</v>
      </c>
      <c r="D8" s="1452">
        <v>1</v>
      </c>
      <c r="E8" s="322"/>
      <c r="F8" s="1381" t="s">
        <v>1295</v>
      </c>
      <c r="G8" s="1453" t="s">
        <v>2070</v>
      </c>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t="s">
        <v>2178</v>
      </c>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4"/>
      <c r="E14" s="2494"/>
      <c r="F14" s="2494"/>
      <c r="H14" s="1459" t="s">
        <v>1303</v>
      </c>
      <c r="I14" s="2495" t="s">
        <v>2213</v>
      </c>
      <c r="J14" s="2496"/>
      <c r="K14" s="249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6" t="s">
        <v>2206</v>
      </c>
      <c r="E16" s="2496"/>
      <c r="F16" s="2496"/>
      <c r="G16" s="2496"/>
      <c r="H16" s="2496"/>
      <c r="I16" s="2496"/>
      <c r="J16" s="2496"/>
      <c r="K16" s="2496"/>
      <c r="L16" s="322"/>
    </row>
    <row r="17" spans="2:12" ht="13.5" customHeight="1" x14ac:dyDescent="0.2">
      <c r="B17" s="1384" t="s">
        <v>1301</v>
      </c>
      <c r="C17" s="1384"/>
      <c r="D17" s="2497" t="s">
        <v>2207</v>
      </c>
      <c r="E17" s="2497"/>
      <c r="F17" s="2497"/>
      <c r="G17" s="2497"/>
      <c r="H17" s="2497"/>
      <c r="I17" s="2497"/>
      <c r="J17" s="2497"/>
      <c r="K17" s="249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6" t="s">
        <v>2179</v>
      </c>
      <c r="C20" s="2486"/>
      <c r="D20" s="2486"/>
      <c r="E20" s="2486"/>
      <c r="F20" s="2486"/>
      <c r="G20" s="2486"/>
      <c r="H20" s="2486"/>
      <c r="I20" s="2486"/>
      <c r="J20" s="2486"/>
      <c r="K20" s="248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86" t="s">
        <v>2208</v>
      </c>
      <c r="C23" s="2486"/>
      <c r="D23" s="2486"/>
      <c r="E23" s="2486"/>
      <c r="F23" s="2486"/>
      <c r="G23" s="2486"/>
      <c r="H23" s="2486"/>
      <c r="I23" s="2486"/>
      <c r="J23" s="2486"/>
      <c r="K23" s="248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86" t="s">
        <v>2210</v>
      </c>
      <c r="C26" s="2486"/>
      <c r="D26" s="2486"/>
      <c r="E26" s="2486"/>
      <c r="F26" s="2486"/>
      <c r="G26" s="2486"/>
      <c r="H26" s="2486"/>
      <c r="I26" s="2486"/>
      <c r="J26" s="2486"/>
      <c r="K26" s="248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86" t="s">
        <v>2180</v>
      </c>
      <c r="C29" s="2486"/>
      <c r="D29" s="2486"/>
      <c r="E29" s="2486"/>
      <c r="F29" s="2486"/>
      <c r="G29" s="2486"/>
      <c r="H29" s="2486"/>
      <c r="I29" s="2486"/>
      <c r="J29" s="2486"/>
      <c r="K29" s="248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6" t="s">
        <v>2181</v>
      </c>
      <c r="C32" s="2486"/>
      <c r="D32" s="2486"/>
      <c r="E32" s="2486"/>
      <c r="F32" s="2486"/>
      <c r="G32" s="2486"/>
      <c r="H32" s="2486"/>
      <c r="I32" s="2486"/>
      <c r="J32" s="2486"/>
      <c r="K32" s="248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6" t="s">
        <v>2182</v>
      </c>
      <c r="C35" s="2486"/>
      <c r="D35" s="2486"/>
      <c r="E35" s="2486"/>
      <c r="F35" s="2486"/>
      <c r="G35" s="2486"/>
      <c r="H35" s="2486"/>
      <c r="I35" s="2486"/>
      <c r="J35" s="2486"/>
      <c r="K35" s="248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6" t="s">
        <v>2209</v>
      </c>
      <c r="C38" s="2486"/>
      <c r="D38" s="2486"/>
      <c r="E38" s="2486"/>
      <c r="F38" s="2486"/>
      <c r="G38" s="2486"/>
      <c r="H38" s="2486"/>
      <c r="I38" s="2486"/>
      <c r="J38" s="2486"/>
      <c r="K38" s="248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86" t="s">
        <v>2211</v>
      </c>
      <c r="C41" s="2486"/>
      <c r="D41" s="2486"/>
      <c r="E41" s="2486"/>
      <c r="F41" s="2486"/>
      <c r="G41" s="2486"/>
      <c r="H41" s="2486"/>
      <c r="I41" s="2486"/>
      <c r="J41" s="2486"/>
      <c r="K41" s="248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East Peoria CHSD 309</v>
      </c>
      <c r="C1" s="2464"/>
      <c r="D1" s="2464"/>
      <c r="E1" s="1469"/>
    </row>
    <row r="2" spans="2:5" s="1279" customFormat="1" ht="12.75" customHeight="1" x14ac:dyDescent="0.2">
      <c r="B2" s="2466">
        <f>'Single Audit Cover'!E7</f>
        <v>53090309016</v>
      </c>
      <c r="C2" s="2466"/>
      <c r="D2" s="2466"/>
      <c r="E2" s="1470"/>
    </row>
    <row r="3" spans="2:5" ht="12.75" customHeight="1" x14ac:dyDescent="0.2">
      <c r="B3" s="2487" t="s">
        <v>1764</v>
      </c>
      <c r="C3" s="2487"/>
      <c r="D3" s="2487"/>
      <c r="E3" s="1271"/>
    </row>
    <row r="4" spans="2:5" s="1279" customFormat="1" ht="12.75" customHeight="1" x14ac:dyDescent="0.2">
      <c r="B4" s="2498" t="str">
        <f>'Single Audit Cover'!A4</f>
        <v>Year Ending June 30, 2019</v>
      </c>
      <c r="C4" s="2498"/>
      <c r="D4" s="2498"/>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2212</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terms/"/>
    <ds:schemaRef ds:uri="http://schemas.microsoft.com/sharepoint/v3"/>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Sheet1</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2019-09-16T21:50:45Z</cp:lastPrinted>
  <dcterms:created xsi:type="dcterms:W3CDTF">2003-10-29T19:06:34Z</dcterms:created>
  <dcterms:modified xsi:type="dcterms:W3CDTF">2019-12-05T16:30:39Z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