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8F78F08-6E75-4EE5-A93D-29594D7682A8}"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75" r:id="rId31"/>
    <sheet name="Finding 2019-00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30">#REF!</definedName>
    <definedName name="SCHADDRS" localSheetId="31">#REF!</definedName>
    <definedName name="SCHADDRS" localSheetId="28">#REF!</definedName>
    <definedName name="SCHADDRS" localSheetId="26">#REF!</definedName>
    <definedName name="SCHADDRS" localSheetId="29">#REF!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30">#REF!</definedName>
    <definedName name="SCHCTY" localSheetId="31">#REF!</definedName>
    <definedName name="SCHCTY" localSheetId="28">#REF!</definedName>
    <definedName name="SCHCTY" localSheetId="26">#REF!</definedName>
    <definedName name="SCHCTY" localSheetId="29">#REF!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30">#REF!</definedName>
    <definedName name="SCHNMBR" localSheetId="31">#REF!</definedName>
    <definedName name="SCHNMBR" localSheetId="28">#REF!</definedName>
    <definedName name="SCHNMBR" localSheetId="26">#REF!</definedName>
    <definedName name="SCHNMBR" localSheetId="29">#REF!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30">#REF!</definedName>
    <definedName name="SCHNME" localSheetId="31">#REF!</definedName>
    <definedName name="SCHNME" localSheetId="28">#REF!</definedName>
    <definedName name="SCHNME" localSheetId="26">#REF!</definedName>
    <definedName name="SCHNME" localSheetId="29">#REF!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30">#REF!</definedName>
    <definedName name="SUPT" localSheetId="31">#REF!</definedName>
    <definedName name="SUPT" localSheetId="28">#REF!</definedName>
    <definedName name="SUPT" localSheetId="26">#REF!</definedName>
    <definedName name="SUPT" localSheetId="29">#REF!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B46" i="127" l="1"/>
  <c r="B40" i="127"/>
  <c r="B27" i="127" l="1"/>
  <c r="B33" i="127"/>
  <c r="B14" i="127"/>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E40" i="181"/>
  <c r="F40" i="181" s="1"/>
  <c r="G40" i="181" s="1"/>
  <c r="E39" i="181"/>
  <c r="F39" i="181" s="1"/>
  <c r="G39" i="181" s="1"/>
  <c r="E38" i="181"/>
  <c r="F38" i="181" s="1"/>
  <c r="G38" i="181" s="1"/>
  <c r="E37" i="181"/>
  <c r="E36" i="181"/>
  <c r="E35" i="181"/>
  <c r="E34" i="181"/>
  <c r="F34" i="181" s="1"/>
  <c r="E33" i="181"/>
  <c r="E32" i="181"/>
  <c r="E31" i="181"/>
  <c r="E30" i="181"/>
  <c r="F30" i="181" s="1"/>
  <c r="E29" i="181"/>
  <c r="E28" i="181"/>
  <c r="F28" i="181" s="1"/>
  <c r="E27" i="181"/>
  <c r="F27" i="181" s="1"/>
  <c r="G27" i="181" s="1"/>
  <c r="E26" i="181"/>
  <c r="F26" i="181" s="1"/>
  <c r="E25" i="181"/>
  <c r="E24" i="181"/>
  <c r="E23" i="181"/>
  <c r="E22" i="181"/>
  <c r="E21" i="181"/>
  <c r="E20" i="181"/>
  <c r="F20" i="181" s="1"/>
  <c r="E19" i="181"/>
  <c r="F19" i="181" s="1"/>
  <c r="F21" i="181" l="1"/>
  <c r="G21" i="181" s="1"/>
  <c r="F37" i="181"/>
  <c r="G37" i="181" s="1"/>
  <c r="F36" i="181"/>
  <c r="G36" i="181" s="1"/>
  <c r="F35" i="181"/>
  <c r="G35" i="181" s="1"/>
  <c r="F33" i="181"/>
  <c r="G33" i="181" s="1"/>
  <c r="F32" i="181"/>
  <c r="G32" i="181" s="1"/>
  <c r="F31" i="181"/>
  <c r="G31" i="181" s="1"/>
  <c r="F29" i="181"/>
  <c r="G29" i="181" s="1"/>
  <c r="F25" i="181"/>
  <c r="G25" i="181" s="1"/>
  <c r="F24" i="181"/>
  <c r="G24" i="181" s="1"/>
  <c r="F23" i="181"/>
  <c r="G23" i="181" s="1"/>
  <c r="F22" i="181"/>
  <c r="G22"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G27" i="108"/>
  <c r="F28" i="108"/>
  <c r="F31" i="108"/>
  <c r="F36" i="108"/>
  <c r="G28" i="108"/>
  <c r="G29" i="108"/>
  <c r="G30" i="108"/>
  <c r="D31"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D7245" i="106" l="1"/>
  <c r="L5" i="11"/>
  <c r="B2056" i="106" s="1"/>
  <c r="D2056" i="106" s="1"/>
  <c r="L367" i="29"/>
  <c r="L342" i="29"/>
  <c r="F50" i="34"/>
  <c r="F42" i="34"/>
  <c r="D6103" i="106"/>
  <c r="B3647" i="106"/>
  <c r="D3647" i="106" s="1"/>
  <c r="K76" i="4"/>
  <c r="B3586" i="106" s="1"/>
  <c r="D3586" i="106" s="1"/>
  <c r="K184" i="29"/>
  <c r="F13" i="4" s="1"/>
  <c r="B2596" i="106" s="1"/>
  <c r="D2596" i="106" s="1"/>
  <c r="L13" i="11"/>
  <c r="B2060" i="106" s="1"/>
  <c r="D2060" i="106" s="1"/>
  <c r="F19" i="7"/>
  <c r="B1807" i="106" s="1"/>
  <c r="D1807" i="106" s="1"/>
  <c r="G210" i="29"/>
  <c r="E29" i="108"/>
  <c r="C129" i="29"/>
  <c r="E38"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D7256" i="106"/>
  <c r="D7251" i="106"/>
  <c r="L16" i="11"/>
  <c r="B2061" i="106" s="1"/>
  <c r="D2061" i="106" s="1"/>
  <c r="N23" i="3"/>
  <c r="B284" i="106" s="1"/>
  <c r="D284" i="106" s="1"/>
  <c r="L114" i="29"/>
  <c r="B1365" i="106"/>
  <c r="D1365" i="106" s="1"/>
  <c r="F65" i="34"/>
  <c r="F41" i="108"/>
  <c r="G43" i="108" s="1"/>
  <c r="D41" i="108"/>
  <c r="E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27" i="106"/>
  <c r="D6227"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<sst xmlns="http://schemas.openxmlformats.org/spreadsheetml/2006/main" count="5207" uniqueCount="2182">
  <si>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</si>
  <si>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</si>
  <si>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</si>
  <si>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</si>
  <si>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</si>
  <si>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</si>
  <si>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</si>
  <si>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</si>
  <si>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</si>
  <si>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</si>
  <si>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</si>
  <si>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</si>
  <si>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</si>
  <si>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</si>
  <si>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</si>
  <si>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</si>
  <si>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</si>
  <si>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</si>
  <si>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</si>
  <si>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</si>
  <si>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</si>
  <si>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</si>
  <si>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</si>
  <si>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</si>
  <si>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</si>
  <si>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</si>
  <si>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</si>
  <si>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</si>
  <si>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</si>
  <si>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</si>
  <si>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</si>
  <si>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</si>
  <si>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</si>
  <si>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</si>
  <si>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</si>
  <si>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</si>
  <si>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</si>
  <si>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</si>
  <si>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</si>
  <si>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</si>
  <si>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</si>
  <si>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</si>
  <si>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</si>
  <si>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</si>
  <si>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</si>
  <si>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</si>
  <si>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</si>
  <si>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</si>
  <si>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</si>
  <si>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</si>
  <si>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</si>
  <si>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</si>
  <si>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</si>
  <si>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</si>
  <si>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</si>
  <si>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</si>
  <si>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</si>
  <si>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</si>
  <si>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</si>
  <si>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</si>
  <si>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</si>
  <si>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</si>
  <si>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</si>
  <si>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</si>
  <si>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</si>
  <si>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</si>
  <si>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</si>
  <si>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</si>
  <si>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</si>
  <si>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</si>
  <si>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</si>
  <si>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</si>
  <si>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</si>
  <si>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</si>
  <si>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</si>
  <si>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</si>
  <si>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</si>
  <si>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</si>
  <si>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</si>
  <si>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</si>
  <si>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</si>
  <si>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</si>
  <si>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</si>
  <si>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</si>
  <si>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</si>
  <si>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</si>
  <si>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</si>
  <si>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</si>
  <si>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</si>
  <si>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</si>
  <si>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</si>
  <si>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</si>
  <si>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</si>
  <si>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</si>
  <si>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</si>
  <si>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</si>
  <si>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</si>
  <si>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</si>
  <si>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</si>
  <si>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</si>
  <si>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</si>
  <si>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</si>
  <si>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</si>
  <si>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</si>
  <si>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</si>
  <si>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</si>
  <si>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</si>
  <si>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</si>
  <si>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</si>
  <si>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</si>
  <si>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</si>
  <si>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</si>
  <si>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</si>
  <si>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</si>
  <si>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</si>
  <si>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</si>
  <si>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</si>
  <si>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</si>
  <si>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</si>
  <si>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</si>
  <si>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</si>
  <si>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</si>
  <si>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</si>
  <si>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</si>
  <si>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</si>
  <si>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</si>
  <si>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</si>
  <si>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</si>
  <si>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</si>
  <si>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</si>
  <si>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</si>
  <si>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</si>
  <si>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</si>
  <si>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</si>
  <si>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</si>
  <si>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</si>
  <si>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</si>
  <si>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</si>
  <si>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</si>
  <si>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</si>
  <si>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</si>
  <si>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</si>
  <si>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</si>
  <si>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</si>
  <si>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</si>
  <si>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</si>
  <si>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</si>
  <si>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</si>
  <si>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</si>
  <si>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</si>
  <si>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</si>
  <si>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</si>
  <si>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</si>
  <si>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</si>
  <si>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</si>
  <si>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</si>
  <si>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</si>
  <si>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</si>
  <si>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</si>
  <si>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</si>
  <si>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</si>
  <si>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</si>
  <si>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</si>
  <si>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</si>
  <si>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</si>
  <si>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</si>
  <si>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</si>
  <si>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</si>
  <si>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</si>
  <si>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</si>
  <si>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</si>
  <si>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</si>
  <si>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</si>
  <si>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</si>
  <si>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</si>
  <si>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</si>
  <si>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</si>
  <si>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</si>
  <si>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</si>
  <si>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</si>
  <si>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</si>
  <si>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</si>
  <si>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</si>
  <si>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</si>
  <si>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</si>
  <si>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</si>
  <si>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</si>
  <si>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</si>
  <si>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</si>
  <si>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</si>
  <si>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</si>
  <si>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</si>
  <si>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</si>
  <si>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</si>
  <si>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</si>
  <si>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</si>
  <si>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</si>
  <si>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</si>
  <si>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</si>
  <si>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</si>
  <si>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</si>
  <si>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</si>
  <si>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</si>
  <si>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</si>
  <si>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</si>
  <si>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</si>
  <si>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</si>
  <si>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</si>
  <si>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</si>
  <si>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</si>
  <si>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</si>
  <si>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</si>
  <si>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</si>
  <si>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</si>
  <si>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</si>
  <si>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</si>
  <si>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</si>
  <si>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</si>
  <si>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</si>
  <si>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</si>
  <si>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</si>
  <si>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</si>
  <si>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</si>
  <si>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</si>
  <si>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</si>
  <si>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</si>
  <si>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</si>
  <si>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</si>
  <si>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</si>
  <si>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</si>
  <si>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</si>
  <si>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</si>
  <si>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</si>
  <si>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</si>
  <si>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</si>
  <si>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</si>
  <si>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</si>
  <si>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</si>
  <si>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</si>
  <si>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</si>
  <si>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</si>
  <si>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</si>
  <si>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</si>
  <si>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</si>
  <si>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</si>
  <si>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</si>
  <si>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</si>
  <si>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</si>
  <si>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</si>
  <si>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</si>
  <si>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</si>
  <si>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</si>
  <si>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</si>
  <si>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</si>
  <si>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</si>
  <si>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</si>
  <si>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</si>
  <si>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</si>
  <si>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</si>
  <si>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</si>
  <si>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</si>
  <si>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</si>
  <si>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</si>
  <si>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</si>
  <si>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</si>
  <si>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</si>
  <si>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</si>
  <si>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</si>
  <si>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</si>
  <si>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</si>
  <si>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</si>
  <si>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</si>
  <si>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</si>
  <si>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</si>
  <si>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</si>
  <si>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</si>
  <si>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</si>
  <si>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</si>
  <si>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</si>
  <si>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</si>
  <si>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</si>
  <si>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</si>
  <si>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</si>
  <si>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</si>
  <si>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</si>
  <si>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</si>
  <si>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</si>
  <si>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</si>
  <si>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</si>
  <si>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</si>
  <si>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</si>
  <si>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</si>
  <si>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</si>
  <si>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</si>
  <si>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</si>
  <si>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</si>
  <si>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</si>
  <si>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</si>
  <si>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</si>
  <si>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</si>
  <si>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</si>
  <si>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</si>
  <si>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</si>
  <si>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</si>
  <si>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</si>
  <si>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</si>
  <si>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</si>
  <si>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</si>
  <si>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</si>
  <si>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</si>
  <si>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</si>
  <si>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</si>
  <si>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</si>
  <si>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</si>
  <si>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</si>
  <si>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</si>
  <si>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</si>
  <si>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</si>
  <si>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</si>
  <si>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</si>
  <si>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</si>
  <si>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</si>
  <si>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</si>
  <si>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</si>
  <si>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</si>
  <si>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</si>
  <si>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</si>
  <si>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</si>
  <si>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</si>
  <si>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</si>
  <si>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</si>
  <si>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</si>
  <si>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</si>
  <si>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</si>
  <si>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</si>
  <si>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</si>
  <si>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</si>
  <si>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</si>
  <si>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</si>
  <si>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</si>
  <si>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</si>
  <si>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</si>
  <si>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</si>
  <si>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</si>
  <si>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</si>
  <si>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</si>
  <si>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</si>
  <si>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</si>
  <si>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</si>
  <si>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</si>
  <si>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</si>
  <si>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</si>
  <si>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</si>
  <si>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</si>
  <si>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</si>
  <si>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</si>
  <si>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</si>
  <si>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</si>
  <si>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</si>
  <si>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</si>
  <si>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</si>
  <si>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</si>
  <si>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</si>
  <si>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</si>
  <si>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</si>
  <si>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</si>
  <si>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</si>
  <si>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</si>
  <si>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</si>
  <si>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</si>
  <si>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</si>
  <si>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</si>
  <si>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</si>
  <si>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</si>
  <si>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</si>
  <si>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</si>
  <si>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</si>
  <si>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</si>
  <si>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</si>
  <si>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</si>
  <si>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</si>
  <si>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</si>
  <si>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</si>
  <si>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</si>
  <si>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</si>
  <si>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</si>
  <si>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</si>
  <si>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</si>
  <si>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</si>
  <si>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</si>
  <si>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</si>
  <si>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</si>
  <si>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</si>
  <si>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</si>
  <si>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</si>
  <si>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</si>
  <si>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</si>
  <si>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</si>
  <si>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</si>
  <si>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</si>
  <si>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</si>
  <si>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</si>
  <si>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</si>
  <si>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</si>
  <si>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</si>
  <si>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</si>
  <si>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</si>
  <si>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</si>
  <si>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</si>
  <si>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</si>
  <si>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</si>
  <si>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</si>
  <si>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</si>
  <si>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</si>
  <si>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</si>
  <si>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</si>
  <si>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</si>
  <si>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</si>
  <si>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</si>
  <si>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</si>
  <si>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</si>
  <si>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</si>
  <si>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</si>
  <si>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</si>
  <si>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</si>
  <si>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</si>
  <si>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</si>
  <si>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</si>
  <si>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</si>
  <si>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</si>
  <si>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</si>
  <si>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</si>
  <si>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</si>
  <si>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</si>
  <si>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</si>
  <si>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</si>
  <si>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</si>
  <si>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</si>
  <si>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</si>
  <si>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</si>
  <si>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</si>
  <si>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</si>
  <si>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</si>
  <si>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</si>
  <si>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</si>
  <si>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</si>
  <si>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</si>
  <si>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</si>
  <si>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</si>
  <si>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</si>
  <si>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</si>
  <si>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</si>
  <si>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</si>
  <si>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</si>
  <si>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</si>
  <si>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</si>
  <si>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</si>
  <si>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</si>
  <si>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</si>
  <si>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</si>
  <si>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</si>
  <si>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</si>
  <si>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</si>
  <si>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</si>
  <si>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</si>
  <si>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</si>
  <si>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</si>
  <si>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</si>
  <si>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</si>
  <si>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</si>
  <si>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</si>
  <si>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</si>
  <si>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</si>
  <si>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</si>
  <si>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</si>
  <si>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</si>
  <si>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</si>
  <si>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</si>
  <si>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</si>
  <si>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</si>
  <si>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</si>
  <si>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</si>
  <si>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</si>
  <si>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</si>
  <si>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</si>
  <si>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</si>
  <si>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</si>
  <si>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</si>
  <si>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</si>
  <si>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</si>
  <si>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</si>
  <si>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</si>
  <si>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</si>
  <si>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</si>
  <si>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</si>
  <si>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</si>
  <si>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</si>
  <si>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</si>
  <si>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</si>
  <si>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</si>
  <si>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</si>
  <si>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</si>
  <si>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</si>
  <si>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</si>
  <si>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</si>
  <si>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</si>
  <si>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</si>
  <si>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</si>
  <si>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</si>
  <si>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</si>
  <si>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</si>
  <si>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</si>
  <si>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</si>
  <si>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</si>
  <si>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</si>
  <si>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</si>
  <si>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</si>
  <si>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</si>
  <si>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</si>
  <si>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</si>
  <si>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</si>
  <si>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</si>
  <si>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</si>
  <si>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</si>
  <si>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</si>
  <si>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</si>
  <si>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</si>
  <si>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</si>
  <si>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</si>
  <si>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</si>
  <si>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</si>
  <si>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</si>
  <si>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</si>
  <si>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</si>
  <si>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</si>
  <si>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</si>
  <si>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</si>
  <si>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</si>
  <si>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</si>
  <si>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</si>
  <si>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</si>
  <si>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</si>
  <si>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</si>
  <si>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</si>
  <si>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</si>
  <si>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</si>
  <si>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</si>
  <si>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</si>
  <si>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</si>
  <si>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</si>
  <si>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</si>
  <si>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</si>
  <si>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</si>
  <si>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</si>
  <si>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</si>
  <si>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</si>
  <si>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</si>
  <si>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</si>
  <si>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</si>
  <si>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</si>
  <si>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</si>
  <si>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</si>
  <si>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</si>
  <si>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</si>
  <si>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</si>
  <si>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</si>
  <si>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</si>
  <si>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</si>
  <si>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</si>
  <si>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</si>
  <si>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</si>
  <si>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</si>
  <si>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</si>
  <si>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</si>
  <si>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</si>
  <si>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</si>
  <si>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</si>
  <si>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</si>
  <si>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</si>
  <si>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</si>
  <si>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</si>
  <si>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</si>
  <si>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</si>
  <si>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</si>
  <si>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</si>
  <si>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</si>
  <si>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</si>
  <si>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</si>
  <si>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</si>
  <si>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</si>
  <si>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</si>
  <si>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</si>
  <si>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</si>
  <si>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</si>
  <si>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</si>
  <si>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</si>
  <si>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</si>
  <si>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</si>
  <si>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</si>
  <si>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</si>
  <si>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</si>
  <si>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</si>
  <si>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</si>
  <si>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</si>
  <si>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</si>
  <si>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</si>
  <si>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</si>
  <si>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</si>
  <si>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</si>
  <si>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</si>
  <si>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</si>
  <si>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</si>
  <si>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</si>
  <si>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</si>
  <si>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</si>
  <si>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</si>
  <si>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</si>
  <si>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</si>
  <si>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</si>
  <si>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</si>
  <si>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</si>
  <si>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</si>
  <si>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</si>
  <si>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</si>
  <si>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</si>
  <si>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</si>
  <si>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</si>
  <si>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</si>
  <si>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</si>
  <si>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</si>
  <si>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</si>
  <si>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</si>
  <si>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</si>
  <si>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</si>
  <si>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</si>
  <si>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</si>
  <si>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</si>
  <si>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</si>
  <si>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</si>
  <si>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</si>
  <si>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</si>
  <si>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</si>
  <si>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</si>
  <si>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</si>
  <si>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</si>
  <si>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</si>
  <si>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</si>
  <si>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</si>
  <si>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</si>
  <si>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</si>
  <si>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</si>
  <si>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</si>
  <si>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</si>
  <si>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</si>
  <si>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</si>
  <si>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</si>
  <si>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</si>
  <si>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</si>
  <si>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</si>
  <si>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</si>
  <si>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</si>
  <si>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</si>
  <si>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</si>
  <si>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</si>
  <si>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</si>
  <si>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</si>
  <si>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</si>
  <si>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</si>
  <si>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</si>
  <si>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</si>
  <si>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</si>
  <si>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</si>
  <si>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</si>
  <si>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</si>
  <si>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</si>
  <si>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</si>
  <si>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</si>
  <si>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</si>
  <si>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</si>
  <si>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</si>
  <si>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</si>
  <si>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</si>
  <si>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</si>
  <si>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</si>
  <si>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</si>
  <si>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</si>
  <si>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</si>
  <si>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</si>
  <si>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</si>
  <si>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</si>
  <si>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</si>
  <si>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</si>
  <si>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</si>
  <si>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</si>
  <si>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</si>
  <si>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</si>
  <si>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</si>
  <si>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</si>
  <si>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</si>
  <si>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</si>
  <si>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</si>
  <si>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</si>
  <si>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</si>
  <si>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</si>
  <si>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</si>
  <si>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</si>
  <si>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</si>
  <si>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</si>
  <si>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</si>
  <si>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</si>
  <si>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</si>
  <si>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</si>
  <si>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</si>
  <si>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</si>
  <si>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</si>
  <si>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</si>
  <si>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</si>
  <si>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</si>
  <si>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</si>
  <si>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</si>
  <si>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</si>
  <si>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</si>
  <si>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</si>
  <si>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</si>
  <si>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</si>
  <si>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</si>
  <si>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</si>
  <si>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</si>
  <si>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</si>
  <si>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</si>
  <si>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</si>
  <si>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</si>
  <si>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</si>
  <si>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</si>
  <si>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</si>
  <si>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</si>
  <si>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</si>
  <si>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</si>
  <si>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</si>
  <si>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</si>
  <si>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</si>
  <si>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</si>
  <si>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</si>
  <si>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</si>
  <si>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</si>
  <si>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</si>
  <si>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</si>
  <si>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</si>
  <si>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</si>
  <si>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</si>
  <si>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</si>
  <si>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</si>
  <si>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</si>
  <si>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</si>
  <si>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</si>
  <si>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</si>
  <si>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</si>
  <si>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</si>
  <si>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</si>
  <si>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</si>
  <si>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</si>
  <si>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</si>
  <si>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</si>
  <si>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</si>
  <si>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</si>
  <si>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</si>
  <si>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</si>
  <si>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</si>
  <si>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</si>
  <si>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</si>
  <si>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</si>
  <si>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</si>
  <si>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</si>
  <si>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</si>
  <si>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</si>
  <si>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</si>
  <si>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</si>
  <si>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</si>
  <si>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</si>
  <si>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</si>
  <si>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</si>
  <si>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</si>
  <si>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</si>
  <si>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</si>
  <si>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</si>
  <si>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</si>
  <si>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</si>
  <si>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</si>
  <si>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</si>
  <si>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</si>
  <si>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</si>
  <si>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</si>
  <si>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</si>
  <si>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</si>
  <si>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</si>
  <si>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</si>
  <si>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</si>
  <si>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</si>
  <si>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</si>
  <si>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</si>
  <si>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</si>
  <si>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</si>
  <si>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</si>
  <si>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</si>
  <si>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</si>
  <si>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</si>
  <si>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</si>
  <si>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</si>
  <si>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</si>
  <si>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</si>
  <si>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</si>
  <si>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</si>
  <si>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</si>
  <si>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</si>
  <si>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</si>
  <si>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</si>
  <si>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</si>
  <si>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</si>
  <si>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</si>
  <si>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</si>
  <si>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</si>
  <si>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</si>
  <si>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</si>
  <si>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</si>
  <si>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</si>
  <si>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</si>
  <si>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</si>
  <si>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</si>
  <si>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</si>
  <si>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</si>
  <si>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</si>
  <si>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</si>
  <si>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</si>
  <si>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</si>
  <si>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</si>
  <si>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</si>
  <si>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</si>
  <si>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</si>
  <si>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</si>
  <si>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</si>
  <si>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</si>
  <si>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</si>
  <si>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</si>
  <si>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</si>
  <si>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</si>
  <si>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</si>
  <si>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</si>
  <si>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</si>
  <si>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</si>
  <si>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</si>
  <si>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</si>
  <si>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</si>
  <si>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</si>
  <si>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</si>
  <si>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</si>
  <si>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</si>
  <si>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</si>
  <si>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</si>
  <si>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</si>
  <si>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</si>
  <si>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</si>
  <si>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</si>
  <si>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</si>
  <si>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</si>
  <si>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</si>
  <si>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</si>
  <si>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</si>
  <si>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</si>
  <si>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</si>
  <si>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</si>
  <si>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</si>
  <si>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</si>
  <si>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</si>
  <si>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</si>
  <si>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</si>
  <si>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</si>
  <si>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</si>
  <si>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</si>
  <si>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</si>
  <si>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</si>
  <si>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</si>
  <si>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</si>
  <si>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</si>
  <si>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</si>
  <si>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</si>
  <si>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</si>
  <si>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</si>
  <si>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</si>
  <si>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</si>
  <si>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</si>
  <si>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</si>
  <si>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</si>
  <si>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</si>
  <si>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</si>
  <si>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</si>
  <si>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</si>
  <si>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</si>
  <si>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</si>
  <si>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</si>
  <si>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</si>
  <si>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</si>
  <si>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</si>
  <si>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</si>
  <si>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</si>
  <si>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</si>
  <si>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</si>
  <si>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</si>
  <si>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</si>
  <si>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</si>
  <si>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</si>
  <si>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</si>
  <si>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</si>
  <si>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</si>
  <si>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</si>
  <si>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</si>
  <si>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</si>
  <si>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</si>
  <si>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</si>
  <si>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</si>
  <si>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</si>
  <si>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</si>
  <si>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</si>
  <si>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</si>
  <si>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</si>
  <si>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</si>
  <si>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</si>
  <si>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</si>
  <si>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</si>
  <si>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</si>
  <si>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</si>
  <si>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</si>
  <si>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</si>
  <si>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</si>
  <si>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</si>
  <si>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</si>
  <si>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</si>
  <si>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</si>
  <si>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</si>
  <si>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</si>
  <si>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</si>
  <si>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</si>
  <si>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</si>
  <si>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</si>
  <si>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</si>
  <si>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</si>
  <si>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</si>
  <si>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</si>
  <si>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</si>
  <si>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</si>
  <si>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</si>
  <si>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</si>
  <si>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</si>
  <si>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</si>
  <si>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</si>
  <si>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</si>
  <si>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</si>
  <si>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</si>
  <si>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</si>
  <si>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</si>
  <si>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</si>
  <si>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</si>
  <si>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</si>
  <si>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</si>
  <si>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</si>
  <si>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</si>
  <si>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</si>
  <si>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</si>
  <si>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</si>
  <si>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</si>
  <si>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</si>
  <si>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</si>
  <si>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</si>
  <si>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</si>
  <si>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</si>
  <si>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</si>
  <si>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</si>
  <si>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</si>
  <si>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</si>
  <si>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</si>
  <si>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</si>
  <si>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</si>
  <si>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</si>
  <si>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</si>
  <si>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</si>
  <si>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</si>
  <si>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</si>
  <si>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</si>
  <si>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</si>
  <si>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</si>
  <si>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</si>
  <si>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</si>
  <si>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</si>
  <si>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</si>
  <si>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</si>
  <si>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</si>
  <si>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</si>
  <si>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</si>
  <si>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</si>
  <si>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</si>
  <si>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</si>
  <si>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</si>
  <si>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</si>
  <si>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</si>
  <si>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</si>
  <si>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</si>
  <si>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</si>
  <si>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</si>
  <si>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</si>
  <si>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</si>
  <si>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</si>
  <si>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</si>
  <si>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</si>
  <si>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</si>
  <si>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</si>
  <si>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</si>
  <si>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</si>
  <si>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</si>
  <si>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</si>
  <si>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</si>
  <si>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</si>
  <si>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</si>
  <si>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</si>
  <si>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</si>
  <si>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</si>
  <si>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</si>
  <si>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</si>
  <si>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</si>
  <si>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</si>
  <si>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</si>
  <si>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</si>
  <si>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</si>
  <si>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</si>
  <si>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</si>
  <si>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</si>
  <si>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</si>
  <si>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</si>
  <si>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</si>
  <si>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</si>
  <si>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</si>
  <si>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</si>
  <si>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</si>
  <si>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</si>
  <si>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</si>
  <si>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</si>
  <si>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</si>
  <si>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</si>
  <si>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</si>
  <si>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</si>
  <si>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</si>
  <si>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</si>
  <si>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</si>
  <si>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</si>
  <si>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</si>
  <si>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</si>
  <si>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</si>
  <si>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</si>
  <si>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</si>
  <si>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</si>
  <si>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</si>
  <si>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</si>
  <si>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</si>
  <si>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</si>
  <si>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</si>
  <si>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</si>
  <si>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</si>
  <si>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</si>
  <si>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</si>
  <si>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</si>
  <si>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</si>
  <si>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</si>
  <si>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</si>
  <si>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</si>
  <si>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</si>
  <si>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</si>
  <si>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</si>
  <si>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</si>
  <si>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</si>
  <si>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</si>
  <si>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</si>
  <si>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</si>
  <si>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</si>
  <si>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</si>
  <si>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</si>
  <si>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</si>
  <si>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</si>
  <si>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</si>
  <si>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</si>
  <si>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</si>
  <si>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</si>
  <si>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</si>
  <si>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</si>
  <si>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</si>
  <si>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</si>
  <si>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</si>
  <si>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</si>
  <si>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</si>
  <si>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</si>
  <si>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</si>
  <si>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</si>
  <si>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</si>
  <si>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</si>
  <si>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</si>
  <si>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</si>
  <si>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</si>
  <si>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</si>
  <si>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</si>
  <si>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</si>
  <si>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</si>
  <si>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</si>
  <si>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</si>
  <si>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</si>
  <si>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</si>
  <si>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</si>
  <si>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</si>
  <si>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</si>
  <si>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</si>
  <si>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</si>
  <si>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</si>
  <si>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</si>
  <si>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</si>
  <si>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</si>
  <si>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</si>
  <si>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</si>
  <si>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</si>
  <si>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</si>
  <si>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</si>
  <si>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</si>
  <si>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</si>
  <si>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</si>
  <si>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</si>
  <si>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</si>
  <si>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</si>
  <si>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</si>
  <si>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</si>
  <si>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</si>
  <si>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</si>
  <si>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</si>
  <si>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</si>
  <si>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</si>
  <si>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</si>
  <si>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</si>
  <si>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</si>
  <si>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</si>
  <si>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</si>
  <si>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</si>
  <si>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</si>
  <si>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</si>
  <si>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</si>
  <si>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</si>
  <si>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</si>
  <si>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</si>
  <si>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</si>
  <si>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</si>
  <si>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</si>
  <si>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</si>
  <si>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</si>
  <si>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</si>
  <si>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</si>
  <si>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</si>
  <si>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</si>
  <si>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</si>
  <si>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</si>
  <si>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</si>
  <si>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</si>
  <si>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</si>
  <si>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</si>
  <si>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</si>
  <si>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</si>
  <si>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</si>
  <si>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</si>
  <si>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</si>
  <si>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</si>
  <si>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</si>
  <si>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</si>
  <si>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</si>
  <si>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</si>
  <si>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</si>
  <si>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</si>
  <si>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</si>
  <si>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</si>
  <si>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</si>
  <si>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</si>
  <si>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</si>
  <si>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</si>
  <si>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</si>
  <si>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</si>
  <si>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</si>
  <si>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</si>
  <si>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</si>
  <si>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</si>
  <si>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</si>
  <si>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</si>
  <si>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</si>
  <si>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</si>
  <si>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</si>
  <si>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</si>
  <si>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</si>
  <si>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</si>
  <si>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</si>
  <si>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</si>
  <si>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</si>
  <si>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</si>
  <si>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</si>
  <si>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</si>
  <si>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</si>
  <si>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</si>
  <si>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</si>
  <si>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</si>
  <si>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</si>
  <si>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</si>
  <si>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</si>
  <si>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</si>
  <si>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</si>
  <si>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</si>
  <si>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</si>
  <si>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</si>
  <si>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</si>
  <si>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</si>
  <si>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</si>
  <si>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</si>
  <si>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</si>
  <si>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</si>
  <si>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</si>
  <si>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</si>
  <si>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</si>
  <si>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</si>
  <si>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</si>
  <si>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</si>
  <si>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</si>
  <si>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</si>
  <si>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</si>
  <si>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</si>
  <si>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</si>
  <si>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</si>
  <si>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</si>
  <si>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</si>
  <si>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</si>
  <si>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</si>
  <si>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</si>
  <si>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</si>
  <si>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</si>
  <si>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</si>
  <si>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</si>
  <si>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</si>
  <si>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</si>
  <si>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</si>
  <si>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</si>
  <si>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</si>
  <si>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</si>
  <si>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</si>
  <si>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</si>
  <si>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</si>
  <si>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</si>
  <si>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</si>
  <si>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</si>
  <si>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</si>
  <si>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</si>
  <si>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</si>
  <si>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</si>
  <si>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</si>
  <si>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</si>
  <si>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</si>
  <si>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</si>
  <si>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</si>
  <si>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</si>
  <si>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</si>
  <si>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</si>
  <si>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</si>
  <si>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</si>
  <si>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</si>
  <si>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</si>
  <si>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</si>
  <si>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</si>
  <si>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</si>
  <si>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</si>
  <si>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</si>
  <si>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</si>
  <si>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</si>
  <si>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</si>
  <si>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</si>
  <si>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</si>
  <si>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</si>
  <si>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</si>
  <si>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</si>
  <si>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</si>
  <si>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</si>
  <si>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</si>
  <si>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</si>
  <si>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</si>
  <si>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</si>
  <si>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</si>
  <si>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</si>
  <si>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</si>
  <si>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</si>
  <si>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</si>
  <si>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</si>
  <si>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</si>
  <si>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</si>
  <si>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</si>
  <si>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</si>
  <si>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</si>
  <si>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</si>
  <si>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</si>
  <si>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</si>
  <si>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</si>
  <si>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</si>
  <si>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</si>
  <si>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</si>
  <si>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</si>
  <si>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</si>
  <si>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</si>
  <si>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</si>
  <si>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</si>
  <si>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</si>
  <si>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</si>
  <si>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</si>
  <si>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</si>
  <si>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</si>
  <si>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</si>
  <si>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</si>
  <si>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</si>
  <si>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</si>
  <si>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</si>
  <si>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</si>
  <si>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</si>
  <si>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</si>
  <si>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</si>
  <si>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</si>
  <si>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</si>
  <si>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</si>
  <si>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</si>
  <si>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</si>
  <si>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</si>
  <si>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</si>
  <si>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</si>
  <si>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</si>
  <si>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</si>
  <si>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</si>
  <si>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</si>
  <si>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</si>
  <si>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</si>
  <si>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</si>
  <si>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</si>
  <si>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</si>
  <si>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</si>
  <si>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</si>
  <si>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</si>
  <si>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</si>
  <si>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</si>
  <si>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</si>
  <si>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</si>
  <si>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</si>
  <si>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</si>
  <si>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</si>
  <si>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</si>
  <si>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</si>
  <si>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</si>
  <si>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</si>
  <si>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</si>
  <si>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</si>
  <si>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</si>
  <si>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</si>
  <si>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</si>
  <si>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</si>
  <si>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</si>
  <si>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</si>
  <si>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</si>
  <si>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</si>
  <si>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</si>
  <si>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</si>
  <si>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</si>
  <si>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</si>
  <si>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</si>
  <si>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</si>
  <si>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</si>
  <si>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</si>
  <si>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</si>
  <si>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</si>
  <si>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</si>
  <si>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</si>
  <si>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</si>
  <si>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</si>
  <si>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</si>
  <si>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</si>
  <si>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</si>
  <si>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</si>
  <si>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</si>
  <si>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</si>
  <si>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</si>
  <si>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</si>
  <si>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</si>
  <si>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</si>
  <si>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</si>
  <si>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</si>
  <si>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</si>
  <si>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</si>
  <si>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</si>
  <si>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</si>
  <si>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</si>
  <si>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</si>
  <si>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</si>
  <si>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</si>
  <si>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</si>
  <si>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</si>
  <si>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</si>
  <si>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</si>
  <si>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</si>
  <si>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</si>
  <si>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</si>
  <si>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</si>
  <si>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</si>
  <si>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</si>
  <si>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</si>
  <si>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</si>
  <si>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</si>
  <si>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</si>
  <si>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</si>
  <si>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</si>
  <si>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</si>
  <si>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</si>
  <si>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</si>
  <si>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</si>
  <si>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</si>
  <si>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</si>
  <si>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</si>
  <si>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</si>
  <si>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</si>
  <si>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</si>
  <si>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</si>
  <si>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</si>
  <si>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</si>
  <si>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</si>
  <si>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</si>
  <si>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</si>
  <si>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</si>
  <si>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</si>
  <si>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</si>
  <si>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</si>
  <si>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</si>
  <si>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</si>
  <si>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</si>
  <si>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</si>
  <si>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</si>
  <si>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</si>
  <si>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</si>
  <si>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</si>
  <si>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</si>
  <si>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</si>
  <si>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</si>
  <si>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</si>
  <si>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</si>
  <si>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</si>
  <si>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</si>
  <si>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</si>
  <si>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</si>
  <si>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</si>
  <si>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</si>
  <si>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</si>
  <si>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</si>
  <si>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</si>
  <si>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</si>
  <si>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</si>
  <si>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</si>
  <si>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</si>
  <si>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</si>
  <si>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</si>
  <si>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</si>
  <si>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</si>
  <si>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</si>
  <si>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</si>
  <si>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</si>
  <si>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</si>
  <si>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</si>
  <si>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</si>
  <si>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</si>
  <si>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</si>
  <si>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</si>
  <si>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</si>
  <si>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</si>
  <si>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</si>
  <si>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</si>
  <si>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</si>
  <si>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</si>
  <si>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</si>
  <si>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</si>
  <si>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</si>
  <si>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</si>
  <si>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</si>
  <si>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</si>
  <si>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</si>
  <si>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</si>
  <si>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</si>
  <si>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</si>
  <si>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</si>
  <si>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</si>
  <si>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</si>
  <si>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</si>
  <si>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</si>
  <si>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</si>
  <si>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</si>
  <si>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</si>
  <si>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</si>
  <si>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</si>
  <si>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</si>
  <si>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</si>
  <si>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</si>
  <si>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</si>
  <si>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</si>
  <si>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</si>
  <si>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</si>
  <si>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</si>
  <si>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</si>
  <si>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</si>
  <si>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</si>
  <si>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</si>
  <si>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</si>
  <si>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</si>
  <si>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</si>
  <si>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</si>
  <si>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</si>
  <si>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</si>
  <si>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</si>
  <si>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</si>
  <si>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</si>
  <si>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</si>
  <si>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</si>
  <si>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</si>
  <si>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</si>
  <si>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</si>
  <si>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</si>
  <si>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</si>
  <si>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</si>
  <si>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</si>
  <si>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</si>
  <si>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</si>
  <si>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</si>
  <si>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</si>
  <si>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</si>
  <si>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</si>
  <si>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</si>
  <si>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</si>
  <si>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</si>
  <si>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</si>
  <si>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</si>
  <si>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</si>
  <si>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</si>
  <si>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</si>
  <si>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</si>
  <si>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</si>
  <si>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</si>
  <si>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</si>
  <si>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</si>
  <si>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</si>
  <si>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</si>
  <si>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</si>
  <si>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</si>
  <si>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</si>
  <si>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</si>
  <si>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</si>
  <si>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</si>
  <si>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</si>
  <si>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</si>
  <si>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</si>
  <si>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</si>
  <si>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</si>
  <si>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</si>
  <si>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</si>
  <si>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</si>
  <si>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</si>
  <si>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</si>
  <si>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</si>
  <si>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</si>
  <si>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</si>
  <si>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</si>
  <si>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</si>
  <si>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</si>
  <si>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</si>
  <si>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</si>
  <si>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</si>
  <si>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</si>
  <si>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</si>
  <si>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</si>
  <si>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</si>
  <si>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</si>
  <si>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</si>
  <si>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</si>
  <si>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</si>
  <si>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</si>
  <si>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</si>
  <si>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</si>
  <si>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</si>
  <si>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</si>
  <si>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</si>
  <si>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</si>
  <si>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</si>
  <si>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</si>
  <si>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</si>
  <si>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</si>
  <si>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</si>
  <si>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</si>
  <si>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</si>
  <si>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</si>
  <si>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</si>
  <si>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</si>
  <si>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</si>
  <si>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</si>
  <si>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</si>
  <si>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</si>
  <si>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</si>
  <si>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</si>
  <si>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</si>
  <si>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</si>
  <si>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</si>
  <si>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</si>
  <si>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</si>
  <si>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</si>
  <si>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</si>
  <si>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</si>
  <si>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</si>
  <si>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</si>
  <si>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</si>
  <si>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</si>
  <si>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</si>
  <si>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</si>
  <si>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</si>
  <si>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</si>
  <si>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</si>
  <si>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</si>
  <si>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</si>
  <si>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</si>
  <si>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</si>
  <si>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</si>
  <si>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</si>
  <si>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</si>
  <si>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</si>
  <si>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</si>
  <si>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</si>
  <si>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</si>
  <si>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</si>
  <si>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</si>
  <si>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</si>
  <si>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</si>
  <si>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</si>
  <si>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</si>
  <si>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</si>
  <si>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</si>
  <si>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</si>
  <si>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</si>
  <si>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</si>
  <si>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</si>
  <si>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</si>
  <si>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</si>
  <si>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</si>
  <si>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</si>
  <si>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</si>
  <si>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</si>
  <si>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</si>
  <si>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</si>
  <si>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</si>
  <si>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</si>
  <si>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</si>
  <si>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</si>
  <si>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</si>
  <si>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</si>
  <si>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</si>
  <si>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</si>
  <si>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</si>
  <si>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</si>
  <si>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</si>
  <si>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</si>
  <si>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</si>
  <si>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</si>
  <si>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</si>
  <si>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</si>
  <si>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</si>
  <si>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</si>
  <si>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</si>
  <si>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</si>
  <si>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</si>
  <si>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</si>
  <si>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</si>
  <si>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</si>
  <si>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</si>
  <si>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</si>
  <si>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</si>
  <si>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</si>
  <si>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</si>
  <si>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</si>
  <si>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</si>
  <si>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</si>
  <si>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</si>
  <si>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</si>
  <si>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</si>
  <si>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</si>
  <si>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</si>
  <si>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</si>
  <si>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</si>
  <si>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</si>
  <si>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</si>
  <si>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</si>
  <si>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</si>
  <si>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</si>
  <si>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</si>
  <si>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</si>
  <si>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</si>
  <si>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</si>
  <si>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</si>
  <si>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</si>
  <si>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</si>
  <si>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</si>
  <si>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</si>
  <si>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</si>
  <si>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</si>
  <si>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</si>
  <si>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</si>
  <si>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</si>
  <si>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</si>
  <si>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</si>
  <si>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</si>
  <si>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</si>
  <si>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</si>
  <si>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</si>
  <si>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</si>
  <si>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</si>
  <si>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</si>
  <si>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</si>
  <si>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</si>
  <si>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</si>
  <si>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</si>
  <si>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</si>
  <si>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</si>
  <si>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</si>
  <si>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</si>
  <si>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</si>
  <si>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</si>
  <si>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</si>
  <si>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</si>
  <si>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</si>
  <si>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</si>
  <si>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</si>
  <si>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</si>
  <si>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</si>
  <si>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</si>
  <si>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</si>
  <si>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</si>
  <si>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</si>
  <si>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</si>
  <si>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</si>
  <si>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</si>
  <si>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</si>
  <si>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</si>
  <si>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</si>
  <si>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</si>
  <si>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</si>
  <si>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</si>
  <si>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</si>
  <si>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</si>
  <si>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</si>
  <si>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</si>
  <si>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</si>
  <si>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</si>
  <si>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</si>
  <si>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</si>
  <si>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</si>
  <si>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</si>
  <si>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</si>
  <si>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</si>
  <si>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</si>
  <si>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</si>
  <si>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</si>
  <si>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</si>
  <si>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</si>
  <si>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</si>
  <si>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</si>
  <si>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</si>
  <si>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</si>
  <si>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</si>
  <si>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</si>
  <si>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</si>
  <si>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</si>
  <si>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</si>
  <si>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</si>
  <si>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</si>
  <si>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</si>
  <si>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</si>
  <si>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</si>
  <si>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</si>
  <si>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</si>
  <si>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</si>
  <si>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</si>
  <si>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</si>
  <si>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</si>
  <si>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</si>
  <si>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</si>
  <si>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</si>
  <si>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</si>
  <si>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</si>
  <si>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</si>
  <si>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</si>
  <si>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</si>
  <si>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</si>
  <si>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</si>
  <si>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</si>
  <si>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</si>
  <si>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</si>
  <si>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</si>
  <si>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</si>
  <si>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</si>
  <si>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</si>
  <si>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</si>
  <si>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</si>
  <si>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</si>
  <si>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</si>
  <si>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</si>
  <si>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</si>
  <si>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</si>
  <si>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</si>
  <si>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</si>
  <si>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</si>
  <si>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</si>
  <si>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</si>
  <si>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</si>
  <si>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</si>
  <si>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</si>
  <si>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</si>
  <si>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</si>
  <si>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</si>
  <si>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</si>
  <si>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</si>
  <si>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</si>
  <si>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</si>
  <si>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</si>
  <si>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</si>
  <si>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</si>
  <si>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</si>
  <si>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</si>
  <si>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</si>
  <si>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</si>
  <si>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</si>
  <si>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</si>
  <si>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</si>
  <si>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</si>
  <si>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</si>
  <si>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</si>
  <si>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</si>
  <si>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</si>
  <si>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</si>
  <si>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</si>
  <si>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</si>
  <si>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</si>
  <si>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</si>
  <si>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</si>
  <si>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</si>
  <si>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</si>
  <si>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</si>
  <si>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</si>
  <si>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</si>
  <si>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</si>
  <si>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</si>
  <si>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</si>
  <si>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</si>
  <si>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</si>
  <si>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</si>
  <si>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</si>
  <si>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</si>
  <si>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</si>
  <si>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</si>
  <si>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</si>
  <si>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</si>
  <si>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</si>
  <si>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</si>
  <si>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</si>
  <si>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</si>
  <si>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</si>
  <si>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</si>
  <si>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</si>
  <si>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</si>
  <si>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</si>
  <si>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</si>
  <si>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</si>
  <si>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</si>
  <si>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</si>
  <si>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</si>
  <si>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</si>
  <si>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</si>
  <si>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</si>
  <si>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</si>
  <si>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</si>
  <si>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</si>
  <si>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</si>
  <si>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</si>
  <si>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</si>
  <si>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</si>
  <si>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</si>
  <si>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</si>
  <si>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</si>
  <si>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</si>
  <si>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</si>
  <si>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</si>
  <si>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</si>
  <si>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</si>
  <si>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</si>
  <si>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</si>
  <si>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</si>
  <si>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</si>
  <si>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</si>
  <si>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</si>
  <si>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</si>
  <si>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</si>
  <si>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</si>
  <si>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</si>
  <si>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</si>
  <si>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</si>
  <si>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</si>
  <si>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</si>
  <si>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</si>
  <si>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</si>
  <si>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</si>
  <si>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</si>
  <si>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</si>
  <si>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</si>
  <si>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</si>
  <si>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</si>
  <si>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</si>
  <si>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</si>
  <si>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</si>
  <si>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</si>
  <si>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</si>
  <si>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</si>
  <si>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</si>
  <si>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</si>
  <si>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</si>
  <si>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</si>
  <si>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</si>
  <si>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</si>
  <si>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</si>
  <si>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</si>
  <si>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</si>
  <si>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</si>
  <si>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</si>
  <si>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</si>
  <si>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</si>
  <si>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</si>
  <si>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</si>
  <si>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</si>
  <si>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</si>
  <si>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</si>
  <si>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</si>
  <si>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</si>
  <si>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</si>
  <si>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</si>
  <si>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</si>
  <si>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</si>
  <si>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</si>
  <si>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</si>
  <si>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</si>
  <si>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</si>
  <si>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</si>
  <si>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</si>
  <si>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</si>
  <si>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</si>
  <si>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</si>
  <si>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</si>
  <si>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</si>
  <si>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</si>
  <si>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</si>
  <si>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</si>
  <si>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</si>
  <si>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</si>
  <si>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</si>
  <si>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</si>
  <si>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</si>
  <si>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</si>
  <si>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</si>
  <si>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</si>
  <si>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</si>
  <si>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</si>
  <si>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</si>
  <si>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</si>
  <si>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</si>
  <si>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</si>
  <si>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</si>
  <si>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</si>
  <si>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</si>
  <si>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</si>
  <si>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</si>
  <si>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</si>
  <si>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</si>
  <si>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</si>
  <si>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</si>
  <si>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</si>
  <si>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</si>
  <si>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</si>
  <si>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</si>
  <si>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</si>
  <si>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</si>
  <si>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</si>
  <si>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</si>
  <si>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</si>
  <si>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</si>
  <si>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</si>
  <si>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</si>
  <si>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</si>
  <si>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</si>
  <si>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</si>
  <si>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</si>
  <si>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</si>
  <si>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</si>
  <si>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</si>
  <si>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</si>
  <si>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</si>
  <si>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</si>
  <si>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</si>
  <si>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</si>
  <si>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</si>
  <si>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</si>
  <si>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</si>
  <si>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</si>
  <si>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</si>
  <si>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</si>
  <si>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</si>
  <si>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</si>
  <si>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</si>
  <si>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</si>
  <si>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</si>
  <si>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</si>
  <si>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</si>
  <si>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</si>
  <si>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</si>
  <si>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</si>
  <si>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</si>
  <si>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</si>
  <si>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</si>
  <si>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</si>
  <si>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</si>
  <si>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</si>
  <si>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</si>
  <si>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</si>
  <si>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</si>
  <si>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</si>
  <si>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</si>
  <si>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</si>
  <si>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</si>
  <si>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</si>
  <si>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</si>
  <si>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</si>
  <si>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</si>
  <si>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</si>
  <si>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</si>
  <si>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</si>
  <si>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</si>
  <si>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</si>
  <si>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</si>
  <si>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</si>
  <si>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</si>
  <si>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</si>
  <si>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</si>
  <si>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</si>
  <si>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</si>
  <si>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</si>
  <si>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</si>
  <si>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</si>
  <si>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</si>
  <si>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</si>
  <si>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</si>
  <si>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</si>
  <si>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Tazewell</t>
  </si>
  <si>
    <t>Washington CHSD 308</t>
  </si>
  <si>
    <t>115 Bondurant Street</t>
  </si>
  <si>
    <t>Washington</t>
  </si>
  <si>
    <t>61571-2499</t>
  </si>
  <si>
    <t>Dr. Kyle Freeman</t>
  </si>
  <si>
    <t>kwfreeman@wacohi.net</t>
  </si>
  <si>
    <t>(309) 444-7404</t>
  </si>
  <si>
    <t>(309) 444-9256</t>
  </si>
  <si>
    <t>Koch Consultants, Ltd.</t>
  </si>
  <si>
    <t>Nathan D. Koch</t>
  </si>
  <si>
    <t>PO Box 1400</t>
  </si>
  <si>
    <t>Tremont</t>
  </si>
  <si>
    <t>IL</t>
  </si>
  <si>
    <t>(309) 267-3796</t>
  </si>
  <si>
    <t>(309) 216-3796</t>
  </si>
  <si>
    <t>nate@kochconsultants.com</t>
  </si>
  <si>
    <t xml:space="preserve">As described more fully in Note 1, the District has prepared these financial statements using accounting practices prescribed or permitted by the Illinois State Board of Education, which practices differ from accounting principles generally accepted in the United States of America. The effects on the financial statements of the variances between these regulatory accounting practices and accounting principles generally accepted in the United States of America, although not reasonably determinable, are presumed to be material.  </t>
  </si>
  <si>
    <t>Vending income</t>
  </si>
  <si>
    <t>Food service provided for meetings and events</t>
  </si>
  <si>
    <t>Miscellaneous</t>
  </si>
  <si>
    <t>Page 10, line 92, account 1890 - Other Textbook Income</t>
  </si>
  <si>
    <t>Reimbursement for lost textbooks</t>
  </si>
  <si>
    <t>Page 11, line 106, account 1993 - Other Local Fees</t>
  </si>
  <si>
    <t>AP testing revenue</t>
  </si>
  <si>
    <t>Page 11, line 107, account 1999 - Other Local Revenues</t>
  </si>
  <si>
    <t>Other reimbursements (Educational Fund)</t>
  </si>
  <si>
    <t>Page 12, line 168, account 3999 - Other Restricted Revenue from State Sources</t>
  </si>
  <si>
    <t>STEP grant</t>
  </si>
  <si>
    <t>Page 10, line 74, account 1690 - Other Food Service</t>
  </si>
  <si>
    <t>Student Assessments (PSAT)</t>
  </si>
  <si>
    <t>Library per capita grant</t>
  </si>
  <si>
    <t>Energy efficiency program rebate</t>
  </si>
  <si>
    <t>Sale of scrap metal and other</t>
  </si>
  <si>
    <t>Operations and Maintenance Fund</t>
  </si>
  <si>
    <t>Page 16, line 73, account 2900 - Other Support Services</t>
  </si>
  <si>
    <t>School Newspaper</t>
  </si>
  <si>
    <t>Speech Team</t>
  </si>
  <si>
    <t>Activity Insurance</t>
  </si>
  <si>
    <t>Graduation services</t>
  </si>
  <si>
    <t>ID cards and locks</t>
  </si>
  <si>
    <t>Uniforms and related supplies</t>
  </si>
  <si>
    <t>Other community service</t>
  </si>
  <si>
    <t>2009 Bond Issue</t>
  </si>
  <si>
    <t>2011 Bond Issue</t>
  </si>
  <si>
    <t>2013 Bond Issue</t>
  </si>
  <si>
    <t>2016 Bond Issue</t>
  </si>
  <si>
    <t>2018 A Bond Issue</t>
  </si>
  <si>
    <t>2018 B Bond Issue</t>
  </si>
  <si>
    <t>10-1000-300</t>
  </si>
  <si>
    <t>Ed-Instruction-Purchased Services</t>
  </si>
  <si>
    <t>Accident Fund</t>
  </si>
  <si>
    <t>40-2550-300</t>
  </si>
  <si>
    <t>Allen Transportation Sevices, Inc.</t>
  </si>
  <si>
    <t>TR-Pupil Transportation Services - Purchased Services</t>
  </si>
  <si>
    <t>20-2540-400</t>
  </si>
  <si>
    <t>O&amp;M-Op and Maint of Plant Svcs - Supplies and Matls</t>
  </si>
  <si>
    <t xml:space="preserve">Ameren </t>
  </si>
  <si>
    <t>Ed-Instruction-Other Objects</t>
  </si>
  <si>
    <t>Children's Home</t>
  </si>
  <si>
    <t>20-2540-300</t>
  </si>
  <si>
    <t>City of Washington</t>
  </si>
  <si>
    <t>O&amp;M-Op and Maint of Plant Svcs - Purchased Services</t>
  </si>
  <si>
    <t>De Lage Landen Financial Services</t>
  </si>
  <si>
    <t>Five Points Washington</t>
  </si>
  <si>
    <t>Gabberts Cleaning</t>
  </si>
  <si>
    <t>Ed-Food Services-Supplies and Materials</t>
  </si>
  <si>
    <t>10-2560-400</t>
  </si>
  <si>
    <t>Gordon Food Service, Inc.</t>
  </si>
  <si>
    <t>Illinois Power Marketing</t>
  </si>
  <si>
    <t>10-2200-300</t>
  </si>
  <si>
    <t>Ed-Instructional Staff - Purchased Services</t>
  </si>
  <si>
    <t>Illinois Reading Council</t>
  </si>
  <si>
    <t>Midwest Transit Equipment</t>
  </si>
  <si>
    <t>Ed- General Admin- Purchased Services</t>
  </si>
  <si>
    <t>10-2300-300</t>
  </si>
  <si>
    <t>Miller, Hall, and Triggs</t>
  </si>
  <si>
    <t>MTCO</t>
  </si>
  <si>
    <t>Prairie Farms Dairy</t>
  </si>
  <si>
    <t>Ed-Data Processing Services - Purchased Services</t>
  </si>
  <si>
    <t>10-2660-300</t>
  </si>
  <si>
    <t>Presidio Solutions Group</t>
  </si>
  <si>
    <t>Santander Leasing</t>
  </si>
  <si>
    <t>80-2300-600</t>
  </si>
  <si>
    <t>TF-General Admin-Other Objects</t>
  </si>
  <si>
    <t>Selective Insurance</t>
  </si>
  <si>
    <t>Sequel Youth and Family Service</t>
  </si>
  <si>
    <t>Skyward Inc</t>
  </si>
  <si>
    <t>The Baby Fold, Inc.</t>
  </si>
  <si>
    <t>Vanguard Engergy Service LLC</t>
  </si>
  <si>
    <t>Washington Area CC</t>
  </si>
  <si>
    <t>Tazewell-Mason Counties Spec. Ed Assoc., Washington Districts #50, #51, and #52</t>
  </si>
  <si>
    <t>Page 18, line 171, account 5400 - Debt Services Other</t>
  </si>
  <si>
    <t>Bond Paying Agent Fees</t>
  </si>
  <si>
    <t>Segregation of accounting duties is key to internal controls and is considered good business practice.</t>
  </si>
  <si>
    <t>In most cases the District has taken steps to separate accounting duties among multiple individuals.  However, in some cases involving the receipt and/or disbursement of funds and related accounting activities, duties have not been ideally segregated.  Further, in areas where ideal segregation of duties normally exists, employees have the  ability and the access to perform additional duties in case of the absences of other employees or in order to expedite transactions.  These additional abilities and access present an situation where existing controls can be overridden.</t>
  </si>
  <si>
    <t>This situation was noted while obtaining an understanding of the District's internal control.</t>
  </si>
  <si>
    <t>This condition increases the possibility that errors or irregularities may occur and not be detected on a timely basis.</t>
  </si>
  <si>
    <t xml:space="preserve">We recognize that given the District's size and number of people involved that in may not be possible to achieve an ideal segregation of duties in all situations.  We recommend that the District continue to review areas where duties are not ideally segregated and determine if duties can be better segregated or if additional reviews can be added to mitigate the risks posed by the lack of ideal segregation of duties.  When additional reviews are added, if possible, the individual performing the review should have familiarity and understanding of the items being reviewed.  Further, it may be beneficial to develop a checklist or other tracking system to ensure that all established reviews and approvals have been performed or can be followed up on when an absent employee returns.  In addition, Administration and the Board's close oversight and review of accounting information is an important means of preventing and detecting errors and irregularities when this condition is present. </t>
  </si>
  <si>
    <t>2018-001</t>
  </si>
  <si>
    <t>Unresolved - see Finding 2019-001</t>
  </si>
  <si>
    <t>The District attempts to segregate duties as much as possible with the limited number of individuals the District employs in these roles.  Administration carefully reviews the financial activity and position of the District on an ongoing and regular basis.  Additionally, Administration evaluates areas where lack of ideal segregation of duties has been identified to determine if those duties could be better segregated within the District's current resources or if other procedures/reviews could be added to mitigate the risk this lack of ideal segregation of duties presents.  We have also ensured that control activities that were not undertaken during employee transitions have been reestablished and are functioning.</t>
  </si>
  <si>
    <t>Actual Expenditures</t>
  </si>
  <si>
    <t xml:space="preserve">Municipal Retirement/Social Security Fund </t>
  </si>
  <si>
    <t>Capital Projects Fund</t>
  </si>
  <si>
    <t>Administration has allowed expenditures to exceed amounts budgeted for the above referenced funds.</t>
  </si>
  <si>
    <t>The funds mentioned above have expenditures in excess of their budgeted amounts.</t>
  </si>
  <si>
    <t>The District is making expenditures in excess of amounts represented to the public in their budget.</t>
  </si>
  <si>
    <t xml:space="preserve">Amounts are being expended in excess of the budget.  This results from unexpected expenditures being incurred and the District not amending the budget to adjust for these costs that were not anticipated at the time the original budget was developed.  </t>
  </si>
  <si>
    <t>Supplies and Materials</t>
  </si>
  <si>
    <t>In most cases the District has taken steps to separate accounting duties among multiple individuals.  However, in some cases involving the receipt and/or disbursement of funds and related accounting activities, duties have not been ideally segregated.  Additionally, in areas where ideal segregation of duties normally exists, employees have the  ability and the access to perform additional duties in case of the absences of other employees or in order to expedite transactions.  These additional abilities and access present an situation where existing controls can be overridden.  Further, during the turnover of accounting employees, some controls designed to mitigate the risks related to the lack of ideal segregation of duties were not carried out.</t>
  </si>
  <si>
    <t>Limited resources of the District do not provide for enough accounting employees to ideally segregate all accounting duties particularly when one or more employees are out of the office.  Also, the District did not have procedures in place to ensure controls were continued during a time of employee transition.</t>
  </si>
  <si>
    <t>Illinois Compiled Statutes, Chapter 105, Section 5, Paragraph 17-1, requires that total expenditures and transfers not exceed budgeted expenditures and transfers for any fund. During the year ended June 30, 2019, the following funds had expenditures and/or transfers in excess of budget:</t>
  </si>
  <si>
    <t>The District should consider properly amending its budget when it becomes clear that significant costs are being incurred that were not anticipated at the time the original budget was developed.</t>
  </si>
  <si>
    <t>Administration will monitor actual expenditures compared to the budget and, when significant unanticipated costs are necessary, Administration will seek budgetary amendments.</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</si>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</sst>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9" fillId="0" borderId="0" applyFont="0" applyFill="0" applyBorder="0" applyAlignment="0" applyProtection="0"/>
  </cellStyleXfs>
  <cellXfs count="250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181" fontId="57" fillId="0" borderId="0" xfId="1" applyNumberFormat="1" applyFont="1"/>
    <xf numFmtId="182" fontId="57" fillId="0" borderId="0" xfId="19" applyNumberFormat="1" applyFont="1"/>
    <xf numFmtId="182" fontId="57" fillId="0" borderId="165" xfId="0" applyNumberFormat="1" applyFont="1" applyBorder="1"/>
    <xf numFmtId="182" fontId="57" fillId="0" borderId="165" xfId="19" applyNumberFormat="1" applyFont="1" applyBorder="1"/>
    <xf numFmtId="0" fontId="54" fillId="0" borderId="0" xfId="3" applyFont="1" applyAlignment="1" applyProtection="1">
      <alignment horizontal="center" vertical="center"/>
    </xf>
    <xf numFmtId="0" fontId="57" fillId="0" borderId="0" xfId="3" applyFont="1" applyAlignment="1" applyProtection="1">
      <alignment horizontal="left" vertical="top" wrapText="1"/>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57" fillId="0" borderId="0" xfId="3" applyFont="1" applyAlignment="1" applyProtection="1">
      <alignment horizontal="left" vertical="top"/>
      <protection locked="0"/>
    </xf>
    <xf numFmtId="181" fontId="57" fillId="0" borderId="0" xfId="1" applyNumberFormat="1" applyFont="1" applyAlignment="1" applyProtection="1">
      <alignment horizontal="left" vertical="top" wrapText="1"/>
      <protection locked="0"/>
    </xf>
    <xf numFmtId="0" fontId="57" fillId="0" borderId="0" xfId="3" applyFont="1" applyBorder="1" applyAlignment="1" applyProtection="1">
      <alignment horizontal="right" vertical="top" wrapText="1"/>
      <protection locked="0"/>
    </xf>
    <xf numFmtId="182" fontId="57" fillId="0" borderId="0" xfId="19" applyNumberFormat="1" applyFont="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969819</xdr:colOff>
          <xdr:row>3</xdr:row>
          <xdr:rowOff>8659</xdr:rowOff>
        </xdr:from>
        <xdr:to>
          <xdr:col>1</xdr:col>
          <xdr:colOff>1884219</xdr:colOff>
          <xdr:row>7</xdr:row>
          <xdr:rowOff>46759</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2108488</xdr:colOff>
          <xdr:row>3</xdr:row>
          <xdr:rowOff>866</xdr:rowOff>
        </xdr:from>
        <xdr:to>
          <xdr:col>1</xdr:col>
          <xdr:colOff>3022888</xdr:colOff>
          <xdr:row>7</xdr:row>
          <xdr:rowOff>38966</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D76F21D9-8C9A-4C63-95DA-228CDFE363FF}"/>
            </a:ext>
          </a:extLst>
        </xdr:cNvPr>
        <xdr:cNvSpPr txBox="1">
          <a:spLocks noChangeArrowheads="1"/>
        </xdr:cNvSpPr>
      </xdr:nvSpPr>
      <xdr:spPr bwMode="auto">
        <a:xfrm>
          <a:off x="2352675" y="15621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57D8AF03-FCCF-44F4-B9C9-EBCD040A8F1D}"/>
            </a:ext>
          </a:extLst>
        </xdr:cNvPr>
        <xdr:cNvSpPr>
          <a:spLocks noChangeArrowheads="1"/>
        </xdr:cNvSpPr>
      </xdr:nvSpPr>
      <xdr:spPr bwMode="auto">
        <a:xfrm>
          <a:off x="3819525"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9" t="s">
        <v>405</v>
      </c>
      <c r="J1" s="2030"/>
      <c r="K1" s="2030"/>
      <c r="L1" s="2030"/>
      <c r="M1" s="2030"/>
      <c r="N1" s="2030"/>
      <c r="O1" s="2030"/>
      <c r="P1" s="2030"/>
      <c r="Q1" s="2030"/>
      <c r="R1" s="2030"/>
      <c r="S1" s="2030"/>
    </row>
    <row r="2" spans="1:28" ht="12" customHeight="1" x14ac:dyDescent="0.2">
      <c r="A2" s="47" t="s">
        <v>1991</v>
      </c>
      <c r="D2" s="48"/>
      <c r="I2" s="2031" t="s">
        <v>979</v>
      </c>
      <c r="J2" s="2030"/>
      <c r="K2" s="2030"/>
      <c r="L2" s="2030"/>
      <c r="M2" s="2030"/>
      <c r="N2" s="2030"/>
      <c r="O2" s="2030"/>
      <c r="P2" s="2030"/>
      <c r="Q2" s="2030"/>
      <c r="R2" s="2030"/>
      <c r="S2" s="2030"/>
    </row>
    <row r="3" spans="1:28" ht="12" customHeight="1" x14ac:dyDescent="0.2">
      <c r="A3" s="155" t="s">
        <v>1943</v>
      </c>
      <c r="B3" s="156"/>
      <c r="C3" s="156"/>
      <c r="D3" s="157"/>
      <c r="I3" s="2031" t="s">
        <v>52</v>
      </c>
      <c r="J3" s="2030"/>
      <c r="K3" s="2030"/>
      <c r="L3" s="2030"/>
      <c r="M3" s="2030"/>
      <c r="N3" s="2030"/>
      <c r="O3" s="2030"/>
      <c r="P3" s="2030"/>
      <c r="Q3" s="2030"/>
      <c r="R3" s="2030"/>
      <c r="S3" s="2030"/>
    </row>
    <row r="4" spans="1:28" ht="12" customHeight="1" x14ac:dyDescent="0.2">
      <c r="A4" s="37"/>
      <c r="I4" s="2031" t="s">
        <v>524</v>
      </c>
      <c r="J4" s="2030"/>
      <c r="K4" s="2030"/>
      <c r="L4" s="2030"/>
      <c r="M4" s="2030"/>
      <c r="N4" s="2030"/>
      <c r="O4" s="2030"/>
      <c r="P4" s="2030"/>
      <c r="Q4" s="2030"/>
      <c r="R4" s="2030"/>
      <c r="S4" s="2030"/>
    </row>
    <row r="5" spans="1:28" ht="14.1" customHeight="1" x14ac:dyDescent="0.2">
      <c r="B5" s="104" t="s">
        <v>2065</v>
      </c>
      <c r="C5" s="26" t="s">
        <v>910</v>
      </c>
      <c r="D5" s="84"/>
      <c r="E5" s="84"/>
      <c r="H5" s="38"/>
      <c r="I5" s="2038" t="s">
        <v>680</v>
      </c>
      <c r="J5" s="1983"/>
      <c r="K5" s="1983"/>
      <c r="L5" s="1983"/>
      <c r="M5" s="1983"/>
      <c r="N5" s="1983"/>
      <c r="O5" s="1983"/>
      <c r="P5" s="1983"/>
      <c r="Q5" s="1983"/>
      <c r="R5" s="1983"/>
      <c r="S5" s="1983"/>
    </row>
    <row r="6" spans="1:28" ht="14.1" customHeight="1" x14ac:dyDescent="0.2">
      <c r="B6" s="104"/>
      <c r="C6" s="26" t="s">
        <v>911</v>
      </c>
      <c r="D6" s="84"/>
      <c r="E6" s="84"/>
      <c r="I6" s="2037" t="s">
        <v>883</v>
      </c>
      <c r="J6" s="1983"/>
      <c r="K6" s="1983"/>
      <c r="L6" s="1983"/>
      <c r="M6" s="1983"/>
      <c r="N6" s="1983"/>
      <c r="O6" s="1983"/>
      <c r="P6" s="1983"/>
      <c r="Q6" s="1983"/>
      <c r="R6" s="1983"/>
      <c r="S6" s="1983"/>
    </row>
    <row r="7" spans="1:28" ht="12.2" customHeight="1" x14ac:dyDescent="0.2">
      <c r="I7" s="2032">
        <v>43646</v>
      </c>
      <c r="J7" s="2033"/>
      <c r="K7" s="2033"/>
      <c r="L7" s="2033"/>
      <c r="M7" s="2033"/>
      <c r="N7" s="2033"/>
      <c r="O7" s="2033"/>
      <c r="P7" s="2033"/>
      <c r="Q7" s="2033"/>
      <c r="R7" s="2033"/>
      <c r="S7" s="203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4" t="s">
        <v>674</v>
      </c>
      <c r="J9" s="2035"/>
      <c r="K9" s="2035"/>
      <c r="L9" s="2035"/>
      <c r="M9" s="2035"/>
      <c r="N9" s="2035"/>
      <c r="O9" s="2035"/>
      <c r="P9" s="2035"/>
      <c r="Q9" s="2035"/>
      <c r="R9" s="2035"/>
      <c r="S9" s="2036"/>
      <c r="T9" s="1979" t="s">
        <v>533</v>
      </c>
      <c r="U9" s="1980"/>
      <c r="V9" s="1980"/>
      <c r="W9" s="1980"/>
      <c r="X9" s="1980"/>
      <c r="Y9" s="1980"/>
      <c r="Z9" s="1980"/>
      <c r="AA9" s="1981"/>
    </row>
    <row r="10" spans="1:28" ht="13.5" customHeight="1" x14ac:dyDescent="0.2">
      <c r="A10" s="1988" t="s">
        <v>675</v>
      </c>
      <c r="B10" s="1989"/>
      <c r="C10" s="1989"/>
      <c r="D10" s="1989"/>
      <c r="E10" s="1989"/>
      <c r="F10" s="1989"/>
      <c r="G10" s="1989"/>
      <c r="H10" s="1990"/>
      <c r="I10" s="29"/>
      <c r="J10" s="30"/>
      <c r="K10" s="28"/>
      <c r="R10" s="30"/>
      <c r="S10" s="30"/>
      <c r="T10" s="1982"/>
      <c r="U10" s="1983"/>
      <c r="V10" s="1983"/>
      <c r="W10" s="1983"/>
      <c r="X10" s="1983"/>
      <c r="Y10" s="1983"/>
      <c r="Z10" s="1983"/>
      <c r="AA10" s="1984"/>
    </row>
    <row r="11" spans="1:28" ht="14.25" customHeight="1" x14ac:dyDescent="0.2">
      <c r="A11" s="1991" t="s">
        <v>955</v>
      </c>
      <c r="B11" s="1992"/>
      <c r="C11" s="1992"/>
      <c r="D11" s="1992"/>
      <c r="E11" s="1992"/>
      <c r="F11" s="1992"/>
      <c r="G11" s="1992"/>
      <c r="H11" s="1993"/>
      <c r="I11" s="27"/>
      <c r="J11" s="74"/>
      <c r="K11" s="27"/>
      <c r="O11" s="148" t="s">
        <v>2065</v>
      </c>
      <c r="P11" s="100" t="s">
        <v>201</v>
      </c>
      <c r="Q11" s="30"/>
      <c r="R11" s="28"/>
      <c r="S11" s="27"/>
      <c r="T11" s="1985"/>
      <c r="U11" s="1986"/>
      <c r="V11" s="1986"/>
      <c r="W11" s="1986"/>
      <c r="X11" s="1986"/>
      <c r="Y11" s="1986"/>
      <c r="Z11" s="1986"/>
      <c r="AA11" s="198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9">
        <v>53090308016</v>
      </c>
      <c r="B13" s="2000"/>
      <c r="C13" s="2000"/>
      <c r="D13" s="2000"/>
      <c r="E13" s="2000"/>
      <c r="F13" s="2000"/>
      <c r="G13" s="2000"/>
      <c r="H13" s="2001"/>
      <c r="I13" s="31"/>
      <c r="J13" s="30"/>
      <c r="K13" s="28"/>
      <c r="L13" s="30"/>
      <c r="M13" s="30"/>
      <c r="N13" s="30"/>
      <c r="O13" s="30"/>
      <c r="P13" s="30"/>
      <c r="Q13" s="30"/>
      <c r="R13" s="30"/>
      <c r="S13" s="30"/>
      <c r="T13" s="2004" t="s">
        <v>2075</v>
      </c>
      <c r="U13" s="2005"/>
      <c r="V13" s="2005"/>
      <c r="W13" s="2005"/>
      <c r="X13" s="2005"/>
      <c r="Y13" s="2006"/>
      <c r="Z13" s="2006"/>
      <c r="AA13" s="200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7" t="s">
        <v>2066</v>
      </c>
      <c r="B15" s="2002"/>
      <c r="C15" s="2002"/>
      <c r="D15" s="2002"/>
      <c r="E15" s="2002"/>
      <c r="F15" s="2002"/>
      <c r="G15" s="2002"/>
      <c r="H15" s="2003"/>
      <c r="T15" s="1965" t="s">
        <v>2076</v>
      </c>
      <c r="U15" s="1966"/>
      <c r="V15" s="1966"/>
      <c r="W15" s="1966"/>
      <c r="X15" s="1966"/>
      <c r="Y15" s="2008"/>
      <c r="Z15" s="2008"/>
      <c r="AA15" s="200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7" t="s">
        <v>2067</v>
      </c>
      <c r="B17" s="2027"/>
      <c r="C17" s="2027"/>
      <c r="D17" s="2027"/>
      <c r="E17" s="2027"/>
      <c r="F17" s="2027"/>
      <c r="G17" s="2027"/>
      <c r="H17" s="2028"/>
      <c r="T17" s="2014" t="s">
        <v>2077</v>
      </c>
      <c r="U17" s="2015"/>
      <c r="V17" s="2015"/>
      <c r="W17" s="2015"/>
      <c r="X17" s="2015"/>
      <c r="Y17" s="2015"/>
      <c r="Z17" s="2015"/>
      <c r="AA17" s="2016"/>
    </row>
    <row r="18" spans="1:27" ht="13.5" customHeight="1" x14ac:dyDescent="0.2">
      <c r="A18" s="85" t="s">
        <v>530</v>
      </c>
      <c r="B18" s="76"/>
      <c r="C18" s="72"/>
      <c r="D18" s="76"/>
      <c r="E18" s="76"/>
      <c r="F18" s="76"/>
      <c r="G18" s="76"/>
      <c r="H18" s="56"/>
      <c r="I18" s="2024" t="s">
        <v>676</v>
      </c>
      <c r="J18" s="2025"/>
      <c r="K18" s="2025"/>
      <c r="L18" s="2025"/>
      <c r="M18" s="2025"/>
      <c r="N18" s="2025"/>
      <c r="O18" s="2025"/>
      <c r="P18" s="2025"/>
      <c r="Q18" s="2025"/>
      <c r="R18" s="2025"/>
      <c r="S18" s="2026"/>
      <c r="T18" s="85" t="s">
        <v>711</v>
      </c>
      <c r="U18" s="51"/>
      <c r="V18" s="72"/>
      <c r="W18" s="50"/>
      <c r="X18" s="85" t="s">
        <v>266</v>
      </c>
      <c r="Y18" s="81"/>
      <c r="Z18" s="159" t="s">
        <v>677</v>
      </c>
      <c r="AA18" s="46"/>
    </row>
    <row r="19" spans="1:27" ht="13.5" customHeight="1" x14ac:dyDescent="0.2">
      <c r="A19" s="1997" t="s">
        <v>2068</v>
      </c>
      <c r="B19" s="1998"/>
      <c r="C19" s="1998"/>
      <c r="D19" s="1998"/>
      <c r="E19" s="1998"/>
      <c r="F19" s="1998"/>
      <c r="G19" s="1998"/>
      <c r="H19" s="1996"/>
      <c r="I19" s="30"/>
      <c r="J19" s="99"/>
      <c r="K19" s="40"/>
      <c r="L19" s="38"/>
      <c r="M19" s="112" t="s">
        <v>315</v>
      </c>
      <c r="P19" s="27"/>
      <c r="Q19" s="27"/>
      <c r="R19" s="27"/>
      <c r="S19" s="31"/>
      <c r="T19" s="1997" t="s">
        <v>2078</v>
      </c>
      <c r="U19" s="1995"/>
      <c r="V19" s="1995"/>
      <c r="W19" s="1996"/>
      <c r="X19" s="2012" t="s">
        <v>2079</v>
      </c>
      <c r="Y19" s="2013"/>
      <c r="Z19" s="2010">
        <v>61568</v>
      </c>
      <c r="AA19" s="201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4" t="s">
        <v>2069</v>
      </c>
      <c r="B21" s="1995"/>
      <c r="C21" s="1995"/>
      <c r="D21" s="1995"/>
      <c r="E21" s="1995"/>
      <c r="F21" s="1995"/>
      <c r="G21" s="1995"/>
      <c r="H21" s="1996"/>
      <c r="I21" s="2020" t="s">
        <v>678</v>
      </c>
      <c r="J21" s="1983"/>
      <c r="K21" s="1983"/>
      <c r="L21" s="1983"/>
      <c r="M21" s="1983"/>
      <c r="N21" s="1983"/>
      <c r="O21" s="1983"/>
      <c r="P21" s="1983"/>
      <c r="Q21" s="1983"/>
      <c r="R21" s="1983"/>
      <c r="S21" s="1984"/>
      <c r="T21" s="1962" t="s">
        <v>2080</v>
      </c>
      <c r="U21" s="1963"/>
      <c r="V21" s="1963"/>
      <c r="W21" s="1963"/>
      <c r="X21" s="1976" t="s">
        <v>2081</v>
      </c>
      <c r="Y21" s="1977"/>
      <c r="Z21" s="1977"/>
      <c r="AA21" s="1978"/>
    </row>
    <row r="22" spans="1:27" ht="13.5" customHeight="1" x14ac:dyDescent="0.2">
      <c r="A22" s="87" t="s">
        <v>531</v>
      </c>
      <c r="B22" s="59"/>
      <c r="C22" s="59"/>
      <c r="D22" s="59"/>
      <c r="E22" s="59"/>
      <c r="F22" s="59"/>
      <c r="G22" s="59"/>
      <c r="H22" s="60"/>
      <c r="I22" s="2021" t="s">
        <v>1429</v>
      </c>
      <c r="J22" s="2022"/>
      <c r="K22" s="2022"/>
      <c r="L22" s="2022"/>
      <c r="M22" s="2022"/>
      <c r="N22" s="2022"/>
      <c r="O22" s="2022"/>
      <c r="P22" s="2022"/>
      <c r="Q22" s="2022"/>
      <c r="R22" s="2022"/>
      <c r="S22" s="2023"/>
      <c r="T22" s="85" t="s">
        <v>1516</v>
      </c>
      <c r="U22" s="51"/>
      <c r="V22" s="72"/>
      <c r="W22" s="51"/>
      <c r="X22" s="160" t="s">
        <v>1318</v>
      </c>
      <c r="Z22" s="45"/>
      <c r="AA22" s="46"/>
    </row>
    <row r="23" spans="1:27" ht="13.5" customHeight="1" x14ac:dyDescent="0.2">
      <c r="A23" s="2017"/>
      <c r="B23" s="2018"/>
      <c r="C23" s="2018"/>
      <c r="D23" s="2018"/>
      <c r="E23" s="2018"/>
      <c r="F23" s="2018"/>
      <c r="G23" s="2018"/>
      <c r="H23" s="2019"/>
      <c r="T23" s="1957">
        <v>65.027017999999998</v>
      </c>
      <c r="U23" s="1958"/>
      <c r="V23" s="1958"/>
      <c r="W23" s="1958"/>
      <c r="X23" s="1973">
        <v>44469</v>
      </c>
      <c r="Y23" s="1974"/>
      <c r="Z23" s="1974"/>
      <c r="AA23" s="1975"/>
    </row>
    <row r="24" spans="1:27" ht="14.1" customHeight="1" x14ac:dyDescent="0.2">
      <c r="A24" s="88" t="s">
        <v>677</v>
      </c>
      <c r="B24" s="49"/>
      <c r="C24" s="49"/>
      <c r="D24" s="49"/>
      <c r="E24" s="49"/>
      <c r="F24" s="49"/>
      <c r="G24" s="49"/>
      <c r="H24" s="61"/>
      <c r="J24" s="2059">
        <f>IF(B5="x",IF(AUDITCHECK!D29="AFR form Incomplete.","",IF(AUDITCHECK!D29="Deficit reduction plan is required.","School District must complete a deficit reduction plan in the 2019-2020 Budget",)),"")</f>
        <v>0</v>
      </c>
      <c r="K24" s="2059"/>
      <c r="L24" s="2059"/>
      <c r="M24" s="2059"/>
      <c r="N24" s="2059"/>
      <c r="O24" s="2059"/>
      <c r="P24" s="2059"/>
      <c r="Q24" s="2059"/>
      <c r="R24" s="2059"/>
      <c r="S24" s="2060"/>
      <c r="T24" s="105" t="s">
        <v>531</v>
      </c>
      <c r="U24" s="106"/>
      <c r="V24" s="106"/>
      <c r="W24" s="106"/>
      <c r="X24" s="107"/>
      <c r="Y24" s="107"/>
      <c r="Z24" s="107"/>
      <c r="AA24" s="108"/>
    </row>
    <row r="25" spans="1:27" ht="14.1" customHeight="1" x14ac:dyDescent="0.2">
      <c r="A25" s="1994" t="s">
        <v>2070</v>
      </c>
      <c r="B25" s="1995"/>
      <c r="C25" s="1995"/>
      <c r="D25" s="1995"/>
      <c r="E25" s="1995"/>
      <c r="F25" s="1995"/>
      <c r="G25" s="1995"/>
      <c r="H25" s="1996"/>
      <c r="I25" s="113"/>
      <c r="J25" s="2061"/>
      <c r="K25" s="2061"/>
      <c r="L25" s="2061"/>
      <c r="M25" s="2061"/>
      <c r="N25" s="2061"/>
      <c r="O25" s="2061"/>
      <c r="P25" s="2061"/>
      <c r="Q25" s="2061"/>
      <c r="R25" s="2061"/>
      <c r="S25" s="2062"/>
      <c r="T25" s="1954" t="s">
        <v>2082</v>
      </c>
      <c r="U25" s="1955"/>
      <c r="V25" s="1955"/>
      <c r="W25" s="1955"/>
      <c r="X25" s="1955"/>
      <c r="Y25" s="1955"/>
      <c r="Z25" s="1955"/>
      <c r="AA25" s="19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2" t="s">
        <v>1511</v>
      </c>
      <c r="J27" s="2025"/>
      <c r="K27" s="2025"/>
      <c r="L27" s="2025"/>
      <c r="M27" s="2025"/>
      <c r="N27" s="2025"/>
      <c r="O27" s="2025"/>
      <c r="P27" s="2025"/>
      <c r="Q27" s="2025"/>
      <c r="R27" s="2025"/>
      <c r="S27" s="202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2181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8"/>
      <c r="Q35" s="1995"/>
      <c r="R35" s="199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7" t="s">
        <v>2071</v>
      </c>
      <c r="B38" s="2027"/>
      <c r="C38" s="2027"/>
      <c r="D38" s="2027"/>
      <c r="E38" s="2027"/>
      <c r="F38" s="1995"/>
      <c r="G38" s="1995"/>
      <c r="H38" s="1996"/>
      <c r="I38" s="2046"/>
      <c r="J38" s="1966"/>
      <c r="K38" s="1966"/>
      <c r="L38" s="1966"/>
      <c r="M38" s="1966"/>
      <c r="N38" s="1966"/>
      <c r="O38" s="1966"/>
      <c r="P38" s="1967"/>
      <c r="Q38" s="1967"/>
      <c r="R38" s="1967"/>
      <c r="S38" s="1968"/>
      <c r="T38" s="1965"/>
      <c r="U38" s="1966"/>
      <c r="V38" s="1966"/>
      <c r="W38" s="1966"/>
      <c r="X38" s="1967"/>
      <c r="Y38" s="1967"/>
      <c r="Z38" s="1967"/>
      <c r="AA38" s="1968"/>
    </row>
    <row r="39" spans="1:27" ht="12" customHeight="1" x14ac:dyDescent="0.2">
      <c r="A39" s="2050" t="s">
        <v>531</v>
      </c>
      <c r="B39" s="2051"/>
      <c r="C39" s="72"/>
      <c r="D39" s="69"/>
      <c r="E39" s="69"/>
      <c r="F39" s="79"/>
      <c r="G39" s="69"/>
      <c r="H39" s="56"/>
      <c r="I39" s="2050" t="s">
        <v>531</v>
      </c>
      <c r="J39" s="2051"/>
      <c r="K39" s="2051"/>
      <c r="L39" s="2051"/>
      <c r="M39" s="2051"/>
      <c r="N39" s="67"/>
      <c r="O39" s="72"/>
      <c r="P39" s="72"/>
      <c r="Q39" s="78"/>
      <c r="R39" s="72"/>
      <c r="S39" s="56"/>
      <c r="T39" s="72" t="s">
        <v>531</v>
      </c>
      <c r="U39" s="51"/>
      <c r="V39" s="72"/>
      <c r="W39" s="50"/>
      <c r="X39" s="78"/>
      <c r="Y39" s="45"/>
      <c r="Z39" s="45"/>
      <c r="AA39" s="46"/>
    </row>
    <row r="40" spans="1:27" ht="13.5" customHeight="1" x14ac:dyDescent="0.2">
      <c r="A40" s="2053" t="s">
        <v>2072</v>
      </c>
      <c r="B40" s="2054"/>
      <c r="C40" s="2055"/>
      <c r="D40" s="2055"/>
      <c r="E40" s="2055"/>
      <c r="F40" s="2056"/>
      <c r="G40" s="2056"/>
      <c r="H40" s="2057"/>
      <c r="I40" s="1969"/>
      <c r="J40" s="1971"/>
      <c r="K40" s="1971"/>
      <c r="L40" s="1971"/>
      <c r="M40" s="1971"/>
      <c r="N40" s="1971"/>
      <c r="O40" s="1971"/>
      <c r="P40" s="1971"/>
      <c r="Q40" s="1971"/>
      <c r="R40" s="1971"/>
      <c r="S40" s="1972"/>
      <c r="T40" s="1969"/>
      <c r="U40" s="1970"/>
      <c r="V40" s="1971"/>
      <c r="W40" s="1971"/>
      <c r="X40" s="1971"/>
      <c r="Y40" s="1971"/>
      <c r="Z40" s="1971"/>
      <c r="AA40" s="197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3" t="s">
        <v>2073</v>
      </c>
      <c r="B42" s="2044"/>
      <c r="C42" s="2045"/>
      <c r="D42" s="2058" t="s">
        <v>2074</v>
      </c>
      <c r="E42" s="2044"/>
      <c r="F42" s="2044"/>
      <c r="G42" s="2044"/>
      <c r="H42" s="2045"/>
      <c r="I42" s="1964"/>
      <c r="J42" s="1960"/>
      <c r="K42" s="1960"/>
      <c r="L42" s="1960"/>
      <c r="M42" s="1960"/>
      <c r="N42" s="1960"/>
      <c r="O42" s="1961"/>
      <c r="P42" s="1959"/>
      <c r="Q42" s="1960"/>
      <c r="R42" s="1960"/>
      <c r="S42" s="1961"/>
      <c r="T42" s="1964"/>
      <c r="U42" s="1960"/>
      <c r="V42" s="1960"/>
      <c r="W42" s="1961"/>
      <c r="X42" s="1959"/>
      <c r="Y42" s="1960"/>
      <c r="Z42" s="1960"/>
      <c r="AA42" s="196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7"/>
      <c r="B44" s="2048"/>
      <c r="C44" s="2048"/>
      <c r="D44" s="2048"/>
      <c r="E44" s="2048"/>
      <c r="F44" s="2048"/>
      <c r="G44" s="2048"/>
      <c r="H44" s="2049"/>
      <c r="I44" s="2039"/>
      <c r="J44" s="2041"/>
      <c r="K44" s="2041"/>
      <c r="L44" s="2041"/>
      <c r="M44" s="2041"/>
      <c r="N44" s="2041"/>
      <c r="O44" s="2041"/>
      <c r="P44" s="2041"/>
      <c r="Q44" s="2041"/>
      <c r="R44" s="2041"/>
      <c r="S44" s="2042"/>
      <c r="T44" s="2039"/>
      <c r="U44" s="2040"/>
      <c r="V44" s="2040"/>
      <c r="W44" s="2040"/>
      <c r="X44" s="2040"/>
      <c r="Y44" s="2040"/>
      <c r="Z44" s="2041"/>
      <c r="AA44" s="204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35" sqref="B3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6" t="s">
        <v>1802</v>
      </c>
      <c r="B2" s="1528" t="s">
        <v>1949</v>
      </c>
      <c r="C2" s="714" t="s">
        <v>1950</v>
      </c>
      <c r="D2" s="714" t="s">
        <v>1951</v>
      </c>
      <c r="E2" s="714" t="s">
        <v>1952</v>
      </c>
      <c r="F2" s="714" t="s">
        <v>1953</v>
      </c>
    </row>
    <row r="3" spans="1:6" ht="12" customHeight="1" x14ac:dyDescent="0.2">
      <c r="A3" s="2197"/>
      <c r="B3" s="1525"/>
      <c r="C3" s="1526"/>
      <c r="D3" s="1527" t="s">
        <v>256</v>
      </c>
      <c r="E3" s="1526"/>
      <c r="F3" s="1527" t="s">
        <v>257</v>
      </c>
    </row>
    <row r="4" spans="1:6" ht="13.7" customHeight="1" x14ac:dyDescent="0.2">
      <c r="A4" s="715" t="s">
        <v>1155</v>
      </c>
      <c r="B4" s="1749">
        <f>'Revenues 9-14'!C5</f>
        <v>9101664</v>
      </c>
      <c r="C4" s="1524"/>
      <c r="D4" s="1752">
        <f>B4-C4</f>
        <v>9101664</v>
      </c>
      <c r="E4" s="1524">
        <v>9365425</v>
      </c>
      <c r="F4" s="1752">
        <f>E4-C4</f>
        <v>9365425</v>
      </c>
    </row>
    <row r="5" spans="1:6" ht="13.7" customHeight="1" x14ac:dyDescent="0.2">
      <c r="A5" s="715" t="s">
        <v>870</v>
      </c>
      <c r="B5" s="1750">
        <f>'Revenues 9-14'!D5</f>
        <v>2077646</v>
      </c>
      <c r="C5" s="585"/>
      <c r="D5" s="1753">
        <f t="shared" ref="D5:D18" si="0">B5-C5</f>
        <v>2077646</v>
      </c>
      <c r="E5" s="585">
        <v>2168980</v>
      </c>
      <c r="F5" s="1753">
        <f>E5-C5</f>
        <v>2168980</v>
      </c>
    </row>
    <row r="6" spans="1:6" ht="13.7" customHeight="1" x14ac:dyDescent="0.2">
      <c r="A6" s="715" t="s">
        <v>411</v>
      </c>
      <c r="B6" s="1750">
        <f>'Revenues 9-14'!E5</f>
        <v>1277353</v>
      </c>
      <c r="C6" s="585"/>
      <c r="D6" s="1753">
        <f t="shared" si="0"/>
        <v>1277353</v>
      </c>
      <c r="E6" s="585">
        <v>1426110</v>
      </c>
      <c r="F6" s="1753">
        <f t="shared" ref="F6:F18" si="1">E6-C6</f>
        <v>1426110</v>
      </c>
    </row>
    <row r="7" spans="1:6" ht="13.7" customHeight="1" x14ac:dyDescent="0.2">
      <c r="A7" s="715" t="s">
        <v>155</v>
      </c>
      <c r="B7" s="1750">
        <f>'Revenues 9-14'!F5</f>
        <v>559036</v>
      </c>
      <c r="C7" s="585"/>
      <c r="D7" s="1753">
        <f t="shared" si="0"/>
        <v>559036</v>
      </c>
      <c r="E7" s="585">
        <v>542283</v>
      </c>
      <c r="F7" s="1753">
        <f t="shared" si="1"/>
        <v>542283</v>
      </c>
    </row>
    <row r="8" spans="1:6" ht="13.7" customHeight="1" x14ac:dyDescent="0.2">
      <c r="A8" s="715" t="s">
        <v>1179</v>
      </c>
      <c r="B8" s="1750">
        <f>'Revenues 9-14'!G5</f>
        <v>158373</v>
      </c>
      <c r="C8" s="585"/>
      <c r="D8" s="1753">
        <f t="shared" si="0"/>
        <v>158373</v>
      </c>
      <c r="E8" s="585">
        <v>177468</v>
      </c>
      <c r="F8" s="1753">
        <f t="shared" si="1"/>
        <v>177468</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197901</v>
      </c>
      <c r="C10" s="585"/>
      <c r="D10" s="1753">
        <f t="shared" si="0"/>
        <v>197901</v>
      </c>
      <c r="E10" s="585">
        <v>246520</v>
      </c>
      <c r="F10" s="1753">
        <f t="shared" si="1"/>
        <v>246520</v>
      </c>
    </row>
    <row r="11" spans="1:6" x14ac:dyDescent="0.2">
      <c r="A11" s="715" t="s">
        <v>409</v>
      </c>
      <c r="B11" s="1750">
        <f>'Revenues 9-14'!J5</f>
        <v>84096</v>
      </c>
      <c r="C11" s="585"/>
      <c r="D11" s="1753">
        <f t="shared" si="0"/>
        <v>84096</v>
      </c>
      <c r="E11" s="585">
        <v>88760</v>
      </c>
      <c r="F11" s="1753">
        <f t="shared" si="1"/>
        <v>88760</v>
      </c>
    </row>
    <row r="12" spans="1:6" ht="13.7" customHeight="1" x14ac:dyDescent="0.2">
      <c r="A12" s="715" t="s">
        <v>157</v>
      </c>
      <c r="B12" s="1750">
        <f>'Revenues 9-14'!K5</f>
        <v>9916</v>
      </c>
      <c r="C12" s="585"/>
      <c r="D12" s="1753">
        <f t="shared" si="0"/>
        <v>9916</v>
      </c>
      <c r="E12" s="585">
        <v>9930</v>
      </c>
      <c r="F12" s="1753">
        <f t="shared" si="1"/>
        <v>9930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128651</v>
      </c>
      <c r="C14" s="585"/>
      <c r="D14" s="1753">
        <f t="shared" si="0"/>
        <v>128651</v>
      </c>
      <c r="E14" s="585">
        <v>133165</v>
      </c>
      <c r="F14" s="1753">
        <f t="shared" si="1"/>
        <v>133165</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178109</v>
      </c>
      <c r="C16" s="585"/>
      <c r="D16" s="1753">
        <f t="shared" si="0"/>
        <v>178109</v>
      </c>
      <c r="E16" s="585">
        <v>182408</v>
      </c>
      <c r="F16" s="1753">
        <f t="shared" si="1"/>
        <v>182408</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13772745</v>
      </c>
      <c r="C19" s="1751">
        <f>SUM(C4:C18)</f>
        <v>0</v>
      </c>
      <c r="D19" s="1751">
        <f>SUM(D4:D18)</f>
        <v>13772745</v>
      </c>
      <c r="E19" s="1751">
        <f>SUM(E4:E18)</f>
        <v>14341049</v>
      </c>
      <c r="F19" s="1751">
        <f>SUM(F4:F18)</f>
        <v>14341049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57" colorId="8" zoomScale="110" zoomScaleNormal="110" workbookViewId="0">
      <selection activeCell="B35" sqref="B3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629</v>
      </c>
      <c r="B1" s="2203"/>
      <c r="C1" s="721"/>
    </row>
    <row r="2" spans="1:7" ht="33.75" x14ac:dyDescent="0.2">
      <c r="A2" s="2211" t="s">
        <v>1802</v>
      </c>
      <c r="B2" s="2212"/>
      <c r="C2" s="1884" t="s">
        <v>1954</v>
      </c>
      <c r="D2" s="723" t="s">
        <v>1955</v>
      </c>
      <c r="E2" s="723" t="s">
        <v>1956</v>
      </c>
      <c r="F2" s="1884" t="s">
        <v>1957</v>
      </c>
    </row>
    <row r="3" spans="1:7" ht="15.75" customHeight="1" x14ac:dyDescent="0.2">
      <c r="A3" s="2215" t="s">
        <v>1114</v>
      </c>
      <c r="B3" s="2216"/>
      <c r="C3" s="2204"/>
      <c r="D3" s="2205"/>
      <c r="E3" s="2205"/>
      <c r="F3" s="2206"/>
    </row>
    <row r="4" spans="1:7" ht="12.75" customHeight="1" thickBot="1" x14ac:dyDescent="0.25">
      <c r="A4" s="2213" t="s">
        <v>630</v>
      </c>
      <c r="B4" s="2214"/>
      <c r="C4" s="581"/>
      <c r="D4" s="581"/>
      <c r="E4" s="581"/>
      <c r="F4" s="1755">
        <f>SUM(C4+D4)-E4</f>
        <v>0</v>
      </c>
    </row>
    <row r="5" spans="1:7" ht="15.75" customHeight="1" thickTop="1" x14ac:dyDescent="0.2">
      <c r="A5" s="2198" t="s">
        <v>1110</v>
      </c>
      <c r="B5" s="2199"/>
      <c r="C5" s="2207"/>
      <c r="D5" s="2208"/>
      <c r="E5" s="2208"/>
      <c r="F5" s="220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0" t="s">
        <v>631</v>
      </c>
      <c r="B15" s="2201"/>
      <c r="C15" s="1755">
        <f>SUM(C6:C14)</f>
        <v>0</v>
      </c>
      <c r="D15" s="1755">
        <f>SUM(D6:D14)</f>
        <v>0</v>
      </c>
      <c r="E15" s="1755">
        <f>SUM(E6:E14)</f>
        <v>0</v>
      </c>
      <c r="F15" s="1755">
        <f>SUM(F6:F14)</f>
        <v>0</v>
      </c>
      <c r="G15" s="552"/>
    </row>
    <row r="16" spans="1:7" s="202" customFormat="1" ht="15.75" customHeight="1" thickTop="1" x14ac:dyDescent="0.2">
      <c r="A16" s="2210" t="s">
        <v>1111</v>
      </c>
      <c r="B16" s="2199"/>
      <c r="C16" s="2207"/>
      <c r="D16" s="2208"/>
      <c r="E16" s="2208"/>
      <c r="F16" s="2209"/>
    </row>
    <row r="17" spans="1:11" ht="12.75" customHeight="1" thickBot="1" x14ac:dyDescent="0.25">
      <c r="A17" s="2223" t="s">
        <v>64</v>
      </c>
      <c r="B17" s="2224"/>
      <c r="C17" s="726"/>
      <c r="D17" s="585"/>
      <c r="E17" s="726"/>
      <c r="F17" s="1755">
        <f>SUM(C17+D17)-E17</f>
        <v>0</v>
      </c>
    </row>
    <row r="18" spans="1:11" ht="12.75" customHeight="1" thickTop="1" thickBot="1" x14ac:dyDescent="0.25">
      <c r="A18" s="2223" t="s">
        <v>6</v>
      </c>
      <c r="B18" s="2224"/>
      <c r="C18" s="726"/>
      <c r="D18" s="585"/>
      <c r="E18" s="726"/>
      <c r="F18" s="1755">
        <f>SUM(C18+D18)-E18</f>
        <v>0</v>
      </c>
    </row>
    <row r="19" spans="1:11" ht="12.75" customHeight="1" thickTop="1" thickBot="1" x14ac:dyDescent="0.25">
      <c r="A19" s="2223" t="s">
        <v>388</v>
      </c>
      <c r="B19" s="2224"/>
      <c r="C19" s="726"/>
      <c r="D19" s="585"/>
      <c r="E19" s="726"/>
      <c r="F19" s="1755">
        <f>SUM(C19+D19)-E19</f>
        <v>0</v>
      </c>
    </row>
    <row r="20" spans="1:11" ht="12.75" customHeight="1" thickTop="1" thickBot="1" x14ac:dyDescent="0.25">
      <c r="A20" s="2223" t="s">
        <v>448</v>
      </c>
      <c r="B20" s="2224"/>
      <c r="C20" s="726"/>
      <c r="D20" s="585"/>
      <c r="E20" s="726"/>
      <c r="F20" s="1755">
        <f>SUM(C20+D20)-E20</f>
        <v>0</v>
      </c>
    </row>
    <row r="21" spans="1:11" ht="14.25" thickTop="1" thickBot="1" x14ac:dyDescent="0.25">
      <c r="A21" s="2200" t="s">
        <v>632</v>
      </c>
      <c r="B21" s="2201"/>
      <c r="C21" s="1755">
        <f>SUM(C17:C20)</f>
        <v>0</v>
      </c>
      <c r="D21" s="1755">
        <f>SUM(D17:D20)</f>
        <v>0</v>
      </c>
      <c r="E21" s="1755">
        <f>SUM(E17:E20)</f>
        <v>0</v>
      </c>
      <c r="F21" s="1755">
        <f>SUM(F17:F20)</f>
        <v>0</v>
      </c>
      <c r="G21" s="552"/>
    </row>
    <row r="22" spans="1:11" ht="15.75" customHeight="1" thickTop="1" x14ac:dyDescent="0.2">
      <c r="A22" s="2225" t="s">
        <v>1112</v>
      </c>
      <c r="B22" s="2199"/>
      <c r="C22" s="2207"/>
      <c r="D22" s="2208"/>
      <c r="E22" s="2208"/>
      <c r="F22" s="2209"/>
    </row>
    <row r="23" spans="1:11" ht="13.5" thickBot="1" x14ac:dyDescent="0.25">
      <c r="A23" s="2213" t="s">
        <v>633</v>
      </c>
      <c r="B23" s="2214"/>
      <c r="C23" s="581"/>
      <c r="D23" s="581"/>
      <c r="E23" s="581"/>
      <c r="F23" s="1755">
        <f>SUM(C23+D23)-E23</f>
        <v>0</v>
      </c>
      <c r="G23" s="552"/>
    </row>
    <row r="24" spans="1:11" ht="15.75" customHeight="1" thickTop="1" x14ac:dyDescent="0.2">
      <c r="A24" s="2225" t="s">
        <v>1113</v>
      </c>
      <c r="B24" s="2199"/>
      <c r="C24" s="2207"/>
      <c r="D24" s="2208"/>
      <c r="E24" s="2208"/>
      <c r="F24" s="2209"/>
    </row>
    <row r="25" spans="1:11" ht="13.5" thickBot="1" x14ac:dyDescent="0.25">
      <c r="A25" s="2213" t="s">
        <v>634</v>
      </c>
      <c r="B25" s="2214"/>
      <c r="C25" s="581"/>
      <c r="D25" s="581"/>
      <c r="E25" s="581"/>
      <c r="F25" s="1755">
        <f>SUM(C25+D25)-E25</f>
        <v>0</v>
      </c>
      <c r="G25" s="552"/>
    </row>
    <row r="26" spans="1:11" ht="15.75" customHeight="1" thickTop="1" x14ac:dyDescent="0.2">
      <c r="A26" s="2198" t="s">
        <v>657</v>
      </c>
      <c r="B26" s="2199"/>
      <c r="C26" s="727"/>
      <c r="D26" s="727"/>
      <c r="E26" s="727"/>
      <c r="F26" s="728"/>
    </row>
    <row r="27" spans="1:11" ht="13.5" thickBot="1" x14ac:dyDescent="0.25">
      <c r="A27" s="2200" t="s">
        <v>1070</v>
      </c>
      <c r="B27" s="2201"/>
      <c r="C27" s="585"/>
      <c r="D27" s="585"/>
      <c r="E27" s="585"/>
      <c r="F27" s="1755">
        <f>SUM(C27+D27)-E27</f>
        <v>0</v>
      </c>
      <c r="G27" s="552"/>
    </row>
    <row r="28" spans="1:11" ht="7.5" customHeight="1" thickTop="1" x14ac:dyDescent="0.2">
      <c r="A28" s="593"/>
    </row>
    <row r="29" spans="1:11" ht="23.25" customHeight="1" x14ac:dyDescent="0.2">
      <c r="A29" s="2226"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2109</v>
      </c>
      <c r="B31" s="733">
        <v>40148</v>
      </c>
      <c r="C31" s="734">
        <v>3995000</v>
      </c>
      <c r="D31" s="735">
        <v>4</v>
      </c>
      <c r="E31" s="734">
        <v>955000</v>
      </c>
      <c r="F31" s="734"/>
      <c r="G31" s="734"/>
      <c r="H31" s="734">
        <v>175000</v>
      </c>
      <c r="I31" s="1756">
        <f>((E31+F31)-H31)+G31</f>
        <v>780000</v>
      </c>
      <c r="J31" s="734">
        <v>734585</v>
      </c>
      <c r="K31" s="736"/>
    </row>
    <row r="32" spans="1:11" ht="12" customHeight="1" x14ac:dyDescent="0.2">
      <c r="A32" s="732" t="s">
        <v>2110</v>
      </c>
      <c r="B32" s="733">
        <v>40544</v>
      </c>
      <c r="C32" s="734">
        <v>10000000</v>
      </c>
      <c r="D32" s="735">
        <v>6</v>
      </c>
      <c r="E32" s="734">
        <v>1185000</v>
      </c>
      <c r="F32" s="734"/>
      <c r="G32" s="734"/>
      <c r="H32" s="734">
        <v>355000</v>
      </c>
      <c r="I32" s="1756">
        <f>((E32+F32)-H32)+G32</f>
        <v>830000</v>
      </c>
      <c r="J32" s="734">
        <v>830000</v>
      </c>
      <c r="K32" s="736"/>
    </row>
    <row r="33" spans="1:11" ht="12" customHeight="1" x14ac:dyDescent="0.2">
      <c r="A33" s="732" t="s">
        <v>2111</v>
      </c>
      <c r="B33" s="733">
        <v>41579</v>
      </c>
      <c r="C33" s="734">
        <v>4060000</v>
      </c>
      <c r="D33" s="735">
        <v>1</v>
      </c>
      <c r="E33" s="734">
        <v>4035000</v>
      </c>
      <c r="F33" s="734"/>
      <c r="G33" s="734"/>
      <c r="H33" s="734"/>
      <c r="I33" s="1756">
        <f t="shared" ref="I33:I48" si="1">((E33+F33)-H33)+G33</f>
        <v>4035000</v>
      </c>
      <c r="J33" s="734">
        <v>4035000</v>
      </c>
      <c r="K33" s="736"/>
    </row>
    <row r="34" spans="1:11" ht="12" customHeight="1" x14ac:dyDescent="0.2">
      <c r="A34" s="732" t="s">
        <v>2112</v>
      </c>
      <c r="B34" s="733">
        <v>42640</v>
      </c>
      <c r="C34" s="734">
        <v>9375000</v>
      </c>
      <c r="D34" s="735">
        <v>3</v>
      </c>
      <c r="E34" s="734">
        <v>8945000</v>
      </c>
      <c r="F34" s="734"/>
      <c r="G34" s="734"/>
      <c r="H34" s="734">
        <v>160000</v>
      </c>
      <c r="I34" s="1756">
        <f t="shared" si="1"/>
        <v>8785000</v>
      </c>
      <c r="J34" s="734">
        <v>8785000</v>
      </c>
      <c r="K34" s="737"/>
    </row>
    <row r="35" spans="1:11" ht="12" customHeight="1" x14ac:dyDescent="0.2">
      <c r="A35" s="732" t="s">
        <v>2113</v>
      </c>
      <c r="B35" s="733">
        <v>43216</v>
      </c>
      <c r="C35" s="738">
        <v>305000</v>
      </c>
      <c r="D35" s="735">
        <v>3</v>
      </c>
      <c r="E35" s="738">
        <v>305000</v>
      </c>
      <c r="F35" s="738"/>
      <c r="G35" s="738"/>
      <c r="H35" s="738"/>
      <c r="I35" s="1756">
        <f t="shared" si="1"/>
        <v>305000</v>
      </c>
      <c r="J35" s="738">
        <v>305000</v>
      </c>
      <c r="K35" s="737"/>
    </row>
    <row r="36" spans="1:11" ht="12" customHeight="1" x14ac:dyDescent="0.2">
      <c r="A36" s="732" t="s">
        <v>2114</v>
      </c>
      <c r="B36" s="733">
        <v>43216</v>
      </c>
      <c r="C36" s="734">
        <v>3500000</v>
      </c>
      <c r="D36" s="735">
        <v>1</v>
      </c>
      <c r="E36" s="734">
        <v>3500000</v>
      </c>
      <c r="F36" s="734"/>
      <c r="G36" s="734"/>
      <c r="H36" s="734"/>
      <c r="I36" s="1756">
        <f t="shared" si="1"/>
        <v>3500000</v>
      </c>
      <c r="J36" s="734">
        <v>3500000</v>
      </c>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31235000</v>
      </c>
      <c r="D49" s="745"/>
      <c r="E49" s="1756">
        <f t="shared" ref="E49:J49" si="2">SUM(E31:E48)</f>
        <v>18925000</v>
      </c>
      <c r="F49" s="1756">
        <f t="shared" si="2"/>
        <v>0</v>
      </c>
      <c r="G49" s="1756">
        <f t="shared" si="2"/>
        <v>0</v>
      </c>
      <c r="H49" s="1756">
        <f t="shared" si="2"/>
        <v>690000</v>
      </c>
      <c r="I49" s="1756">
        <f t="shared" si="2"/>
        <v>18235000</v>
      </c>
      <c r="J49" s="1756">
        <f t="shared" si="2"/>
        <v>18189585</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17" t="s">
        <v>584</v>
      </c>
      <c r="C52" s="2218"/>
      <c r="D52" s="2218"/>
      <c r="E52" s="749" t="s">
        <v>845</v>
      </c>
      <c r="F52" s="2219"/>
      <c r="G52" s="2220"/>
      <c r="H52" s="736"/>
      <c r="I52" s="736"/>
      <c r="J52" s="746"/>
    </row>
    <row r="53" spans="1:11" ht="11.25" customHeight="1" x14ac:dyDescent="0.2">
      <c r="A53" s="750" t="s">
        <v>913</v>
      </c>
      <c r="B53" s="751" t="s">
        <v>951</v>
      </c>
      <c r="C53" s="746"/>
      <c r="D53" s="737"/>
      <c r="E53" s="749" t="s">
        <v>497</v>
      </c>
      <c r="F53" s="2221"/>
      <c r="G53" s="2222"/>
      <c r="H53" s="736"/>
      <c r="I53" s="736"/>
      <c r="J53" s="746"/>
    </row>
    <row r="54" spans="1:11" ht="11.25" customHeight="1" x14ac:dyDescent="0.2">
      <c r="A54" s="752" t="s">
        <v>914</v>
      </c>
      <c r="B54" s="747" t="s">
        <v>952</v>
      </c>
      <c r="C54" s="746"/>
      <c r="D54" s="737"/>
      <c r="E54" s="749" t="s">
        <v>498</v>
      </c>
      <c r="F54" s="2221"/>
      <c r="G54" s="222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B35" sqref="B3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1" t="s">
        <v>856</v>
      </c>
      <c r="B1" s="2252"/>
      <c r="C1" s="2252"/>
      <c r="D1" s="2252"/>
      <c r="E1" s="2252"/>
      <c r="F1" s="2252"/>
      <c r="G1" s="2253"/>
      <c r="H1" s="1530"/>
      <c r="I1" s="760"/>
      <c r="J1" s="433"/>
    </row>
    <row r="2" spans="1:11" ht="26.25" x14ac:dyDescent="0.2">
      <c r="A2" s="2230" t="s">
        <v>1677</v>
      </c>
      <c r="B2" s="2231"/>
      <c r="C2" s="2231"/>
      <c r="D2" s="2231"/>
      <c r="E2" s="2232"/>
      <c r="F2" s="761" t="s">
        <v>904</v>
      </c>
      <c r="G2" s="762" t="s">
        <v>1674</v>
      </c>
      <c r="H2" s="762" t="s">
        <v>410</v>
      </c>
      <c r="I2" s="762" t="s">
        <v>1158</v>
      </c>
      <c r="J2" s="762" t="s">
        <v>1812</v>
      </c>
      <c r="K2" s="762" t="s">
        <v>138</v>
      </c>
    </row>
    <row r="3" spans="1:11" x14ac:dyDescent="0.2">
      <c r="A3" s="2233" t="s">
        <v>1962</v>
      </c>
      <c r="B3" s="2234"/>
      <c r="C3" s="2234"/>
      <c r="D3" s="2234"/>
      <c r="E3" s="2235"/>
      <c r="F3" s="763"/>
      <c r="G3" s="764">
        <v>0</v>
      </c>
      <c r="H3" s="764">
        <v>0</v>
      </c>
      <c r="I3" s="764">
        <v>0</v>
      </c>
      <c r="J3" s="765">
        <v>0</v>
      </c>
      <c r="K3" s="765">
        <v>0</v>
      </c>
    </row>
    <row r="4" spans="1:11" x14ac:dyDescent="0.2">
      <c r="A4" s="2236" t="s">
        <v>369</v>
      </c>
      <c r="B4" s="2237"/>
      <c r="C4" s="2237"/>
      <c r="D4" s="2237"/>
      <c r="E4" s="2218"/>
      <c r="F4" s="766"/>
      <c r="G4" s="767"/>
      <c r="H4" s="768"/>
      <c r="I4" s="767"/>
      <c r="J4" s="769"/>
      <c r="K4" s="769"/>
    </row>
    <row r="5" spans="1:11" x14ac:dyDescent="0.2">
      <c r="A5" s="2254" t="s">
        <v>1069</v>
      </c>
      <c r="B5" s="2227"/>
      <c r="C5" s="2227"/>
      <c r="D5" s="2227"/>
      <c r="E5" s="2255"/>
      <c r="F5" s="770" t="s">
        <v>848</v>
      </c>
      <c r="G5" s="771"/>
      <c r="H5" s="764">
        <v>128651</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15100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70264</v>
      </c>
    </row>
    <row r="10" spans="1:11" x14ac:dyDescent="0.2">
      <c r="A10" s="2254" t="s">
        <v>1813</v>
      </c>
      <c r="B10" s="2227"/>
      <c r="C10" s="2227"/>
      <c r="D10" s="2227"/>
      <c r="E10" s="2256"/>
      <c r="F10" s="783" t="s">
        <v>862</v>
      </c>
      <c r="G10" s="782"/>
      <c r="H10" s="784"/>
      <c r="I10" s="764"/>
      <c r="J10" s="765"/>
      <c r="K10" s="765"/>
    </row>
    <row r="11" spans="1:11" x14ac:dyDescent="0.2">
      <c r="A11" s="2254" t="s">
        <v>160</v>
      </c>
      <c r="B11" s="2227"/>
      <c r="C11" s="2227"/>
      <c r="D11" s="2227"/>
      <c r="E11" s="2255"/>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128651</v>
      </c>
      <c r="I12" s="1758">
        <f>SUM(I5:I11)</f>
        <v>0</v>
      </c>
      <c r="J12" s="1758">
        <f>SUM(J5:J11)</f>
        <v>0</v>
      </c>
      <c r="K12" s="1758">
        <f>SUM(K5:K11)</f>
        <v>85364</v>
      </c>
    </row>
    <row r="13" spans="1:11" ht="13.5" thickTop="1" x14ac:dyDescent="0.2">
      <c r="A13" s="2238" t="s">
        <v>370</v>
      </c>
      <c r="B13" s="2239"/>
      <c r="C13" s="2239"/>
      <c r="D13" s="2239"/>
      <c r="E13" s="2240"/>
      <c r="F13" s="785"/>
      <c r="G13" s="786"/>
      <c r="H13" s="787"/>
      <c r="I13" s="788"/>
      <c r="J13" s="788"/>
      <c r="K13" s="788"/>
    </row>
    <row r="14" spans="1:11" x14ac:dyDescent="0.2">
      <c r="A14" s="2260" t="s">
        <v>456</v>
      </c>
      <c r="B14" s="2260"/>
      <c r="C14" s="2260"/>
      <c r="D14" s="2260"/>
      <c r="E14" s="2261"/>
      <c r="F14" s="789" t="s">
        <v>854</v>
      </c>
      <c r="G14" s="782"/>
      <c r="H14" s="764">
        <v>128651</v>
      </c>
      <c r="I14" s="771"/>
      <c r="J14" s="773"/>
      <c r="K14" s="765">
        <v>85364</v>
      </c>
    </row>
    <row r="15" spans="1:11" x14ac:dyDescent="0.2">
      <c r="A15" s="2227" t="s">
        <v>4</v>
      </c>
      <c r="B15" s="2227"/>
      <c r="C15" s="2227"/>
      <c r="D15" s="2227"/>
      <c r="E15" s="2255"/>
      <c r="F15" s="789" t="s">
        <v>855</v>
      </c>
      <c r="G15" s="771"/>
      <c r="H15" s="764"/>
      <c r="I15" s="764"/>
      <c r="J15" s="765"/>
      <c r="K15" s="765"/>
    </row>
    <row r="16" spans="1:11" x14ac:dyDescent="0.2">
      <c r="A16" s="2227" t="s">
        <v>298</v>
      </c>
      <c r="B16" s="2227"/>
      <c r="C16" s="2227"/>
      <c r="D16" s="2227"/>
      <c r="E16" s="2255"/>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41" t="s">
        <v>368</v>
      </c>
      <c r="B18" s="2242"/>
      <c r="C18" s="2242"/>
      <c r="D18" s="2242"/>
      <c r="E18" s="2243"/>
      <c r="F18" s="789" t="s">
        <v>932</v>
      </c>
      <c r="G18" s="782"/>
      <c r="H18" s="782"/>
      <c r="I18" s="782"/>
      <c r="J18" s="765"/>
      <c r="K18" s="795"/>
    </row>
    <row r="19" spans="1:11" ht="21.75" customHeight="1" x14ac:dyDescent="0.2">
      <c r="A19" s="2262" t="s">
        <v>1809</v>
      </c>
      <c r="B19" s="2262"/>
      <c r="C19" s="2262"/>
      <c r="D19" s="2262"/>
      <c r="E19" s="2263"/>
      <c r="F19" s="789" t="s">
        <v>933</v>
      </c>
      <c r="G19" s="782"/>
      <c r="H19" s="782"/>
      <c r="I19" s="782"/>
      <c r="J19" s="765"/>
      <c r="K19" s="795"/>
    </row>
    <row r="20" spans="1:11" x14ac:dyDescent="0.2">
      <c r="A20" s="2241" t="s">
        <v>1814</v>
      </c>
      <c r="B20" s="2242"/>
      <c r="C20" s="2242"/>
      <c r="D20" s="2242"/>
      <c r="E20" s="2243"/>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0</v>
      </c>
      <c r="K21" s="793"/>
    </row>
    <row r="22" spans="1:11" ht="13.5" thickTop="1" x14ac:dyDescent="0.2">
      <c r="A22" s="2227" t="s">
        <v>1815</v>
      </c>
      <c r="B22" s="2227"/>
      <c r="C22" s="2227"/>
      <c r="D22" s="2227"/>
      <c r="E22" s="2255"/>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128651</v>
      </c>
      <c r="I23" s="1758">
        <f>SUM(I14:I16,I21,I22)</f>
        <v>0</v>
      </c>
      <c r="J23" s="1758">
        <f>SUM(J14:J16,J21,J22)</f>
        <v>0</v>
      </c>
      <c r="K23" s="1758">
        <f>SUM(K14:K16,K21,K22)</f>
        <v>85364</v>
      </c>
    </row>
    <row r="24" spans="1:11" ht="14.25" thickTop="1" thickBot="1" x14ac:dyDescent="0.25">
      <c r="A24" s="2248" t="s">
        <v>1963</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7"/>
      <c r="I31" s="2258"/>
      <c r="J31" s="2258"/>
      <c r="K31" s="2258"/>
    </row>
    <row r="32" spans="1:11" x14ac:dyDescent="0.2">
      <c r="A32" s="809"/>
      <c r="B32" s="237"/>
      <c r="C32" s="237"/>
      <c r="D32" s="237"/>
      <c r="E32" s="805"/>
      <c r="F32" s="811" t="s">
        <v>540</v>
      </c>
      <c r="G32" s="764"/>
      <c r="H32" s="2259"/>
      <c r="I32" s="2258"/>
      <c r="J32" s="2258"/>
      <c r="K32" s="2258"/>
    </row>
    <row r="33" spans="1:11" ht="1.5" customHeight="1" x14ac:dyDescent="0.2">
      <c r="A33" s="812" t="s">
        <v>1169</v>
      </c>
      <c r="B33" s="364"/>
      <c r="C33" s="364"/>
      <c r="D33" s="364"/>
      <c r="E33" s="364"/>
      <c r="F33" s="364"/>
      <c r="G33" s="813"/>
      <c r="H33" s="2259"/>
      <c r="I33" s="2258"/>
      <c r="J33" s="2258"/>
      <c r="K33" s="225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7" t="s">
        <v>541</v>
      </c>
      <c r="B41" s="2228"/>
      <c r="C41" s="2228"/>
      <c r="D41" s="2228"/>
      <c r="E41" s="2228"/>
      <c r="F41" s="222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 colorId="8" zoomScale="110" zoomScaleNormal="110" workbookViewId="0">
      <selection activeCell="B35" sqref="B3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6" t="s">
        <v>1908</v>
      </c>
      <c r="B1" s="2267"/>
      <c r="C1" s="2268"/>
      <c r="D1" s="826"/>
      <c r="E1" s="827"/>
      <c r="F1" s="827"/>
      <c r="G1" s="828"/>
      <c r="H1" s="829"/>
      <c r="I1" s="830"/>
      <c r="J1" s="2264"/>
      <c r="K1" s="2265"/>
      <c r="L1" s="2265"/>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434584</v>
      </c>
      <c r="D5" s="841"/>
      <c r="E5" s="841"/>
      <c r="F5" s="1760">
        <f>(C5+D5)-E5</f>
        <v>434584</v>
      </c>
      <c r="G5" s="837"/>
      <c r="H5" s="842"/>
      <c r="I5" s="842"/>
      <c r="J5" s="842"/>
      <c r="K5" s="793"/>
      <c r="L5" s="1769">
        <f>F5-K5</f>
        <v>434584</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8027498</v>
      </c>
      <c r="D8" s="844"/>
      <c r="E8" s="844"/>
      <c r="F8" s="1760">
        <f>(C8+D8)-E8</f>
        <v>8027498</v>
      </c>
      <c r="G8" s="843">
        <v>50</v>
      </c>
      <c r="H8" s="765">
        <v>5943595</v>
      </c>
      <c r="I8" s="765">
        <v>160550</v>
      </c>
      <c r="J8" s="765"/>
      <c r="K8" s="1769">
        <f>(H8+I8)-J8</f>
        <v>6104145</v>
      </c>
      <c r="L8" s="1769">
        <f>F8-K8</f>
        <v>1923353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23394539</v>
      </c>
      <c r="D10" s="846">
        <v>758463</v>
      </c>
      <c r="E10" s="846"/>
      <c r="F10" s="1764">
        <f>(C10+D10)-E10</f>
        <v>24153002</v>
      </c>
      <c r="G10" s="843">
        <v>20</v>
      </c>
      <c r="H10" s="847">
        <v>7247680</v>
      </c>
      <c r="I10" s="847">
        <v>1175428</v>
      </c>
      <c r="J10" s="847"/>
      <c r="K10" s="1769">
        <f>(H10+I10)-J10</f>
        <v>8423108</v>
      </c>
      <c r="L10" s="1769">
        <f>F10-K10</f>
        <v>15729894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2688312</v>
      </c>
      <c r="D12" s="844">
        <v>373999</v>
      </c>
      <c r="E12" s="844">
        <v>301440</v>
      </c>
      <c r="F12" s="1760">
        <f>(C12+D12)-E12</f>
        <v>2760871</v>
      </c>
      <c r="G12" s="843">
        <v>10</v>
      </c>
      <c r="H12" s="765">
        <v>1662501</v>
      </c>
      <c r="I12" s="765">
        <v>276087</v>
      </c>
      <c r="J12" s="765">
        <v>301440</v>
      </c>
      <c r="K12" s="1769">
        <f>(H12+I12)-J12</f>
        <v>1637148</v>
      </c>
      <c r="L12" s="1769">
        <f>F12-K12</f>
        <v>1123723</v>
      </c>
    </row>
    <row r="13" spans="1:14" ht="14.25" thickTop="1" thickBot="1" x14ac:dyDescent="0.25">
      <c r="A13" s="848" t="s">
        <v>1122</v>
      </c>
      <c r="B13" s="840">
        <v>252</v>
      </c>
      <c r="C13" s="844">
        <v>52444</v>
      </c>
      <c r="D13" s="844">
        <v>68512</v>
      </c>
      <c r="E13" s="844"/>
      <c r="F13" s="1760">
        <f>(C13+D13)-E13</f>
        <v>120956</v>
      </c>
      <c r="G13" s="843">
        <v>5</v>
      </c>
      <c r="H13" s="765">
        <v>43136</v>
      </c>
      <c r="I13" s="765">
        <v>3395</v>
      </c>
      <c r="J13" s="765"/>
      <c r="K13" s="1769">
        <f>(H13+I13)-J13</f>
        <v>46531</v>
      </c>
      <c r="L13" s="1769">
        <f>F13-K13</f>
        <v>74425</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v>2548850</v>
      </c>
      <c r="E15" s="844"/>
      <c r="F15" s="1760">
        <f>(C15+D15)-E15</f>
        <v>2548850</v>
      </c>
      <c r="G15" s="849" t="s">
        <v>862</v>
      </c>
      <c r="H15" s="781"/>
      <c r="I15" s="781"/>
      <c r="J15" s="781"/>
      <c r="K15" s="781"/>
      <c r="L15" s="1769">
        <f>F15-K15</f>
        <v>2548850</v>
      </c>
    </row>
    <row r="16" spans="1:14" ht="15" customHeight="1" thickTop="1" thickBot="1" x14ac:dyDescent="0.25">
      <c r="A16" s="1765" t="s">
        <v>643</v>
      </c>
      <c r="B16" s="1766">
        <v>200</v>
      </c>
      <c r="C16" s="1760">
        <f>SUM(C3,C5:C6,C8:C10,C12:C15)</f>
        <v>34597377</v>
      </c>
      <c r="D16" s="1760">
        <f>SUM(D3,D5:D6,D8:D10,D12:D15)</f>
        <v>3749824</v>
      </c>
      <c r="E16" s="1760">
        <f>SUM(E3,E5:E6,E8:E10,E12:E15)</f>
        <v>301440</v>
      </c>
      <c r="F16" s="1760">
        <f>SUM(F3,F5:F6,F8:F10,F12:F15)</f>
        <v>38045761</v>
      </c>
      <c r="G16" s="843"/>
      <c r="H16" s="1760">
        <f>SUM(H3,H6,H8:H10,H12:H14,)</f>
        <v>14896912</v>
      </c>
      <c r="I16" s="1760">
        <f>SUM(I3,I6,I8:I10,I12:I14,)</f>
        <v>1615460</v>
      </c>
      <c r="J16" s="1760">
        <f>SUM(J3,J6,J8:J10,J12:J14,)</f>
        <v>301440</v>
      </c>
      <c r="K16" s="1760">
        <f>(H16+I16)-J16</f>
        <v>16210932</v>
      </c>
      <c r="L16" s="1760">
        <f>F16-K16</f>
        <v>21834829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1615460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5" zoomScaleNormal="115" workbookViewId="0">
      <pane ySplit="5" topLeftCell="A182" activePane="bottomLeft" state="frozen"/>
      <selection activeCell="B35" sqref="B35"/>
      <selection pane="bottomLeft" activeCell="B35" sqref="B3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2" t="s">
        <v>1973</v>
      </c>
      <c r="B1" s="2273"/>
      <c r="C1" s="2273"/>
      <c r="D1" s="2273"/>
      <c r="E1" s="2273"/>
      <c r="F1" s="2274"/>
      <c r="G1" s="855"/>
    </row>
    <row r="2" spans="1:7" ht="15" customHeight="1" thickBot="1" x14ac:dyDescent="0.25">
      <c r="A2" s="2275" t="s">
        <v>477</v>
      </c>
      <c r="B2" s="2276"/>
      <c r="C2" s="2276"/>
      <c r="D2" s="2276"/>
      <c r="E2" s="2276"/>
      <c r="F2" s="227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8"/>
      <c r="B5" s="2279"/>
      <c r="C5" s="2279"/>
      <c r="D5" s="2279"/>
      <c r="E5" s="2279"/>
      <c r="F5" s="2279"/>
    </row>
    <row r="6" spans="1:7" ht="13.5" customHeight="1" thickBot="1" x14ac:dyDescent="0.25">
      <c r="A6" s="2269" t="s">
        <v>1104</v>
      </c>
      <c r="B6" s="2270"/>
      <c r="C6" s="2270"/>
      <c r="D6" s="2270"/>
      <c r="E6" s="2270"/>
      <c r="F6" s="227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14994190</v>
      </c>
      <c r="G8" s="865"/>
    </row>
    <row r="9" spans="1:7" x14ac:dyDescent="0.2">
      <c r="A9" s="869" t="s">
        <v>460</v>
      </c>
      <c r="B9" s="870" t="s">
        <v>1876</v>
      </c>
      <c r="C9" s="871"/>
      <c r="D9" s="869" t="s">
        <v>501</v>
      </c>
      <c r="E9" s="868"/>
      <c r="F9" s="1909">
        <f>'Expenditures 15-22'!K151</f>
        <v>1312007</v>
      </c>
      <c r="G9" s="872"/>
    </row>
    <row r="10" spans="1:7" x14ac:dyDescent="0.2">
      <c r="A10" s="869" t="s">
        <v>499</v>
      </c>
      <c r="B10" s="870" t="s">
        <v>1877</v>
      </c>
      <c r="C10" s="871"/>
      <c r="D10" s="869" t="s">
        <v>501</v>
      </c>
      <c r="E10" s="868"/>
      <c r="F10" s="1909">
        <f>'Expenditures 15-22'!K174</f>
        <v>1270565</v>
      </c>
      <c r="G10" s="872"/>
    </row>
    <row r="11" spans="1:7" x14ac:dyDescent="0.2">
      <c r="A11" s="869" t="s">
        <v>461</v>
      </c>
      <c r="B11" s="870" t="s">
        <v>1878</v>
      </c>
      <c r="C11" s="871"/>
      <c r="D11" s="869" t="s">
        <v>501</v>
      </c>
      <c r="E11" s="868"/>
      <c r="F11" s="1909">
        <f>'Expenditures 15-22'!K210</f>
        <v>673462</v>
      </c>
      <c r="G11" s="872"/>
    </row>
    <row r="12" spans="1:7" x14ac:dyDescent="0.2">
      <c r="A12" s="869" t="s">
        <v>462</v>
      </c>
      <c r="B12" s="870" t="s">
        <v>1879</v>
      </c>
      <c r="C12" s="871"/>
      <c r="D12" s="869" t="s">
        <v>501</v>
      </c>
      <c r="E12" s="868"/>
      <c r="F12" s="1909">
        <f>'Expenditures 15-22'!K295</f>
        <v>461175</v>
      </c>
      <c r="G12" s="872"/>
    </row>
    <row r="13" spans="1:7" x14ac:dyDescent="0.2">
      <c r="A13" s="869" t="s">
        <v>106</v>
      </c>
      <c r="B13" s="870" t="s">
        <v>1880</v>
      </c>
      <c r="C13" s="871"/>
      <c r="D13" s="869" t="s">
        <v>501</v>
      </c>
      <c r="E13" s="868"/>
      <c r="F13" s="1909">
        <f>'Expenditures 15-22'!K342</f>
        <v>34362</v>
      </c>
      <c r="G13" s="873"/>
    </row>
    <row r="14" spans="1:7" ht="12" customHeight="1" thickBot="1" x14ac:dyDescent="0.25">
      <c r="A14" s="1770"/>
      <c r="B14" s="1771"/>
      <c r="C14" s="1772"/>
      <c r="D14" s="1773" t="s">
        <v>501</v>
      </c>
      <c r="E14" s="1774" t="s">
        <v>958</v>
      </c>
      <c r="F14" s="1775">
        <f>SUM(F8:F13)</f>
        <v>18745761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26834</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347699</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281023</v>
      </c>
      <c r="G53" s="865"/>
    </row>
    <row r="54" spans="1:7" x14ac:dyDescent="0.2">
      <c r="A54" s="869" t="s">
        <v>459</v>
      </c>
      <c r="B54" s="869" t="s">
        <v>1476</v>
      </c>
      <c r="C54" s="889" t="s">
        <v>982</v>
      </c>
      <c r="D54" s="885" t="s">
        <v>1095</v>
      </c>
      <c r="E54" s="868"/>
      <c r="F54" s="1913">
        <f>'Expenditures 15-22'!G114</f>
        <v>300588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405226</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690000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24989</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894</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2077253</v>
      </c>
      <c r="G76" s="865"/>
    </row>
    <row r="77" spans="1:8" s="893" customFormat="1" ht="12" customHeight="1" thickTop="1" thickBot="1" x14ac:dyDescent="0.25">
      <c r="A77" s="1779"/>
      <c r="B77" s="1776"/>
      <c r="C77" s="1772"/>
      <c r="D77" s="1777" t="s">
        <v>1899</v>
      </c>
      <c r="E77" s="1774"/>
      <c r="F77" s="1780">
        <f>(F14-F76)</f>
        <v>16668508</v>
      </c>
      <c r="G77" s="869"/>
    </row>
    <row r="78" spans="1:8" s="893" customFormat="1" ht="12" customHeight="1" thickTop="1" x14ac:dyDescent="0.2">
      <c r="A78" s="1781"/>
      <c r="B78" s="1776"/>
      <c r="C78" s="1772"/>
      <c r="D78" s="1777" t="s">
        <v>2060</v>
      </c>
      <c r="E78" s="1774"/>
      <c r="F78" s="898">
        <v>1244.4000000000001</v>
      </c>
      <c r="G78" s="899"/>
      <c r="H78" s="869"/>
    </row>
    <row r="79" spans="1:8" s="893" customFormat="1" ht="12" customHeight="1" thickBot="1" x14ac:dyDescent="0.25">
      <c r="A79" s="1782"/>
      <c r="B79" s="1776"/>
      <c r="C79" s="1772"/>
      <c r="D79" s="1777" t="s">
        <v>1900</v>
      </c>
      <c r="E79" s="1774" t="s">
        <v>958</v>
      </c>
      <c r="F79" s="1783">
        <f>IF(F78&gt;0,F77/F78," Complete Line 78")</f>
        <v>13394.815171970427</v>
      </c>
      <c r="G79" s="869"/>
    </row>
    <row r="80" spans="1:8" s="893" customFormat="1" ht="8.25" customHeight="1" thickTop="1" x14ac:dyDescent="0.2">
      <c r="A80" s="900"/>
      <c r="B80" s="869"/>
      <c r="C80" s="871"/>
      <c r="D80" s="901"/>
      <c r="E80" s="868"/>
      <c r="F80" s="902"/>
      <c r="G80" s="869"/>
    </row>
    <row r="81" spans="1:7" s="893" customFormat="1" ht="12" thickBot="1" x14ac:dyDescent="0.25">
      <c r="A81" s="2269" t="s">
        <v>1105</v>
      </c>
      <c r="B81" s="2270"/>
      <c r="C81" s="2270"/>
      <c r="D81" s="2270"/>
      <c r="E81" s="2270"/>
      <c r="F81" s="227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573600</v>
      </c>
      <c r="G94" s="912"/>
    </row>
    <row r="95" spans="1:7" x14ac:dyDescent="0.2">
      <c r="A95" s="908" t="s">
        <v>140</v>
      </c>
      <c r="B95" s="908" t="s">
        <v>175</v>
      </c>
      <c r="C95" s="910">
        <v>1700</v>
      </c>
      <c r="D95" s="918" t="str">
        <f>'Revenues 9-14'!A82</f>
        <v>Total District/School Activity Income</v>
      </c>
      <c r="E95" s="906"/>
      <c r="F95" s="1789">
        <f>SUM('Revenues 9-14'!C82,'Revenues 9-14'!D82)</f>
        <v>69334</v>
      </c>
      <c r="G95" s="912"/>
    </row>
    <row r="96" spans="1:7" x14ac:dyDescent="0.2">
      <c r="A96" s="908" t="s">
        <v>459</v>
      </c>
      <c r="B96" s="908" t="s">
        <v>176</v>
      </c>
      <c r="C96" s="910">
        <f>'Revenues 9-14'!B84</f>
        <v>1811</v>
      </c>
      <c r="D96" s="911" t="str">
        <f>'Revenues 9-14'!A84</f>
        <v>Rentals - Regular Textbooks</v>
      </c>
      <c r="E96" s="906"/>
      <c r="F96" s="1789">
        <f>'Revenues 9-14'!C84</f>
        <v>107133</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109</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560843</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34685</v>
      </c>
      <c r="G104" s="912"/>
    </row>
    <row r="105" spans="1:7" x14ac:dyDescent="0.2">
      <c r="A105" s="908" t="s">
        <v>503</v>
      </c>
      <c r="B105" s="908" t="s">
        <v>2001</v>
      </c>
      <c r="C105" s="913">
        <v>3100</v>
      </c>
      <c r="D105" s="919" t="str">
        <f>'Revenues 9-14'!A132</f>
        <v>Total Special Education</v>
      </c>
      <c r="E105" s="906"/>
      <c r="F105" s="1789">
        <f>SUM('Revenues 9-14'!C132:D132,'Revenues 9-14'!F132)</f>
        <v>29709</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40980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1942</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70264</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113862</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24493</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115360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100572</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92592</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18650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25876</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3633</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358317</v>
      </c>
      <c r="G171" s="927"/>
    </row>
    <row r="172" spans="1:7" x14ac:dyDescent="0.2">
      <c r="A172" s="1918" t="s">
        <v>664</v>
      </c>
      <c r="B172" s="1919" t="s">
        <v>1919</v>
      </c>
      <c r="C172" s="1920">
        <v>3300</v>
      </c>
      <c r="D172" s="1921" t="s">
        <v>1922</v>
      </c>
      <c r="E172" s="906"/>
      <c r="F172" s="1906">
        <v>19</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2341973</v>
      </c>
    </row>
    <row r="175" spans="1:7" ht="12" customHeight="1" x14ac:dyDescent="0.2">
      <c r="A175" s="1770"/>
      <c r="B175" s="1784"/>
      <c r="C175" s="1785"/>
      <c r="D175" s="1786" t="s">
        <v>2055</v>
      </c>
      <c r="E175" s="1787"/>
      <c r="F175" s="1789">
        <f>'PCTC-OEPP 27-28'!F77-F174</f>
        <v>14326535</v>
      </c>
    </row>
    <row r="176" spans="1:7" ht="12" customHeight="1" x14ac:dyDescent="0.2">
      <c r="A176" s="1770"/>
      <c r="B176" s="1784"/>
      <c r="C176" s="1785"/>
      <c r="D176" s="1786" t="s">
        <v>1817</v>
      </c>
      <c r="E176" s="1787"/>
      <c r="F176" s="1789">
        <f>'Cap Outlay Deprec 26'!I18</f>
        <v>1615460</v>
      </c>
    </row>
    <row r="177" spans="1:7" ht="12" customHeight="1" x14ac:dyDescent="0.2">
      <c r="A177" s="1770"/>
      <c r="B177" s="1784"/>
      <c r="C177" s="1785"/>
      <c r="D177" s="1786" t="s">
        <v>2056</v>
      </c>
      <c r="E177" s="1787"/>
      <c r="F177" s="1789">
        <f>F175+F176</f>
        <v>15941995</v>
      </c>
    </row>
    <row r="178" spans="1:7" ht="12" customHeight="1" x14ac:dyDescent="0.2">
      <c r="A178" s="1770"/>
      <c r="B178" s="1790"/>
      <c r="C178" s="1785"/>
      <c r="D178" s="1786" t="str">
        <f>D78</f>
        <v>9 Month ADA from District Average Daily Attendance/Prior General State Aid Inquiry 2018-2019</v>
      </c>
      <c r="E178" s="1787"/>
      <c r="F178" s="1791">
        <f>'PCTC-OEPP 27-28'!F78</f>
        <v>1244.4000000000001</v>
      </c>
      <c r="G178" s="930"/>
    </row>
    <row r="179" spans="1:7" ht="12" customHeight="1" thickBot="1" x14ac:dyDescent="0.25">
      <c r="A179" s="1770"/>
      <c r="B179" s="1790"/>
      <c r="C179" s="1785"/>
      <c r="D179" s="1786" t="s">
        <v>2057</v>
      </c>
      <c r="E179" s="1787" t="s">
        <v>1545</v>
      </c>
      <c r="F179" s="1792">
        <f>F177/F178</f>
        <v>12810.989231758276</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2"/>
  <sheetViews>
    <sheetView showGridLines="0" zoomScaleNormal="100" workbookViewId="0">
      <selection activeCell="B35" sqref="B35"/>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83" t="s">
        <v>1818</v>
      </c>
      <c r="B4" s="2284"/>
      <c r="C4" s="2284"/>
      <c r="D4" s="2284"/>
      <c r="E4" s="2284"/>
      <c r="F4" s="2284"/>
      <c r="G4" s="2285"/>
    </row>
    <row r="5" spans="1:7" x14ac:dyDescent="0.25">
      <c r="A5" s="2286"/>
      <c r="B5" s="2287"/>
      <c r="C5" s="2287"/>
      <c r="D5" s="2287"/>
      <c r="E5" s="2287"/>
      <c r="F5" s="2287"/>
      <c r="G5" s="2288"/>
    </row>
    <row r="6" spans="1:7" ht="18.75" x14ac:dyDescent="0.25">
      <c r="A6" s="1936" t="s">
        <v>2064</v>
      </c>
      <c r="B6" s="1937"/>
      <c r="C6" s="1937"/>
      <c r="D6" s="1937"/>
      <c r="E6" s="1937"/>
      <c r="F6" s="1937"/>
      <c r="G6" s="1938"/>
    </row>
    <row r="7" spans="1:7" ht="18.75" x14ac:dyDescent="0.25">
      <c r="A7" s="1534" t="s">
        <v>1819</v>
      </c>
      <c r="B7" s="1535"/>
      <c r="C7" s="1535"/>
      <c r="D7" s="1535"/>
      <c r="E7" s="1535"/>
      <c r="F7" s="1535"/>
      <c r="G7" s="1536"/>
    </row>
    <row r="8" spans="1:7" ht="30.75" customHeight="1" x14ac:dyDescent="0.25">
      <c r="A8" s="2289" t="s">
        <v>1931</v>
      </c>
      <c r="B8" s="2290"/>
      <c r="C8" s="2290"/>
      <c r="D8" s="2290"/>
      <c r="E8" s="2290"/>
      <c r="F8" s="2290"/>
      <c r="G8" s="2291"/>
    </row>
    <row r="9" spans="1:7" ht="15.75" customHeight="1" x14ac:dyDescent="0.25">
      <c r="A9" s="2292" t="s">
        <v>1906</v>
      </c>
      <c r="B9" s="2293"/>
      <c r="C9" s="2293"/>
      <c r="D9" s="2293"/>
      <c r="E9" s="2293"/>
      <c r="F9" s="2293"/>
      <c r="G9" s="2294"/>
    </row>
    <row r="10" spans="1:7" ht="35.25" customHeight="1" x14ac:dyDescent="0.25">
      <c r="A10" s="2289" t="s">
        <v>2063</v>
      </c>
      <c r="B10" s="2290"/>
      <c r="C10" s="2290"/>
      <c r="D10" s="2290"/>
      <c r="E10" s="2290"/>
      <c r="F10" s="2290"/>
      <c r="G10" s="2291"/>
    </row>
    <row r="11" spans="1:7" ht="15" customHeight="1" x14ac:dyDescent="0.25">
      <c r="A11" s="1537" t="s">
        <v>1820</v>
      </c>
      <c r="B11" s="1538"/>
      <c r="C11" s="1538"/>
      <c r="D11" s="1538"/>
      <c r="E11" s="1538"/>
      <c r="F11" s="1538"/>
      <c r="G11" s="1539"/>
    </row>
    <row r="12" spans="1:7" ht="17.25" customHeight="1" x14ac:dyDescent="0.25">
      <c r="A12" s="2289" t="s">
        <v>1933</v>
      </c>
      <c r="B12" s="2290"/>
      <c r="C12" s="2290"/>
      <c r="D12" s="2290"/>
      <c r="E12" s="2290"/>
      <c r="F12" s="2290"/>
      <c r="G12" s="2291"/>
    </row>
    <row r="13" spans="1:7" ht="15" customHeight="1" x14ac:dyDescent="0.25">
      <c r="A13" s="1537" t="s">
        <v>1825</v>
      </c>
      <c r="B13" s="1538"/>
      <c r="C13" s="1538"/>
      <c r="D13" s="1538"/>
      <c r="E13" s="1538"/>
      <c r="F13" s="1538"/>
      <c r="G13" s="1539"/>
    </row>
    <row r="14" spans="1:7" ht="32.25" customHeight="1" x14ac:dyDescent="0.25">
      <c r="A14" s="2280" t="s">
        <v>1974</v>
      </c>
      <c r="B14" s="2281"/>
      <c r="C14" s="2281"/>
      <c r="D14" s="2281"/>
      <c r="E14" s="2281"/>
      <c r="F14" s="2281"/>
      <c r="G14" s="2282"/>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6" t="s">
        <v>2116</v>
      </c>
      <c r="B18" s="1947" t="s">
        <v>2115</v>
      </c>
      <c r="C18" s="1945" t="s">
        <v>2117</v>
      </c>
      <c r="D18" s="1844">
        <v>38904</v>
      </c>
      <c r="E18" s="1540">
        <f t="shared" ref="E18:E142" si="0">IF(D18&lt;=25000,D18,IF(D18&gt;25000,25000,0))</f>
        <v>25000</v>
      </c>
      <c r="F18" s="1935">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13904</v>
      </c>
      <c r="H18" s="1647"/>
    </row>
    <row r="19" spans="1:8" x14ac:dyDescent="0.25">
      <c r="A19" s="1946" t="s">
        <v>2120</v>
      </c>
      <c r="B19" s="1947" t="s">
        <v>2118</v>
      </c>
      <c r="C19" s="1945" t="s">
        <v>2119</v>
      </c>
      <c r="D19" s="1844">
        <v>237685</v>
      </c>
      <c r="E19" s="1540">
        <f t="shared" ref="E19:E141" si="2">IF(D19&lt;=25000,D19,IF(D19&gt;25000,25000,0))</f>
        <v>25000</v>
      </c>
      <c r="F19" s="1935">
        <f t="shared" si="1"/>
        <v>25000</v>
      </c>
      <c r="G19" s="1793">
        <f t="shared" ref="G19:G141" si="3">IF(F19=0,0,D19-F19)</f>
        <v>212685</v>
      </c>
    </row>
    <row r="20" spans="1:8" x14ac:dyDescent="0.25">
      <c r="A20" s="1946" t="s">
        <v>2122</v>
      </c>
      <c r="B20" s="1947" t="s">
        <v>2121</v>
      </c>
      <c r="C20" s="1945" t="s">
        <v>2123</v>
      </c>
      <c r="D20" s="1844">
        <v>25495</v>
      </c>
      <c r="E20" s="1540">
        <f t="shared" si="2"/>
        <v>25000</v>
      </c>
      <c r="F20" s="1935">
        <f t="shared" si="1"/>
        <v>25000</v>
      </c>
      <c r="G20" s="1793">
        <f t="shared" si="3"/>
        <v>495</v>
      </c>
    </row>
    <row r="21" spans="1:8" x14ac:dyDescent="0.25">
      <c r="A21" s="1946" t="s">
        <v>2124</v>
      </c>
      <c r="B21" s="1947" t="s">
        <v>1824</v>
      </c>
      <c r="C21" s="1945" t="s">
        <v>2125</v>
      </c>
      <c r="D21" s="1844">
        <v>192134</v>
      </c>
      <c r="E21" s="1540">
        <f t="shared" si="2"/>
        <v>25000</v>
      </c>
      <c r="F21" s="1935">
        <f t="shared" si="1"/>
        <v>25000</v>
      </c>
      <c r="G21" s="1793">
        <f t="shared" si="3"/>
        <v>167134</v>
      </c>
    </row>
    <row r="22" spans="1:8" x14ac:dyDescent="0.25">
      <c r="A22" s="1946" t="s">
        <v>2128</v>
      </c>
      <c r="B22" s="1947" t="s">
        <v>2126</v>
      </c>
      <c r="C22" s="1948" t="s">
        <v>2127</v>
      </c>
      <c r="D22" s="1844">
        <v>28678</v>
      </c>
      <c r="E22" s="1540">
        <f t="shared" si="2"/>
        <v>25000</v>
      </c>
      <c r="F22" s="1935">
        <f t="shared" si="1"/>
        <v>25000</v>
      </c>
      <c r="G22" s="1793">
        <f t="shared" si="3"/>
        <v>3678</v>
      </c>
    </row>
    <row r="23" spans="1:8" x14ac:dyDescent="0.25">
      <c r="A23" s="1946" t="s">
        <v>2116</v>
      </c>
      <c r="B23" s="1947" t="s">
        <v>2115</v>
      </c>
      <c r="C23" s="1948" t="s">
        <v>2129</v>
      </c>
      <c r="D23" s="1844">
        <v>28716</v>
      </c>
      <c r="E23" s="1540">
        <f t="shared" si="2"/>
        <v>25000</v>
      </c>
      <c r="F23" s="1935">
        <f t="shared" si="1"/>
        <v>25000</v>
      </c>
      <c r="G23" s="1793">
        <f t="shared" si="3"/>
        <v>3716</v>
      </c>
    </row>
    <row r="24" spans="1:8" x14ac:dyDescent="0.25">
      <c r="A24" s="1946" t="s">
        <v>2128</v>
      </c>
      <c r="B24" s="1947" t="s">
        <v>2126</v>
      </c>
      <c r="C24" s="1948" t="s">
        <v>2130</v>
      </c>
      <c r="D24" s="1844">
        <v>51000</v>
      </c>
      <c r="E24" s="1540">
        <f t="shared" si="2"/>
        <v>25000</v>
      </c>
      <c r="F24" s="1935">
        <f t="shared" si="1"/>
        <v>25000</v>
      </c>
      <c r="G24" s="1793">
        <f t="shared" si="3"/>
        <v>26000</v>
      </c>
    </row>
    <row r="25" spans="1:8" x14ac:dyDescent="0.25">
      <c r="A25" s="1946" t="s">
        <v>2128</v>
      </c>
      <c r="B25" s="1947" t="s">
        <v>2126</v>
      </c>
      <c r="C25" s="1948" t="s">
        <v>2131</v>
      </c>
      <c r="D25" s="1844">
        <v>289236</v>
      </c>
      <c r="E25" s="1540">
        <f t="shared" si="2"/>
        <v>25000</v>
      </c>
      <c r="F25" s="1935">
        <f t="shared" si="1"/>
        <v>25000</v>
      </c>
      <c r="G25" s="1793">
        <f t="shared" si="3"/>
        <v>264236</v>
      </c>
    </row>
    <row r="26" spans="1:8" x14ac:dyDescent="0.25">
      <c r="A26" s="1946" t="s">
        <v>2132</v>
      </c>
      <c r="B26" s="1947" t="s">
        <v>2133</v>
      </c>
      <c r="C26" s="1948" t="s">
        <v>2134</v>
      </c>
      <c r="D26" s="1844">
        <v>93194</v>
      </c>
      <c r="E26" s="1540">
        <f t="shared" si="2"/>
        <v>25000</v>
      </c>
      <c r="F26" s="1935">
        <f t="shared" si="1"/>
        <v>25000</v>
      </c>
      <c r="G26" s="1793">
        <f t="shared" si="3"/>
        <v>68194</v>
      </c>
    </row>
    <row r="27" spans="1:8" x14ac:dyDescent="0.25">
      <c r="A27" s="1946" t="s">
        <v>2122</v>
      </c>
      <c r="B27" s="1947" t="s">
        <v>2121</v>
      </c>
      <c r="C27" s="1948" t="s">
        <v>2135</v>
      </c>
      <c r="D27" s="1844">
        <v>153626</v>
      </c>
      <c r="E27" s="1540">
        <f t="shared" si="2"/>
        <v>25000</v>
      </c>
      <c r="F27" s="1935">
        <f t="shared" si="1"/>
        <v>25000</v>
      </c>
      <c r="G27" s="1793">
        <f t="shared" si="3"/>
        <v>128626</v>
      </c>
    </row>
    <row r="28" spans="1:8" x14ac:dyDescent="0.25">
      <c r="A28" s="1946" t="s">
        <v>2137</v>
      </c>
      <c r="B28" s="1947" t="s">
        <v>2136</v>
      </c>
      <c r="C28" s="1948" t="s">
        <v>2138</v>
      </c>
      <c r="D28" s="1844">
        <v>34980</v>
      </c>
      <c r="E28" s="1540">
        <f t="shared" si="2"/>
        <v>25000</v>
      </c>
      <c r="F28" s="1935">
        <f t="shared" si="1"/>
        <v>25000</v>
      </c>
      <c r="G28" s="1793">
        <f t="shared" si="3"/>
        <v>9980</v>
      </c>
    </row>
    <row r="29" spans="1:8" x14ac:dyDescent="0.25">
      <c r="A29" s="1946" t="s">
        <v>2120</v>
      </c>
      <c r="B29" s="1947" t="s">
        <v>2118</v>
      </c>
      <c r="C29" s="1948" t="s">
        <v>2139</v>
      </c>
      <c r="D29" s="1844">
        <v>115797</v>
      </c>
      <c r="E29" s="1540">
        <f t="shared" si="2"/>
        <v>25000</v>
      </c>
      <c r="F29" s="1935">
        <f t="shared" si="1"/>
        <v>25000</v>
      </c>
      <c r="G29" s="1793">
        <f t="shared" si="3"/>
        <v>90797</v>
      </c>
    </row>
    <row r="30" spans="1:8" x14ac:dyDescent="0.25">
      <c r="A30" s="1946" t="s">
        <v>2140</v>
      </c>
      <c r="B30" s="1947" t="s">
        <v>2141</v>
      </c>
      <c r="C30" s="1948" t="s">
        <v>2142</v>
      </c>
      <c r="D30" s="1844">
        <v>25460</v>
      </c>
      <c r="E30" s="1540">
        <f t="shared" si="2"/>
        <v>25000</v>
      </c>
      <c r="F30" s="1935">
        <f t="shared" si="1"/>
        <v>25000</v>
      </c>
      <c r="G30" s="1793">
        <f t="shared" si="3"/>
        <v>460</v>
      </c>
    </row>
    <row r="31" spans="1:8" x14ac:dyDescent="0.25">
      <c r="A31" s="1946" t="s">
        <v>2128</v>
      </c>
      <c r="B31" s="1947" t="s">
        <v>2126</v>
      </c>
      <c r="C31" s="1948" t="s">
        <v>2143</v>
      </c>
      <c r="D31" s="1844">
        <v>26723</v>
      </c>
      <c r="E31" s="1540">
        <f t="shared" si="2"/>
        <v>25000</v>
      </c>
      <c r="F31" s="1935">
        <f t="shared" si="1"/>
        <v>25000</v>
      </c>
      <c r="G31" s="1793">
        <f t="shared" si="3"/>
        <v>1723</v>
      </c>
    </row>
    <row r="32" spans="1:8" x14ac:dyDescent="0.25">
      <c r="A32" s="1946" t="s">
        <v>2132</v>
      </c>
      <c r="B32" s="1947" t="s">
        <v>2133</v>
      </c>
      <c r="C32" s="1948" t="s">
        <v>2144</v>
      </c>
      <c r="D32" s="1844">
        <v>27979</v>
      </c>
      <c r="E32" s="1540">
        <f t="shared" si="2"/>
        <v>25000</v>
      </c>
      <c r="F32" s="1935">
        <f t="shared" si="1"/>
        <v>25000</v>
      </c>
      <c r="G32" s="1793">
        <f t="shared" si="3"/>
        <v>2979</v>
      </c>
    </row>
    <row r="33" spans="1:7" x14ac:dyDescent="0.25">
      <c r="A33" s="1946" t="s">
        <v>2145</v>
      </c>
      <c r="B33" s="1947" t="s">
        <v>2146</v>
      </c>
      <c r="C33" s="1948" t="s">
        <v>2147</v>
      </c>
      <c r="D33" s="1844">
        <v>28767</v>
      </c>
      <c r="E33" s="1540">
        <f t="shared" si="2"/>
        <v>25000</v>
      </c>
      <c r="F33" s="1935">
        <f t="shared" si="1"/>
        <v>25000</v>
      </c>
      <c r="G33" s="1793">
        <f t="shared" si="3"/>
        <v>3767</v>
      </c>
    </row>
    <row r="34" spans="1:7" x14ac:dyDescent="0.25">
      <c r="A34" s="1946" t="s">
        <v>2120</v>
      </c>
      <c r="B34" s="1947" t="s">
        <v>2118</v>
      </c>
      <c r="C34" s="1948" t="s">
        <v>2148</v>
      </c>
      <c r="D34" s="1844">
        <v>30057</v>
      </c>
      <c r="E34" s="1540">
        <f t="shared" si="2"/>
        <v>25000</v>
      </c>
      <c r="F34" s="1935">
        <f t="shared" si="1"/>
        <v>25000</v>
      </c>
      <c r="G34" s="1793">
        <f t="shared" si="3"/>
        <v>5057</v>
      </c>
    </row>
    <row r="35" spans="1:7" x14ac:dyDescent="0.25">
      <c r="A35" s="1946" t="s">
        <v>2150</v>
      </c>
      <c r="B35" s="1947" t="s">
        <v>2149</v>
      </c>
      <c r="C35" s="1948" t="s">
        <v>2151</v>
      </c>
      <c r="D35" s="1844">
        <v>29333</v>
      </c>
      <c r="E35" s="1540">
        <f t="shared" si="2"/>
        <v>25000</v>
      </c>
      <c r="F35" s="1935">
        <f t="shared" si="1"/>
        <v>25000</v>
      </c>
      <c r="G35" s="1793">
        <f t="shared" si="3"/>
        <v>4333</v>
      </c>
    </row>
    <row r="36" spans="1:7" x14ac:dyDescent="0.25">
      <c r="A36" s="1946" t="s">
        <v>2124</v>
      </c>
      <c r="B36" s="1947" t="s">
        <v>1824</v>
      </c>
      <c r="C36" s="1948" t="s">
        <v>2152</v>
      </c>
      <c r="D36" s="1844">
        <v>67716</v>
      </c>
      <c r="E36" s="1540">
        <f t="shared" si="2"/>
        <v>25000</v>
      </c>
      <c r="F36" s="1935">
        <f t="shared" si="1"/>
        <v>25000</v>
      </c>
      <c r="G36" s="1793">
        <f t="shared" si="3"/>
        <v>42716</v>
      </c>
    </row>
    <row r="37" spans="1:7" x14ac:dyDescent="0.25">
      <c r="A37" s="1946" t="s">
        <v>2145</v>
      </c>
      <c r="B37" s="1947" t="s">
        <v>2146</v>
      </c>
      <c r="C37" s="1948" t="s">
        <v>2153</v>
      </c>
      <c r="D37" s="1844">
        <v>29771</v>
      </c>
      <c r="E37" s="1540">
        <f t="shared" si="2"/>
        <v>25000</v>
      </c>
      <c r="F37" s="1935">
        <f t="shared" si="1"/>
        <v>25000</v>
      </c>
      <c r="G37" s="1793">
        <f t="shared" si="3"/>
        <v>4771</v>
      </c>
    </row>
    <row r="38" spans="1:7" x14ac:dyDescent="0.25">
      <c r="A38" s="1946" t="s">
        <v>2124</v>
      </c>
      <c r="B38" s="1947" t="s">
        <v>1824</v>
      </c>
      <c r="C38" s="1948" t="s">
        <v>2154</v>
      </c>
      <c r="D38" s="1844">
        <v>41536</v>
      </c>
      <c r="E38" s="1540">
        <f t="shared" si="2"/>
        <v>25000</v>
      </c>
      <c r="F38" s="1935">
        <f t="shared" si="1"/>
        <v>25000</v>
      </c>
      <c r="G38" s="1793">
        <f t="shared" si="3"/>
        <v>16536</v>
      </c>
    </row>
    <row r="39" spans="1:7" x14ac:dyDescent="0.25">
      <c r="A39" s="1946" t="s">
        <v>2122</v>
      </c>
      <c r="B39" s="1949" t="s">
        <v>2121</v>
      </c>
      <c r="C39" s="1948" t="s">
        <v>2155</v>
      </c>
      <c r="D39" s="1844">
        <v>35491</v>
      </c>
      <c r="E39" s="1540">
        <f t="shared" si="2"/>
        <v>25000</v>
      </c>
      <c r="F39" s="1935">
        <f t="shared" si="1"/>
        <v>25000</v>
      </c>
      <c r="G39" s="1793">
        <f t="shared" si="3"/>
        <v>10491</v>
      </c>
    </row>
    <row r="40" spans="1:7" x14ac:dyDescent="0.25">
      <c r="A40" s="1946" t="s">
        <v>2128</v>
      </c>
      <c r="B40" s="1949" t="s">
        <v>2126</v>
      </c>
      <c r="C40" s="1948" t="s">
        <v>2156</v>
      </c>
      <c r="D40" s="1844">
        <v>75000</v>
      </c>
      <c r="E40" s="1540">
        <f t="shared" si="2"/>
        <v>25000</v>
      </c>
      <c r="F40" s="1935">
        <f t="shared" si="1"/>
        <v>25000</v>
      </c>
      <c r="G40" s="1793">
        <f t="shared" si="3"/>
        <v>50000</v>
      </c>
    </row>
    <row r="41" spans="1:7" x14ac:dyDescent="0.25">
      <c r="A41" s="1653"/>
      <c r="B41" s="1933"/>
      <c r="C41" s="1654"/>
      <c r="D41" s="1844"/>
      <c r="E41" s="1540">
        <f t="shared" si="2"/>
        <v>0</v>
      </c>
      <c r="F41" s="1935">
        <f t="shared" si="1"/>
        <v>0</v>
      </c>
      <c r="G41" s="1793">
        <f t="shared" si="3"/>
        <v>0</v>
      </c>
    </row>
    <row r="42" spans="1:7" hidden="1" x14ac:dyDescent="0.25">
      <c r="A42" s="1653"/>
      <c r="B42" s="1933"/>
      <c r="C42" s="1654"/>
      <c r="D42" s="1844"/>
      <c r="E42" s="1540">
        <f t="shared" si="2"/>
        <v>0</v>
      </c>
      <c r="F42" s="1935">
        <f t="shared" si="1"/>
        <v>0</v>
      </c>
      <c r="G42" s="1793">
        <f t="shared" si="3"/>
        <v>0</v>
      </c>
    </row>
    <row r="43" spans="1:7" hidden="1" x14ac:dyDescent="0.25">
      <c r="A43" s="1653"/>
      <c r="B43" s="1933"/>
      <c r="C43" s="1654"/>
      <c r="D43" s="1844"/>
      <c r="E43" s="1540">
        <f t="shared" si="2"/>
        <v>0</v>
      </c>
      <c r="F43" s="1935">
        <f t="shared" si="1"/>
        <v>0</v>
      </c>
      <c r="G43" s="1793">
        <f t="shared" si="3"/>
        <v>0</v>
      </c>
    </row>
    <row r="44" spans="1:7" hidden="1" x14ac:dyDescent="0.25">
      <c r="A44" s="1653"/>
      <c r="B44" s="1933"/>
      <c r="C44" s="1654"/>
      <c r="D44" s="1844"/>
      <c r="E44" s="1540">
        <f t="shared" si="2"/>
        <v>0</v>
      </c>
      <c r="F44" s="1935">
        <f t="shared" si="1"/>
        <v>0</v>
      </c>
      <c r="G44" s="1793">
        <f t="shared" si="3"/>
        <v>0</v>
      </c>
    </row>
    <row r="45" spans="1:7" hidden="1" x14ac:dyDescent="0.25">
      <c r="A45" s="1653"/>
      <c r="B45" s="1933"/>
      <c r="C45" s="1654"/>
      <c r="D45" s="1844"/>
      <c r="E45" s="1540">
        <f t="shared" si="2"/>
        <v>0</v>
      </c>
      <c r="F45" s="1935">
        <f t="shared" si="1"/>
        <v>0</v>
      </c>
      <c r="G45" s="1793">
        <f t="shared" si="3"/>
        <v>0</v>
      </c>
    </row>
    <row r="46" spans="1:7" hidden="1" x14ac:dyDescent="0.25">
      <c r="A46" s="1653"/>
      <c r="B46" s="1933"/>
      <c r="C46" s="1654"/>
      <c r="D46" s="1844"/>
      <c r="E46" s="1540">
        <f t="shared" si="2"/>
        <v>0</v>
      </c>
      <c r="F46" s="1935">
        <f t="shared" si="1"/>
        <v>0</v>
      </c>
      <c r="G46" s="1793">
        <f t="shared" si="3"/>
        <v>0</v>
      </c>
    </row>
    <row r="47" spans="1:7" hidden="1" x14ac:dyDescent="0.25">
      <c r="A47" s="1653"/>
      <c r="B47" s="1667"/>
      <c r="C47" s="1654"/>
      <c r="D47" s="1844"/>
      <c r="E47" s="1540">
        <f t="shared" si="2"/>
        <v>0</v>
      </c>
      <c r="F47" s="1935">
        <f t="shared" si="1"/>
        <v>0</v>
      </c>
      <c r="G47" s="1793">
        <f t="shared" si="3"/>
        <v>0</v>
      </c>
    </row>
    <row r="48" spans="1:7" hidden="1" x14ac:dyDescent="0.25">
      <c r="A48" s="1653"/>
      <c r="B48" s="1667"/>
      <c r="C48" s="1654"/>
      <c r="D48" s="1844"/>
      <c r="E48" s="1540">
        <f t="shared" si="2"/>
        <v>0</v>
      </c>
      <c r="F48" s="1935">
        <f t="shared" si="1"/>
        <v>0</v>
      </c>
      <c r="G48" s="1793">
        <f t="shared" si="3"/>
        <v>0</v>
      </c>
    </row>
    <row r="49" spans="1:7" hidden="1" x14ac:dyDescent="0.25">
      <c r="A49" s="1653"/>
      <c r="B49" s="1667"/>
      <c r="C49" s="1654"/>
      <c r="D49" s="1844"/>
      <c r="E49" s="1540">
        <f t="shared" si="2"/>
        <v>0</v>
      </c>
      <c r="F49" s="1935">
        <f t="shared" si="1"/>
        <v>0</v>
      </c>
      <c r="G49" s="1793">
        <f t="shared" si="3"/>
        <v>0</v>
      </c>
    </row>
    <row r="50" spans="1:7" hidden="1" x14ac:dyDescent="0.25">
      <c r="A50" s="1653"/>
      <c r="B50" s="1667"/>
      <c r="C50" s="1654"/>
      <c r="D50" s="1844"/>
      <c r="E50" s="1540">
        <f t="shared" si="2"/>
        <v>0</v>
      </c>
      <c r="F50" s="1935">
        <f t="shared" si="1"/>
        <v>0</v>
      </c>
      <c r="G50" s="1793">
        <f t="shared" si="3"/>
        <v>0</v>
      </c>
    </row>
    <row r="51" spans="1:7" hidden="1" x14ac:dyDescent="0.25">
      <c r="A51" s="1653"/>
      <c r="B51" s="1667"/>
      <c r="C51" s="1654"/>
      <c r="D51" s="1844"/>
      <c r="E51" s="1540">
        <f t="shared" si="2"/>
        <v>0</v>
      </c>
      <c r="F51" s="1935">
        <f t="shared" si="1"/>
        <v>0</v>
      </c>
      <c r="G51" s="1793">
        <f t="shared" si="3"/>
        <v>0</v>
      </c>
    </row>
    <row r="52" spans="1:7" hidden="1" x14ac:dyDescent="0.25">
      <c r="A52" s="1653"/>
      <c r="B52" s="1667"/>
      <c r="C52" s="1654"/>
      <c r="D52" s="1844"/>
      <c r="E52" s="1540">
        <f t="shared" si="2"/>
        <v>0</v>
      </c>
      <c r="F52" s="1935">
        <f t="shared" si="1"/>
        <v>0</v>
      </c>
      <c r="G52" s="1793">
        <f t="shared" si="3"/>
        <v>0</v>
      </c>
    </row>
    <row r="53" spans="1:7" hidden="1" x14ac:dyDescent="0.25">
      <c r="A53" s="1653"/>
      <c r="B53" s="1667"/>
      <c r="C53" s="1654"/>
      <c r="D53" s="1844"/>
      <c r="E53" s="1540">
        <f t="shared" si="2"/>
        <v>0</v>
      </c>
      <c r="F53" s="1935">
        <f t="shared" si="1"/>
        <v>0</v>
      </c>
      <c r="G53" s="1793">
        <f t="shared" si="3"/>
        <v>0</v>
      </c>
    </row>
    <row r="54" spans="1:7" hidden="1" x14ac:dyDescent="0.25">
      <c r="A54" s="1653"/>
      <c r="B54" s="1667"/>
      <c r="C54" s="1654"/>
      <c r="D54" s="1844"/>
      <c r="E54" s="1540">
        <f t="shared" si="2"/>
        <v>0</v>
      </c>
      <c r="F54" s="1935">
        <f t="shared" si="1"/>
        <v>0</v>
      </c>
      <c r="G54" s="1793">
        <f t="shared" si="3"/>
        <v>0</v>
      </c>
    </row>
    <row r="55" spans="1:7" hidden="1" x14ac:dyDescent="0.25">
      <c r="A55" s="1653"/>
      <c r="B55" s="1667"/>
      <c r="C55" s="1654"/>
      <c r="D55" s="1844"/>
      <c r="E55" s="1540">
        <f t="shared" si="2"/>
        <v>0</v>
      </c>
      <c r="F55" s="1935">
        <f t="shared" si="1"/>
        <v>0</v>
      </c>
      <c r="G55" s="1793">
        <f t="shared" si="3"/>
        <v>0</v>
      </c>
    </row>
    <row r="56" spans="1:7" hidden="1" x14ac:dyDescent="0.25">
      <c r="A56" s="1653"/>
      <c r="B56" s="1667"/>
      <c r="C56" s="1654"/>
      <c r="D56" s="1844"/>
      <c r="E56" s="1540">
        <f t="shared" si="2"/>
        <v>0</v>
      </c>
      <c r="F56" s="1935">
        <f t="shared" si="1"/>
        <v>0</v>
      </c>
      <c r="G56" s="1793">
        <f t="shared" si="3"/>
        <v>0</v>
      </c>
    </row>
    <row r="57" spans="1:7" hidden="1" x14ac:dyDescent="0.25">
      <c r="A57" s="1653"/>
      <c r="B57" s="1667"/>
      <c r="C57" s="1654"/>
      <c r="D57" s="1844"/>
      <c r="E57" s="1540">
        <f t="shared" si="2"/>
        <v>0</v>
      </c>
      <c r="F57" s="1935">
        <f t="shared" si="1"/>
        <v>0</v>
      </c>
      <c r="G57" s="1793">
        <f t="shared" si="3"/>
        <v>0</v>
      </c>
    </row>
    <row r="58" spans="1:7" hidden="1" x14ac:dyDescent="0.25">
      <c r="A58" s="1653"/>
      <c r="B58" s="1667"/>
      <c r="C58" s="1654"/>
      <c r="D58" s="1844"/>
      <c r="E58" s="1540">
        <f t="shared" si="2"/>
        <v>0</v>
      </c>
      <c r="F58" s="1935">
        <f t="shared" si="1"/>
        <v>0</v>
      </c>
      <c r="G58" s="1793">
        <f t="shared" si="3"/>
        <v>0</v>
      </c>
    </row>
    <row r="59" spans="1:7" hidden="1" x14ac:dyDescent="0.25">
      <c r="A59" s="1653"/>
      <c r="B59" s="1667"/>
      <c r="C59" s="1654"/>
      <c r="D59" s="1844"/>
      <c r="E59" s="1540">
        <f t="shared" si="2"/>
        <v>0</v>
      </c>
      <c r="F59" s="1935">
        <f t="shared" si="1"/>
        <v>0</v>
      </c>
      <c r="G59" s="1793">
        <f t="shared" si="3"/>
        <v>0</v>
      </c>
    </row>
    <row r="60" spans="1:7" hidden="1" x14ac:dyDescent="0.25">
      <c r="A60" s="1653"/>
      <c r="B60" s="1667"/>
      <c r="C60" s="1654"/>
      <c r="D60" s="1844"/>
      <c r="E60" s="1540">
        <f t="shared" si="2"/>
        <v>0</v>
      </c>
      <c r="F60" s="1935">
        <f t="shared" si="1"/>
        <v>0</v>
      </c>
      <c r="G60" s="1793">
        <f t="shared" si="3"/>
        <v>0</v>
      </c>
    </row>
    <row r="61" spans="1:7" hidden="1" x14ac:dyDescent="0.25">
      <c r="A61" s="1653"/>
      <c r="B61" s="1667"/>
      <c r="C61" s="1654"/>
      <c r="D61" s="1844"/>
      <c r="E61" s="1540">
        <f t="shared" si="2"/>
        <v>0</v>
      </c>
      <c r="F61" s="1935">
        <f t="shared" si="1"/>
        <v>0</v>
      </c>
      <c r="G61" s="1793">
        <f t="shared" si="3"/>
        <v>0</v>
      </c>
    </row>
    <row r="62" spans="1:7" hidden="1" x14ac:dyDescent="0.25">
      <c r="A62" s="1653"/>
      <c r="B62" s="1667"/>
      <c r="C62" s="1654"/>
      <c r="D62" s="1844"/>
      <c r="E62" s="1540">
        <f t="shared" si="2"/>
        <v>0</v>
      </c>
      <c r="F62" s="1935">
        <f t="shared" si="1"/>
        <v>0</v>
      </c>
      <c r="G62" s="1793">
        <f t="shared" si="3"/>
        <v>0</v>
      </c>
    </row>
    <row r="63" spans="1:7" hidden="1" x14ac:dyDescent="0.25">
      <c r="A63" s="1653"/>
      <c r="B63" s="1667"/>
      <c r="C63" s="1654"/>
      <c r="D63" s="1844"/>
      <c r="E63" s="1540">
        <f t="shared" si="2"/>
        <v>0</v>
      </c>
      <c r="F63" s="1935">
        <f t="shared" si="1"/>
        <v>0</v>
      </c>
      <c r="G63" s="1793">
        <f t="shared" si="3"/>
        <v>0</v>
      </c>
    </row>
    <row r="64" spans="1:7" hidden="1" x14ac:dyDescent="0.25">
      <c r="A64" s="1653"/>
      <c r="B64" s="1667"/>
      <c r="C64" s="1654"/>
      <c r="D64" s="1844"/>
      <c r="E64" s="1540">
        <f t="shared" si="2"/>
        <v>0</v>
      </c>
      <c r="F64" s="1935">
        <f t="shared" si="1"/>
        <v>0</v>
      </c>
      <c r="G64" s="1793">
        <f t="shared" si="3"/>
        <v>0</v>
      </c>
    </row>
    <row r="65" spans="1:7" hidden="1" x14ac:dyDescent="0.25">
      <c r="A65" s="1655"/>
      <c r="B65" s="1667"/>
      <c r="C65" s="1656"/>
      <c r="D65" s="1844"/>
      <c r="E65" s="1540">
        <f t="shared" si="2"/>
        <v>0</v>
      </c>
      <c r="F65" s="1935">
        <f t="shared" si="1"/>
        <v>0</v>
      </c>
      <c r="G65" s="1793">
        <f t="shared" si="3"/>
        <v>0</v>
      </c>
    </row>
    <row r="66" spans="1:7" hidden="1" x14ac:dyDescent="0.25">
      <c r="A66" s="1653"/>
      <c r="B66" s="1667"/>
      <c r="C66" s="1654"/>
      <c r="D66" s="1844"/>
      <c r="E66" s="1540">
        <f t="shared" si="2"/>
        <v>0</v>
      </c>
      <c r="F66" s="1935">
        <f t="shared" si="1"/>
        <v>0</v>
      </c>
      <c r="G66" s="1793">
        <f t="shared" si="3"/>
        <v>0</v>
      </c>
    </row>
    <row r="67" spans="1:7" hidden="1" x14ac:dyDescent="0.25">
      <c r="A67" s="1653"/>
      <c r="B67" s="1667"/>
      <c r="C67" s="1654"/>
      <c r="D67" s="1844"/>
      <c r="E67" s="1540">
        <f t="shared" si="2"/>
        <v>0</v>
      </c>
      <c r="F67" s="1935">
        <f t="shared" si="1"/>
        <v>0</v>
      </c>
      <c r="G67" s="1793">
        <f t="shared" si="3"/>
        <v>0</v>
      </c>
    </row>
    <row r="68" spans="1:7" hidden="1" x14ac:dyDescent="0.25">
      <c r="A68" s="1653"/>
      <c r="B68" s="1667"/>
      <c r="C68" s="1654"/>
      <c r="D68" s="1844"/>
      <c r="E68" s="1540">
        <f t="shared" si="2"/>
        <v>0</v>
      </c>
      <c r="F68" s="1935">
        <f t="shared" si="1"/>
        <v>0</v>
      </c>
      <c r="G68" s="1793">
        <f t="shared" si="3"/>
        <v>0</v>
      </c>
    </row>
    <row r="69" spans="1:7" hidden="1" x14ac:dyDescent="0.25">
      <c r="A69" s="1653"/>
      <c r="B69" s="1667"/>
      <c r="C69" s="1654"/>
      <c r="D69" s="1844"/>
      <c r="E69" s="1540">
        <f t="shared" si="2"/>
        <v>0</v>
      </c>
      <c r="F69" s="1935">
        <f t="shared" si="1"/>
        <v>0</v>
      </c>
      <c r="G69" s="1793">
        <f t="shared" si="3"/>
        <v>0</v>
      </c>
    </row>
    <row r="70" spans="1:7" hidden="1" x14ac:dyDescent="0.25">
      <c r="A70" s="1653"/>
      <c r="B70" s="1667"/>
      <c r="C70" s="1654"/>
      <c r="D70" s="1844"/>
      <c r="E70" s="1540">
        <f t="shared" si="2"/>
        <v>0</v>
      </c>
      <c r="F70" s="1935">
        <f t="shared" si="1"/>
        <v>0</v>
      </c>
      <c r="G70" s="1793">
        <f t="shared" si="3"/>
        <v>0</v>
      </c>
    </row>
    <row r="71" spans="1:7" hidden="1" x14ac:dyDescent="0.25">
      <c r="A71" s="1653"/>
      <c r="B71" s="1667"/>
      <c r="C71" s="1654"/>
      <c r="D71" s="1844"/>
      <c r="E71" s="1540">
        <f t="shared" si="2"/>
        <v>0</v>
      </c>
      <c r="F71" s="1935">
        <f t="shared" si="1"/>
        <v>0</v>
      </c>
      <c r="G71" s="1793">
        <f t="shared" si="3"/>
        <v>0</v>
      </c>
    </row>
    <row r="72" spans="1:7" hidden="1" x14ac:dyDescent="0.25">
      <c r="A72" s="1653"/>
      <c r="B72" s="1667"/>
      <c r="C72" s="1654"/>
      <c r="D72" s="1844"/>
      <c r="E72" s="1540">
        <f t="shared" si="2"/>
        <v>0</v>
      </c>
      <c r="F72" s="1935">
        <f t="shared" si="1"/>
        <v>0</v>
      </c>
      <c r="G72" s="1793">
        <f t="shared" si="3"/>
        <v>0</v>
      </c>
    </row>
    <row r="73" spans="1:7" hidden="1" x14ac:dyDescent="0.25">
      <c r="A73" s="1653"/>
      <c r="B73" s="1667"/>
      <c r="C73" s="1654"/>
      <c r="D73" s="1844"/>
      <c r="E73" s="1540">
        <f t="shared" si="2"/>
        <v>0</v>
      </c>
      <c r="F73" s="1935">
        <f t="shared" si="1"/>
        <v>0</v>
      </c>
      <c r="G73" s="1793">
        <f t="shared" si="3"/>
        <v>0</v>
      </c>
    </row>
    <row r="74" spans="1:7" hidden="1" x14ac:dyDescent="0.25">
      <c r="A74" s="1653"/>
      <c r="B74" s="1667"/>
      <c r="C74" s="1654"/>
      <c r="D74" s="1844"/>
      <c r="E74" s="1540">
        <f t="shared" ref="E74:E85" si="4">IF(D74&lt;=25000,D74,IF(D74&gt;25000,25000,0))</f>
        <v>0</v>
      </c>
      <c r="F74" s="1935">
        <f t="shared" si="1"/>
        <v>0</v>
      </c>
      <c r="G74" s="1793">
        <f t="shared" ref="G74:G85" si="5">IF(F74=0,0,D74-F74)</f>
        <v>0</v>
      </c>
    </row>
    <row r="75" spans="1:7" hidden="1" x14ac:dyDescent="0.25">
      <c r="A75" s="1653"/>
      <c r="B75" s="1667"/>
      <c r="C75" s="1654"/>
      <c r="D75" s="1844"/>
      <c r="E75" s="1540">
        <f t="shared" si="4"/>
        <v>0</v>
      </c>
      <c r="F75" s="1935">
        <f t="shared" si="1"/>
        <v>0</v>
      </c>
      <c r="G75" s="1793">
        <f t="shared" si="5"/>
        <v>0</v>
      </c>
    </row>
    <row r="76" spans="1:7" hidden="1" x14ac:dyDescent="0.25">
      <c r="A76" s="1653"/>
      <c r="B76" s="1667"/>
      <c r="C76" s="1654"/>
      <c r="D76" s="1844"/>
      <c r="E76" s="1540">
        <f t="shared" si="4"/>
        <v>0</v>
      </c>
      <c r="F76" s="1935">
        <f t="shared" si="1"/>
        <v>0</v>
      </c>
      <c r="G76" s="1793">
        <f t="shared" si="5"/>
        <v>0</v>
      </c>
    </row>
    <row r="77" spans="1:7" hidden="1" x14ac:dyDescent="0.25">
      <c r="A77" s="1653"/>
      <c r="B77" s="1667"/>
      <c r="C77" s="1654"/>
      <c r="D77" s="1844"/>
      <c r="E77" s="1540">
        <f t="shared" si="4"/>
        <v>0</v>
      </c>
      <c r="F77" s="1935">
        <f t="shared" si="1"/>
        <v>0</v>
      </c>
      <c r="G77" s="1793">
        <f t="shared" si="5"/>
        <v>0</v>
      </c>
    </row>
    <row r="78" spans="1:7" hidden="1" x14ac:dyDescent="0.25">
      <c r="A78" s="1653"/>
      <c r="B78" s="1667"/>
      <c r="C78" s="1654"/>
      <c r="D78" s="1844"/>
      <c r="E78" s="1540">
        <f t="shared" si="4"/>
        <v>0</v>
      </c>
      <c r="F78" s="1935">
        <f t="shared" si="1"/>
        <v>0</v>
      </c>
      <c r="G78" s="1793">
        <f t="shared" si="5"/>
        <v>0</v>
      </c>
    </row>
    <row r="79" spans="1:7" hidden="1" x14ac:dyDescent="0.25">
      <c r="A79" s="1653"/>
      <c r="B79" s="1667"/>
      <c r="C79" s="1654"/>
      <c r="D79" s="1844"/>
      <c r="E79" s="1540">
        <f t="shared" si="4"/>
        <v>0</v>
      </c>
      <c r="F79" s="1935">
        <f t="shared" si="1"/>
        <v>0</v>
      </c>
      <c r="G79" s="1793">
        <f t="shared" si="5"/>
        <v>0</v>
      </c>
    </row>
    <row r="80" spans="1:7" hidden="1" x14ac:dyDescent="0.25">
      <c r="A80" s="1653"/>
      <c r="B80" s="1667"/>
      <c r="C80" s="1654"/>
      <c r="D80" s="1844"/>
      <c r="E80" s="1540">
        <f t="shared" si="4"/>
        <v>0</v>
      </c>
      <c r="F80" s="1935">
        <f t="shared" si="1"/>
        <v>0</v>
      </c>
      <c r="G80" s="1793">
        <f t="shared" si="5"/>
        <v>0</v>
      </c>
    </row>
    <row r="81" spans="1:7" hidden="1" x14ac:dyDescent="0.25">
      <c r="A81" s="1653"/>
      <c r="B81" s="1667"/>
      <c r="C81" s="1654"/>
      <c r="D81" s="1844"/>
      <c r="E81" s="1540">
        <f t="shared" si="4"/>
        <v>0</v>
      </c>
      <c r="F81" s="1935">
        <f t="shared" si="1"/>
        <v>0</v>
      </c>
      <c r="G81" s="1793">
        <f t="shared" si="5"/>
        <v>0</v>
      </c>
    </row>
    <row r="82" spans="1:7" hidden="1" x14ac:dyDescent="0.25">
      <c r="A82" s="1653"/>
      <c r="B82" s="1667"/>
      <c r="C82" s="1654"/>
      <c r="D82" s="1844"/>
      <c r="E82" s="1540">
        <f t="shared" si="4"/>
        <v>0</v>
      </c>
      <c r="F82" s="1935">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hidden="1" x14ac:dyDescent="0.25">
      <c r="A83" s="1653"/>
      <c r="B83" s="1667"/>
      <c r="C83" s="1654"/>
      <c r="D83" s="1844"/>
      <c r="E83" s="1540">
        <f t="shared" si="4"/>
        <v>0</v>
      </c>
      <c r="F83" s="1935">
        <f t="shared" si="6"/>
        <v>0</v>
      </c>
      <c r="G83" s="1793">
        <f t="shared" si="5"/>
        <v>0</v>
      </c>
    </row>
    <row r="84" spans="1:7" hidden="1" x14ac:dyDescent="0.25">
      <c r="A84" s="1653"/>
      <c r="B84" s="1667"/>
      <c r="C84" s="1654"/>
      <c r="D84" s="1844"/>
      <c r="E84" s="1540">
        <f t="shared" si="4"/>
        <v>0</v>
      </c>
      <c r="F84" s="1935">
        <f t="shared" si="6"/>
        <v>0</v>
      </c>
      <c r="G84" s="1793">
        <f t="shared" si="5"/>
        <v>0</v>
      </c>
    </row>
    <row r="85" spans="1:7" hidden="1" x14ac:dyDescent="0.25">
      <c r="A85" s="1653"/>
      <c r="B85" s="1667"/>
      <c r="C85" s="1654"/>
      <c r="D85" s="1844"/>
      <c r="E85" s="1540">
        <f t="shared" si="4"/>
        <v>0</v>
      </c>
      <c r="F85" s="1935">
        <f t="shared" si="6"/>
        <v>0</v>
      </c>
      <c r="G85" s="1793">
        <f t="shared" si="5"/>
        <v>0</v>
      </c>
    </row>
    <row r="86" spans="1:7" hidden="1" x14ac:dyDescent="0.25">
      <c r="A86" s="1653"/>
      <c r="B86" s="1667"/>
      <c r="C86" s="1654"/>
      <c r="D86" s="1844"/>
      <c r="E86" s="1540">
        <f t="shared" si="2"/>
        <v>0</v>
      </c>
      <c r="F86" s="1935">
        <f t="shared" si="6"/>
        <v>0</v>
      </c>
      <c r="G86" s="1793">
        <f t="shared" si="3"/>
        <v>0</v>
      </c>
    </row>
    <row r="87" spans="1:7" hidden="1" x14ac:dyDescent="0.25">
      <c r="A87" s="1653"/>
      <c r="B87" s="1667"/>
      <c r="C87" s="1654"/>
      <c r="D87" s="1844"/>
      <c r="E87" s="1540">
        <f t="shared" si="2"/>
        <v>0</v>
      </c>
      <c r="F87" s="1935">
        <f t="shared" si="6"/>
        <v>0</v>
      </c>
      <c r="G87" s="1793">
        <f t="shared" si="3"/>
        <v>0</v>
      </c>
    </row>
    <row r="88" spans="1:7" hidden="1" x14ac:dyDescent="0.25">
      <c r="A88" s="1653"/>
      <c r="B88" s="1667"/>
      <c r="C88" s="1654"/>
      <c r="D88" s="1844"/>
      <c r="E88" s="1540">
        <f t="shared" si="2"/>
        <v>0</v>
      </c>
      <c r="F88" s="1935">
        <f t="shared" si="6"/>
        <v>0</v>
      </c>
      <c r="G88" s="1793">
        <f t="shared" si="3"/>
        <v>0</v>
      </c>
    </row>
    <row r="89" spans="1:7" hidden="1" x14ac:dyDescent="0.25">
      <c r="A89" s="1653"/>
      <c r="B89" s="1667"/>
      <c r="C89" s="1654"/>
      <c r="D89" s="1844"/>
      <c r="E89" s="1540">
        <f t="shared" si="2"/>
        <v>0</v>
      </c>
      <c r="F89" s="1935">
        <f t="shared" si="6"/>
        <v>0</v>
      </c>
      <c r="G89" s="1793">
        <f t="shared" si="3"/>
        <v>0</v>
      </c>
    </row>
    <row r="90" spans="1:7" hidden="1" x14ac:dyDescent="0.25">
      <c r="A90" s="1653"/>
      <c r="B90" s="1667"/>
      <c r="C90" s="1654"/>
      <c r="D90" s="1844"/>
      <c r="E90" s="1540">
        <f t="shared" si="2"/>
        <v>0</v>
      </c>
      <c r="F90" s="1935">
        <f t="shared" si="6"/>
        <v>0</v>
      </c>
      <c r="G90" s="1793">
        <f t="shared" si="3"/>
        <v>0</v>
      </c>
    </row>
    <row r="91" spans="1:7" hidden="1" x14ac:dyDescent="0.25">
      <c r="A91" s="1653"/>
      <c r="B91" s="1667"/>
      <c r="C91" s="1654"/>
      <c r="D91" s="1844"/>
      <c r="E91" s="1540">
        <f t="shared" si="2"/>
        <v>0</v>
      </c>
      <c r="F91" s="1935">
        <f t="shared" si="6"/>
        <v>0</v>
      </c>
      <c r="G91" s="1793">
        <f t="shared" si="3"/>
        <v>0</v>
      </c>
    </row>
    <row r="92" spans="1:7" hidden="1" x14ac:dyDescent="0.25">
      <c r="A92" s="1653"/>
      <c r="B92" s="1667"/>
      <c r="C92" s="1654"/>
      <c r="D92" s="1844"/>
      <c r="E92" s="1540">
        <f t="shared" si="2"/>
        <v>0</v>
      </c>
      <c r="F92" s="1935">
        <f t="shared" si="6"/>
        <v>0</v>
      </c>
      <c r="G92" s="1793">
        <f t="shared" si="3"/>
        <v>0</v>
      </c>
    </row>
    <row r="93" spans="1:7" hidden="1" x14ac:dyDescent="0.25">
      <c r="A93" s="1653"/>
      <c r="B93" s="1667"/>
      <c r="C93" s="1654"/>
      <c r="D93" s="1844"/>
      <c r="E93" s="1540">
        <f t="shared" si="2"/>
        <v>0</v>
      </c>
      <c r="F93" s="1935">
        <f t="shared" si="6"/>
        <v>0</v>
      </c>
      <c r="G93" s="1793">
        <f t="shared" si="3"/>
        <v>0</v>
      </c>
    </row>
    <row r="94" spans="1:7" hidden="1" x14ac:dyDescent="0.25">
      <c r="A94" s="1653"/>
      <c r="B94" s="1667"/>
      <c r="C94" s="1654"/>
      <c r="D94" s="1844"/>
      <c r="E94" s="1540">
        <f t="shared" ref="E94" si="7">IF(D94&lt;=25000,D94,IF(D94&gt;25000,25000,0))</f>
        <v>0</v>
      </c>
      <c r="F94" s="1935">
        <f t="shared" si="6"/>
        <v>0</v>
      </c>
      <c r="G94" s="1793">
        <f t="shared" ref="G94" si="8">IF(F94=0,0,D94-F94)</f>
        <v>0</v>
      </c>
    </row>
    <row r="95" spans="1:7" hidden="1" x14ac:dyDescent="0.25">
      <c r="A95" s="1653"/>
      <c r="B95" s="1667"/>
      <c r="C95" s="1654"/>
      <c r="D95" s="1844"/>
      <c r="E95" s="1540">
        <f t="shared" si="2"/>
        <v>0</v>
      </c>
      <c r="F95" s="1935">
        <f t="shared" si="6"/>
        <v>0</v>
      </c>
      <c r="G95" s="1793">
        <f t="shared" si="3"/>
        <v>0</v>
      </c>
    </row>
    <row r="96" spans="1:7" hidden="1" x14ac:dyDescent="0.25">
      <c r="A96" s="1653"/>
      <c r="B96" s="1667"/>
      <c r="C96" s="1654"/>
      <c r="D96" s="1844"/>
      <c r="E96" s="1540">
        <f t="shared" ref="E96:E99" si="9">IF(D96&lt;=25000,D96,IF(D96&gt;25000,25000,0))</f>
        <v>0</v>
      </c>
      <c r="F96" s="1935">
        <f t="shared" si="6"/>
        <v>0</v>
      </c>
      <c r="G96" s="1793">
        <f t="shared" ref="G96:G99" si="10">IF(F96=0,0,D96-F96)</f>
        <v>0</v>
      </c>
    </row>
    <row r="97" spans="1:7" hidden="1" x14ac:dyDescent="0.25">
      <c r="A97" s="1653"/>
      <c r="B97" s="1667"/>
      <c r="C97" s="1654"/>
      <c r="D97" s="1844"/>
      <c r="E97" s="1540">
        <f t="shared" si="9"/>
        <v>0</v>
      </c>
      <c r="F97" s="1935">
        <f t="shared" si="6"/>
        <v>0</v>
      </c>
      <c r="G97" s="1793">
        <f t="shared" si="10"/>
        <v>0</v>
      </c>
    </row>
    <row r="98" spans="1:7" hidden="1" x14ac:dyDescent="0.25">
      <c r="A98" s="1653"/>
      <c r="B98" s="1667"/>
      <c r="C98" s="1654"/>
      <c r="D98" s="1844"/>
      <c r="E98" s="1540">
        <f t="shared" si="9"/>
        <v>0</v>
      </c>
      <c r="F98" s="1935">
        <f t="shared" si="6"/>
        <v>0</v>
      </c>
      <c r="G98" s="1793">
        <f t="shared" si="10"/>
        <v>0</v>
      </c>
    </row>
    <row r="99" spans="1:7" hidden="1" x14ac:dyDescent="0.25">
      <c r="A99" s="1653"/>
      <c r="B99" s="1667"/>
      <c r="C99" s="1654"/>
      <c r="D99" s="1844"/>
      <c r="E99" s="1540">
        <f t="shared" si="9"/>
        <v>0</v>
      </c>
      <c r="F99" s="1935">
        <f t="shared" si="6"/>
        <v>0</v>
      </c>
      <c r="G99" s="1793">
        <f t="shared" si="10"/>
        <v>0</v>
      </c>
    </row>
    <row r="100" spans="1:7" hidden="1" x14ac:dyDescent="0.25">
      <c r="A100" s="1653"/>
      <c r="B100" s="1667"/>
      <c r="C100" s="1654"/>
      <c r="D100" s="1844"/>
      <c r="E100" s="1540">
        <f t="shared" ref="E100" si="11">IF(D100&lt;=25000,D100,IF(D100&gt;25000,25000,0))</f>
        <v>0</v>
      </c>
      <c r="F100" s="1935">
        <f t="shared" si="6"/>
        <v>0</v>
      </c>
      <c r="G100" s="1793">
        <f t="shared" ref="G100" si="12">IF(F100=0,0,D100-F100)</f>
        <v>0</v>
      </c>
    </row>
    <row r="101" spans="1:7" hidden="1" x14ac:dyDescent="0.25">
      <c r="A101" s="1653"/>
      <c r="B101" s="1667"/>
      <c r="C101" s="1654"/>
      <c r="D101" s="1844"/>
      <c r="E101" s="1540">
        <f t="shared" ref="E101:E113" si="13">IF(D101&lt;=25000,D101,IF(D101&gt;25000,25000,0))</f>
        <v>0</v>
      </c>
      <c r="F101" s="1935">
        <f t="shared" si="6"/>
        <v>0</v>
      </c>
      <c r="G101" s="1793">
        <f t="shared" ref="G101:G113" si="14">IF(F101=0,0,D101-F101)</f>
        <v>0</v>
      </c>
    </row>
    <row r="102" spans="1:7" hidden="1" x14ac:dyDescent="0.25">
      <c r="A102" s="1653"/>
      <c r="B102" s="1667"/>
      <c r="C102" s="1654"/>
      <c r="D102" s="1844"/>
      <c r="E102" s="1540">
        <f t="shared" si="13"/>
        <v>0</v>
      </c>
      <c r="F102" s="1935">
        <f t="shared" si="6"/>
        <v>0</v>
      </c>
      <c r="G102" s="1793">
        <f t="shared" si="14"/>
        <v>0</v>
      </c>
    </row>
    <row r="103" spans="1:7" hidden="1" x14ac:dyDescent="0.25">
      <c r="A103" s="1653"/>
      <c r="B103" s="1667"/>
      <c r="C103" s="1654"/>
      <c r="D103" s="1844"/>
      <c r="E103" s="1540">
        <f t="shared" si="13"/>
        <v>0</v>
      </c>
      <c r="F103" s="1935">
        <f t="shared" si="6"/>
        <v>0</v>
      </c>
      <c r="G103" s="1793">
        <f t="shared" si="14"/>
        <v>0</v>
      </c>
    </row>
    <row r="104" spans="1:7" hidden="1" x14ac:dyDescent="0.25">
      <c r="A104" s="1653"/>
      <c r="B104" s="1667"/>
      <c r="C104" s="1654"/>
      <c r="D104" s="1844"/>
      <c r="E104" s="1540">
        <f t="shared" si="13"/>
        <v>0</v>
      </c>
      <c r="F104" s="1935">
        <f t="shared" si="6"/>
        <v>0</v>
      </c>
      <c r="G104" s="1793">
        <f t="shared" si="14"/>
        <v>0</v>
      </c>
    </row>
    <row r="105" spans="1:7" hidden="1" x14ac:dyDescent="0.25">
      <c r="A105" s="1653"/>
      <c r="B105" s="1667"/>
      <c r="C105" s="1654"/>
      <c r="D105" s="1844"/>
      <c r="E105" s="1540">
        <f t="shared" si="13"/>
        <v>0</v>
      </c>
      <c r="F105" s="1935">
        <f t="shared" si="6"/>
        <v>0</v>
      </c>
      <c r="G105" s="1793">
        <f t="shared" si="14"/>
        <v>0</v>
      </c>
    </row>
    <row r="106" spans="1:7" hidden="1" x14ac:dyDescent="0.25">
      <c r="A106" s="1653"/>
      <c r="B106" s="1667"/>
      <c r="C106" s="1654"/>
      <c r="D106" s="1844"/>
      <c r="E106" s="1540">
        <f t="shared" si="13"/>
        <v>0</v>
      </c>
      <c r="F106" s="1935">
        <f t="shared" si="6"/>
        <v>0</v>
      </c>
      <c r="G106" s="1793">
        <f t="shared" si="14"/>
        <v>0</v>
      </c>
    </row>
    <row r="107" spans="1:7" hidden="1" x14ac:dyDescent="0.25">
      <c r="A107" s="1653"/>
      <c r="B107" s="1667"/>
      <c r="C107" s="1654"/>
      <c r="D107" s="1844"/>
      <c r="E107" s="1540">
        <f t="shared" si="13"/>
        <v>0</v>
      </c>
      <c r="F107" s="1935">
        <f t="shared" si="6"/>
        <v>0</v>
      </c>
      <c r="G107" s="1793">
        <f t="shared" si="14"/>
        <v>0</v>
      </c>
    </row>
    <row r="108" spans="1:7" hidden="1" x14ac:dyDescent="0.25">
      <c r="A108" s="1653"/>
      <c r="B108" s="1667"/>
      <c r="C108" s="1654"/>
      <c r="D108" s="1844"/>
      <c r="E108" s="1540">
        <f t="shared" si="13"/>
        <v>0</v>
      </c>
      <c r="F108" s="1935">
        <f t="shared" si="6"/>
        <v>0</v>
      </c>
      <c r="G108" s="1793">
        <f t="shared" si="14"/>
        <v>0</v>
      </c>
    </row>
    <row r="109" spans="1:7" hidden="1" x14ac:dyDescent="0.25">
      <c r="A109" s="1653"/>
      <c r="B109" s="1667"/>
      <c r="C109" s="1654"/>
      <c r="D109" s="1844"/>
      <c r="E109" s="1540">
        <f t="shared" si="13"/>
        <v>0</v>
      </c>
      <c r="F109" s="1935">
        <f t="shared" si="6"/>
        <v>0</v>
      </c>
      <c r="G109" s="1793">
        <f t="shared" si="14"/>
        <v>0</v>
      </c>
    </row>
    <row r="110" spans="1:7" hidden="1" x14ac:dyDescent="0.25">
      <c r="A110" s="1653"/>
      <c r="B110" s="1667"/>
      <c r="C110" s="1654"/>
      <c r="D110" s="1844"/>
      <c r="E110" s="1540">
        <f t="shared" si="13"/>
        <v>0</v>
      </c>
      <c r="F110" s="1935">
        <f t="shared" si="6"/>
        <v>0</v>
      </c>
      <c r="G110" s="1793">
        <f t="shared" si="14"/>
        <v>0</v>
      </c>
    </row>
    <row r="111" spans="1:7" hidden="1" x14ac:dyDescent="0.25">
      <c r="A111" s="1653"/>
      <c r="B111" s="1667"/>
      <c r="C111" s="1654"/>
      <c r="D111" s="1844"/>
      <c r="E111" s="1540">
        <f t="shared" si="13"/>
        <v>0</v>
      </c>
      <c r="F111" s="1935">
        <f t="shared" si="6"/>
        <v>0</v>
      </c>
      <c r="G111" s="1793">
        <f t="shared" si="14"/>
        <v>0</v>
      </c>
    </row>
    <row r="112" spans="1:7" hidden="1" x14ac:dyDescent="0.25">
      <c r="A112" s="1653"/>
      <c r="B112" s="1667"/>
      <c r="C112" s="1654"/>
      <c r="D112" s="1844"/>
      <c r="E112" s="1540">
        <f t="shared" si="13"/>
        <v>0</v>
      </c>
      <c r="F112" s="1935">
        <f t="shared" si="6"/>
        <v>0</v>
      </c>
      <c r="G112" s="1793">
        <f t="shared" si="14"/>
        <v>0</v>
      </c>
    </row>
    <row r="113" spans="1:7" hidden="1" x14ac:dyDescent="0.25">
      <c r="A113" s="1653"/>
      <c r="B113" s="1667"/>
      <c r="C113" s="1654"/>
      <c r="D113" s="1844"/>
      <c r="E113" s="1540">
        <f t="shared" si="13"/>
        <v>0</v>
      </c>
      <c r="F113" s="1935">
        <f t="shared" si="6"/>
        <v>0</v>
      </c>
      <c r="G113" s="1793">
        <f t="shared" si="14"/>
        <v>0</v>
      </c>
    </row>
    <row r="114" spans="1:7" hidden="1" x14ac:dyDescent="0.25">
      <c r="A114" s="1653"/>
      <c r="B114" s="1667"/>
      <c r="C114" s="1654"/>
      <c r="D114" s="1844"/>
      <c r="E114" s="1540">
        <f t="shared" ref="E114:E126" si="15">IF(D114&lt;=25000,D114,IF(D114&gt;25000,25000,0))</f>
        <v>0</v>
      </c>
      <c r="F114" s="1935">
        <f t="shared" si="6"/>
        <v>0</v>
      </c>
      <c r="G114" s="1793">
        <f t="shared" ref="G114:G126" si="16">IF(F114=0,0,D114-F114)</f>
        <v>0</v>
      </c>
    </row>
    <row r="115" spans="1:7" hidden="1" x14ac:dyDescent="0.25">
      <c r="A115" s="1653"/>
      <c r="B115" s="1667"/>
      <c r="C115" s="1654"/>
      <c r="D115" s="1844"/>
      <c r="E115" s="1540">
        <f t="shared" si="15"/>
        <v>0</v>
      </c>
      <c r="F115" s="1935">
        <f t="shared" si="6"/>
        <v>0</v>
      </c>
      <c r="G115" s="1793">
        <f t="shared" si="16"/>
        <v>0</v>
      </c>
    </row>
    <row r="116" spans="1:7" hidden="1" x14ac:dyDescent="0.25">
      <c r="A116" s="1653"/>
      <c r="B116" s="1667"/>
      <c r="C116" s="1654"/>
      <c r="D116" s="1844"/>
      <c r="E116" s="1540">
        <f t="shared" si="15"/>
        <v>0</v>
      </c>
      <c r="F116" s="1935">
        <f t="shared" si="6"/>
        <v>0</v>
      </c>
      <c r="G116" s="1793">
        <f t="shared" si="16"/>
        <v>0</v>
      </c>
    </row>
    <row r="117" spans="1:7" hidden="1" x14ac:dyDescent="0.25">
      <c r="A117" s="1653"/>
      <c r="B117" s="1667"/>
      <c r="C117" s="1654"/>
      <c r="D117" s="1844"/>
      <c r="E117" s="1540">
        <f t="shared" si="15"/>
        <v>0</v>
      </c>
      <c r="F117" s="1935">
        <f t="shared" si="6"/>
        <v>0</v>
      </c>
      <c r="G117" s="1793">
        <f t="shared" si="16"/>
        <v>0</v>
      </c>
    </row>
    <row r="118" spans="1:7" hidden="1" x14ac:dyDescent="0.25">
      <c r="A118" s="1653"/>
      <c r="B118" s="1667"/>
      <c r="C118" s="1654"/>
      <c r="D118" s="1844"/>
      <c r="E118" s="1540">
        <f t="shared" si="15"/>
        <v>0</v>
      </c>
      <c r="F118" s="1935">
        <f t="shared" si="6"/>
        <v>0</v>
      </c>
      <c r="G118" s="1793">
        <f t="shared" si="16"/>
        <v>0</v>
      </c>
    </row>
    <row r="119" spans="1:7" hidden="1" x14ac:dyDescent="0.25">
      <c r="A119" s="1653"/>
      <c r="B119" s="1667"/>
      <c r="C119" s="1654"/>
      <c r="D119" s="1844"/>
      <c r="E119" s="1540">
        <f t="shared" si="15"/>
        <v>0</v>
      </c>
      <c r="F119" s="1935">
        <f t="shared" si="6"/>
        <v>0</v>
      </c>
      <c r="G119" s="1793">
        <f t="shared" si="16"/>
        <v>0</v>
      </c>
    </row>
    <row r="120" spans="1:7" hidden="1" x14ac:dyDescent="0.25">
      <c r="A120" s="1653"/>
      <c r="B120" s="1667"/>
      <c r="C120" s="1654"/>
      <c r="D120" s="1844"/>
      <c r="E120" s="1540">
        <f t="shared" si="15"/>
        <v>0</v>
      </c>
      <c r="F120" s="1935">
        <f t="shared" si="6"/>
        <v>0</v>
      </c>
      <c r="G120" s="1793">
        <f t="shared" si="16"/>
        <v>0</v>
      </c>
    </row>
    <row r="121" spans="1:7" hidden="1" x14ac:dyDescent="0.25">
      <c r="A121" s="1653"/>
      <c r="B121" s="1667"/>
      <c r="C121" s="1654"/>
      <c r="D121" s="1844"/>
      <c r="E121" s="1540">
        <f t="shared" si="15"/>
        <v>0</v>
      </c>
      <c r="F121" s="1935">
        <f t="shared" si="6"/>
        <v>0</v>
      </c>
      <c r="G121" s="1793">
        <f t="shared" si="16"/>
        <v>0</v>
      </c>
    </row>
    <row r="122" spans="1:7" hidden="1" x14ac:dyDescent="0.25">
      <c r="A122" s="1653"/>
      <c r="B122" s="1667"/>
      <c r="C122" s="1654"/>
      <c r="D122" s="1844"/>
      <c r="E122" s="1540">
        <f t="shared" si="15"/>
        <v>0</v>
      </c>
      <c r="F122" s="1935">
        <f t="shared" si="6"/>
        <v>0</v>
      </c>
      <c r="G122" s="1793">
        <f t="shared" si="16"/>
        <v>0</v>
      </c>
    </row>
    <row r="123" spans="1:7" hidden="1" x14ac:dyDescent="0.25">
      <c r="A123" s="1653"/>
      <c r="B123" s="1667"/>
      <c r="C123" s="1654"/>
      <c r="D123" s="1844"/>
      <c r="E123" s="1540">
        <f t="shared" si="15"/>
        <v>0</v>
      </c>
      <c r="F123" s="1935">
        <f t="shared" si="6"/>
        <v>0</v>
      </c>
      <c r="G123" s="1793">
        <f t="shared" si="16"/>
        <v>0</v>
      </c>
    </row>
    <row r="124" spans="1:7" hidden="1" x14ac:dyDescent="0.25">
      <c r="A124" s="1653"/>
      <c r="B124" s="1667"/>
      <c r="C124" s="1654"/>
      <c r="D124" s="1844"/>
      <c r="E124" s="1540">
        <f t="shared" si="15"/>
        <v>0</v>
      </c>
      <c r="F124" s="1935">
        <f t="shared" si="6"/>
        <v>0</v>
      </c>
      <c r="G124" s="1793">
        <f t="shared" si="16"/>
        <v>0</v>
      </c>
    </row>
    <row r="125" spans="1:7" hidden="1" x14ac:dyDescent="0.25">
      <c r="A125" s="1653"/>
      <c r="B125" s="1667"/>
      <c r="C125" s="1654"/>
      <c r="D125" s="1844"/>
      <c r="E125" s="1540">
        <f t="shared" si="15"/>
        <v>0</v>
      </c>
      <c r="F125" s="1935">
        <f t="shared" si="6"/>
        <v>0</v>
      </c>
      <c r="G125" s="1793">
        <f t="shared" si="16"/>
        <v>0</v>
      </c>
    </row>
    <row r="126" spans="1:7" hidden="1" x14ac:dyDescent="0.25">
      <c r="A126" s="1653"/>
      <c r="B126" s="1667"/>
      <c r="C126" s="1654"/>
      <c r="D126" s="1844"/>
      <c r="E126" s="1540">
        <f t="shared" si="15"/>
        <v>0</v>
      </c>
      <c r="F126" s="1935">
        <f t="shared" si="6"/>
        <v>0</v>
      </c>
      <c r="G126" s="1793">
        <f t="shared" si="16"/>
        <v>0</v>
      </c>
    </row>
    <row r="127" spans="1:7" hidden="1" x14ac:dyDescent="0.25">
      <c r="A127" s="1653"/>
      <c r="B127" s="1667"/>
      <c r="C127" s="1654"/>
      <c r="D127" s="1844"/>
      <c r="E127" s="1540">
        <f t="shared" ref="E127:E135" si="17">IF(D127&lt;=25000,D127,IF(D127&gt;25000,25000,0))</f>
        <v>0</v>
      </c>
      <c r="F127" s="1935">
        <f t="shared" si="6"/>
        <v>0</v>
      </c>
      <c r="G127" s="1793">
        <f t="shared" ref="G127:G135" si="18">IF(F127=0,0,D127-F127)</f>
        <v>0</v>
      </c>
    </row>
    <row r="128" spans="1:7" hidden="1" x14ac:dyDescent="0.25">
      <c r="A128" s="1653"/>
      <c r="B128" s="1667"/>
      <c r="C128" s="1654"/>
      <c r="D128" s="1844"/>
      <c r="E128" s="1540">
        <f t="shared" si="17"/>
        <v>0</v>
      </c>
      <c r="F128" s="1935">
        <f t="shared" si="6"/>
        <v>0</v>
      </c>
      <c r="G128" s="1793">
        <f t="shared" si="18"/>
        <v>0</v>
      </c>
    </row>
    <row r="129" spans="1:7" hidden="1" x14ac:dyDescent="0.25">
      <c r="A129" s="1653"/>
      <c r="B129" s="1667"/>
      <c r="C129" s="1654"/>
      <c r="D129" s="1844"/>
      <c r="E129" s="1540">
        <f t="shared" si="17"/>
        <v>0</v>
      </c>
      <c r="F129" s="1935">
        <f t="shared" si="6"/>
        <v>0</v>
      </c>
      <c r="G129" s="1793">
        <f t="shared" si="18"/>
        <v>0</v>
      </c>
    </row>
    <row r="130" spans="1:7" hidden="1" x14ac:dyDescent="0.25">
      <c r="A130" s="1653"/>
      <c r="B130" s="1667"/>
      <c r="C130" s="1654"/>
      <c r="D130" s="1844"/>
      <c r="E130" s="1540">
        <f t="shared" si="17"/>
        <v>0</v>
      </c>
      <c r="F130" s="1935">
        <f t="shared" si="6"/>
        <v>0</v>
      </c>
      <c r="G130" s="1793">
        <f t="shared" si="18"/>
        <v>0</v>
      </c>
    </row>
    <row r="131" spans="1:7" hidden="1" x14ac:dyDescent="0.25">
      <c r="A131" s="1653"/>
      <c r="B131" s="1667"/>
      <c r="C131" s="1654"/>
      <c r="D131" s="1844"/>
      <c r="E131" s="1540">
        <f t="shared" si="17"/>
        <v>0</v>
      </c>
      <c r="F131" s="1935">
        <f t="shared" si="6"/>
        <v>0</v>
      </c>
      <c r="G131" s="1793">
        <f t="shared" si="18"/>
        <v>0</v>
      </c>
    </row>
    <row r="132" spans="1:7" hidden="1" x14ac:dyDescent="0.25">
      <c r="A132" s="1653"/>
      <c r="B132" s="1837"/>
      <c r="C132" s="1654"/>
      <c r="D132" s="1844"/>
      <c r="E132" s="1540">
        <f t="shared" si="17"/>
        <v>0</v>
      </c>
      <c r="F132" s="1935">
        <f t="shared" si="6"/>
        <v>0</v>
      </c>
      <c r="G132" s="1793">
        <f t="shared" si="18"/>
        <v>0</v>
      </c>
    </row>
    <row r="133" spans="1:7" hidden="1" x14ac:dyDescent="0.25">
      <c r="A133" s="1653"/>
      <c r="B133" s="1837"/>
      <c r="C133" s="1654"/>
      <c r="D133" s="1844"/>
      <c r="E133" s="1540">
        <f t="shared" si="17"/>
        <v>0</v>
      </c>
      <c r="F133" s="1935">
        <f t="shared" si="6"/>
        <v>0</v>
      </c>
      <c r="G133" s="1793">
        <f t="shared" si="18"/>
        <v>0</v>
      </c>
    </row>
    <row r="134" spans="1:7" hidden="1" x14ac:dyDescent="0.25">
      <c r="A134" s="1653"/>
      <c r="B134" s="1667"/>
      <c r="C134" s="1654"/>
      <c r="D134" s="1844"/>
      <c r="E134" s="1540">
        <f t="shared" si="17"/>
        <v>0</v>
      </c>
      <c r="F134" s="1935">
        <f t="shared" si="6"/>
        <v>0</v>
      </c>
      <c r="G134" s="1793">
        <f t="shared" si="18"/>
        <v>0</v>
      </c>
    </row>
    <row r="135" spans="1:7" hidden="1" x14ac:dyDescent="0.25">
      <c r="A135" s="1653"/>
      <c r="B135" s="1667"/>
      <c r="C135" s="1654"/>
      <c r="D135" s="1844"/>
      <c r="E135" s="1540">
        <f t="shared" si="17"/>
        <v>0</v>
      </c>
      <c r="F135" s="1935">
        <f t="shared" si="6"/>
        <v>0</v>
      </c>
      <c r="G135" s="1793">
        <f t="shared" si="18"/>
        <v>0</v>
      </c>
    </row>
    <row r="136" spans="1:7" hidden="1" x14ac:dyDescent="0.25">
      <c r="A136" s="1653"/>
      <c r="B136" s="1667"/>
      <c r="C136" s="1654"/>
      <c r="D136" s="1844"/>
      <c r="E136" s="1540">
        <f t="shared" ref="E136:E140" si="19">IF(D136&lt;=25000,D136,IF(D136&gt;25000,25000,0))</f>
        <v>0</v>
      </c>
      <c r="F136" s="1935">
        <f t="shared" si="6"/>
        <v>0</v>
      </c>
      <c r="G136" s="1793">
        <f t="shared" ref="G136:G140" si="20">IF(F136=0,0,D136-F136)</f>
        <v>0</v>
      </c>
    </row>
    <row r="137" spans="1:7" hidden="1" x14ac:dyDescent="0.25">
      <c r="A137" s="1653"/>
      <c r="B137" s="1667"/>
      <c r="C137" s="1654"/>
      <c r="D137" s="1844"/>
      <c r="E137" s="1540">
        <f t="shared" si="19"/>
        <v>0</v>
      </c>
      <c r="F137" s="1935">
        <f t="shared" si="6"/>
        <v>0</v>
      </c>
      <c r="G137" s="1793">
        <f t="shared" si="20"/>
        <v>0</v>
      </c>
    </row>
    <row r="138" spans="1:7" hidden="1" x14ac:dyDescent="0.25">
      <c r="A138" s="1653"/>
      <c r="B138" s="1667"/>
      <c r="C138" s="1654"/>
      <c r="D138" s="1844"/>
      <c r="E138" s="1540">
        <f t="shared" si="19"/>
        <v>0</v>
      </c>
      <c r="F138" s="1935">
        <f t="shared" si="6"/>
        <v>0</v>
      </c>
      <c r="G138" s="1793">
        <f t="shared" si="20"/>
        <v>0</v>
      </c>
    </row>
    <row r="139" spans="1:7" hidden="1" x14ac:dyDescent="0.25">
      <c r="A139" s="1653"/>
      <c r="B139" s="1667"/>
      <c r="C139" s="1654"/>
      <c r="D139" s="1844"/>
      <c r="E139" s="1540">
        <f t="shared" si="19"/>
        <v>0</v>
      </c>
      <c r="F139" s="1935">
        <f t="shared" si="6"/>
        <v>0</v>
      </c>
      <c r="G139" s="1793">
        <f t="shared" si="20"/>
        <v>0</v>
      </c>
    </row>
    <row r="140" spans="1:7" hidden="1" x14ac:dyDescent="0.25">
      <c r="A140" s="1653"/>
      <c r="B140" s="1667"/>
      <c r="C140" s="1654"/>
      <c r="D140" s="1844"/>
      <c r="E140" s="1540">
        <f t="shared" si="19"/>
        <v>0</v>
      </c>
      <c r="F140" s="1935">
        <f t="shared" si="6"/>
        <v>0</v>
      </c>
      <c r="G140" s="1793">
        <f t="shared" si="20"/>
        <v>0</v>
      </c>
    </row>
    <row r="141" spans="1:7" hidden="1" x14ac:dyDescent="0.25">
      <c r="A141" s="1653"/>
      <c r="B141" s="1666"/>
      <c r="C141" s="1654"/>
      <c r="D141" s="1844"/>
      <c r="E141" s="1540">
        <f t="shared" si="2"/>
        <v>0</v>
      </c>
      <c r="F141" s="1935">
        <f t="shared" si="6"/>
        <v>0</v>
      </c>
      <c r="G141" s="1793">
        <f t="shared" si="3"/>
        <v>0</v>
      </c>
    </row>
    <row r="142" spans="1:7" x14ac:dyDescent="0.25">
      <c r="A142" s="1796" t="s">
        <v>156</v>
      </c>
      <c r="B142" s="1797"/>
      <c r="C142" s="1798"/>
      <c r="D142" s="1794">
        <f>SUM(D18:D141)</f>
        <v>1707278</v>
      </c>
      <c r="E142" s="1541">
        <f t="shared" si="0"/>
        <v>25000</v>
      </c>
      <c r="F142" s="1932">
        <f>SUM(F18:F141)</f>
        <v>575000</v>
      </c>
      <c r="G142" s="1795">
        <f>SUM(G18:G141)</f>
        <v>1132278</v>
      </c>
    </row>
  </sheetData>
  <sheetProtection selectLockedCells="1"/>
  <mergeCells count="6">
    <mergeCell ref="A14:G14"/>
    <mergeCell ref="A4:G5"/>
    <mergeCell ref="A12:G12"/>
    <mergeCell ref="A8:G8"/>
    <mergeCell ref="A9:G9"/>
    <mergeCell ref="A10:G10"/>
  </mergeCells>
  <pageMargins left="0.2" right="0.2" top="0.5" bottom="0.25" header="0.3" footer="0.3"/>
  <pageSetup scale="78" firstPageNumber="3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7" colorId="8" zoomScale="110" zoomScaleNormal="110" workbookViewId="0">
      <selection activeCell="B35" sqref="B3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5" t="s">
        <v>1679</v>
      </c>
      <c r="B5" s="2296"/>
      <c r="C5" s="2296"/>
      <c r="D5" s="2296"/>
      <c r="E5" s="2296"/>
      <c r="F5" s="2296"/>
      <c r="G5" s="229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115360</v>
      </c>
      <c r="F10" s="974"/>
      <c r="G10" s="975"/>
      <c r="H10" s="162"/>
      <c r="I10" s="162"/>
    </row>
    <row r="11" spans="1:9" s="668" customFormat="1" ht="22.5" customHeight="1" x14ac:dyDescent="0.2">
      <c r="A11" s="2300" t="s">
        <v>1975</v>
      </c>
      <c r="B11" s="2301"/>
      <c r="C11" s="2301"/>
      <c r="D11" s="2302"/>
      <c r="E11" s="977">
        <v>20556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10960996</v>
      </c>
      <c r="F19" s="1799"/>
      <c r="G19" s="1801">
        <f>'Expenditures 15-22'!K33-SUM('Expenditures 15-22'!G33,'Expenditures 15-22'!I33)+'Expenditures 15-22'!D229</f>
        <v>10960996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978176</v>
      </c>
      <c r="F21" s="1802"/>
      <c r="G21" s="1805">
        <f>'Expenditures 15-22'!K42-SUM('Expenditures 15-22'!G42,'Expenditures 15-22'!I42)+'Expenditures 15-22'!K120-SUM('Expenditures 15-22'!G120,'Expenditures 15-22'!I120)+'Expenditures 15-22'!K180-SUM('Expenditures 15-22'!G180,'Expenditures 15-22'!I180)+'Expenditures 15-22'!D238</f>
        <v>978176</v>
      </c>
      <c r="H21" s="987"/>
      <c r="I21" s="162"/>
    </row>
    <row r="22" spans="1:9" s="668" customFormat="1" ht="12" customHeight="1" x14ac:dyDescent="0.2">
      <c r="A22" s="994" t="s">
        <v>564</v>
      </c>
      <c r="B22" s="995"/>
      <c r="C22" s="993">
        <v>2200</v>
      </c>
      <c r="D22" s="1802"/>
      <c r="E22" s="1804">
        <f>'Expenditures 15-22'!K47-SUM('Expenditures 15-22'!G47,'Expenditures 15-22'!I47)+'Expenditures 15-22'!D243</f>
        <v>291390</v>
      </c>
      <c r="F22" s="1802"/>
      <c r="G22" s="1805">
        <f>'Expenditures 15-22'!K47-SUM('Expenditures 15-22'!G47,'Expenditures 15-22'!I47)+'Expenditures 15-22'!D243</f>
        <v>291390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505102</v>
      </c>
      <c r="F23" s="1802"/>
      <c r="G23" s="1804">
        <f>'Expenditures 15-22'!K53-SUM('Expenditures 15-22'!G53,'Expenditures 15-22'!I53)+'Expenditures 15-22'!D257+'Expenditures 15-22'!K330-SUM('Expenditures 15-22'!G330,'Expenditures 15-22'!I330)</f>
        <v>505102</v>
      </c>
      <c r="H23" s="987"/>
      <c r="I23" s="162"/>
    </row>
    <row r="24" spans="1:9" s="668" customFormat="1" ht="12" customHeight="1" x14ac:dyDescent="0.2">
      <c r="A24" s="994" t="s">
        <v>566</v>
      </c>
      <c r="B24" s="995"/>
      <c r="C24" s="993">
        <v>2400</v>
      </c>
      <c r="D24" s="1802"/>
      <c r="E24" s="1804">
        <f>'Expenditures 15-22'!K57-SUM('Expenditures 15-22'!G57,'Expenditures 15-22'!I57)+'Expenditures 15-22'!D261</f>
        <v>233685</v>
      </c>
      <c r="F24" s="1802"/>
      <c r="G24" s="1805">
        <f>'Expenditures 15-22'!K57-SUM('Expenditures 15-22'!G57,'Expenditures 15-22'!I57)+'Expenditures 15-22'!D261</f>
        <v>233685</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106210</v>
      </c>
      <c r="E26" s="1804">
        <f>'Expenditures 15-22'!K122-SUM('Expenditures 15-22'!G122,'Expenditures 15-22'!I122)+E7</f>
        <v>0</v>
      </c>
      <c r="F26" s="1804">
        <f>'Expenditures 15-22'!K59-SUM('Expenditures 15-22'!G59,'Expenditures 15-22'!I59)+'Expenditures 15-22'!D263-E7</f>
        <v>106210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132022</v>
      </c>
      <c r="E27" s="1804">
        <f>E8</f>
        <v>0</v>
      </c>
      <c r="F27" s="1804">
        <f>'Expenditures 15-22'!K60-SUM('Expenditures 15-22'!G60,'Expenditures 15-22'!I60)+'Expenditures 15-22'!D264-E8</f>
        <v>132022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1487077</v>
      </c>
      <c r="F28" s="1806">
        <f>'Expenditures 15-22'!K61-SUM('Expenditures 15-22'!G61,'Expenditures 15-22'!I61)+'Expenditures 15-22'!K124-SUM('Expenditures 15-22'!G124,'Expenditures 15-22'!I124)+'Expenditures 15-22'!D266-E9</f>
        <v>1487077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675271</v>
      </c>
      <c r="F29" s="1802"/>
      <c r="G29" s="1805">
        <f>'Expenditures 15-22'!K62-SUM('Expenditures 15-22'!G62,'Expenditures 15-22'!I62)+'Expenditures 15-22'!K125-SUM('Expenditures 15-22'!G125,'Expenditures 15-22'!I125)+'Expenditures 15-22'!K182-SUM('Expenditures 15-22'!G182,'Expenditures 15-22'!I182)+'Expenditures 15-22'!D267</f>
        <v>675271</v>
      </c>
      <c r="H29" s="985"/>
    </row>
    <row r="30" spans="1:9" ht="12" customHeight="1" x14ac:dyDescent="0.2">
      <c r="A30" s="994" t="s">
        <v>100</v>
      </c>
      <c r="B30" s="997"/>
      <c r="C30" s="993">
        <v>2560</v>
      </c>
      <c r="D30" s="1802"/>
      <c r="E30" s="1804">
        <f>'Expenditures 15-22'!K63-SUM('Expenditures 15-22'!G63,'Expenditures 15-22'!I63)+'Expenditures 15-22'!D268-E10</f>
        <v>531119</v>
      </c>
      <c r="F30" s="1802"/>
      <c r="G30" s="1804">
        <f>'Expenditures 15-22'!K63-SUM('Expenditures 15-22'!G63,'Expenditures 15-22'!I63)+'Expenditures 15-22'!D268-E10</f>
        <v>531119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393530</v>
      </c>
      <c r="E37" s="1804">
        <f>E14</f>
        <v>0</v>
      </c>
      <c r="F37" s="1804">
        <f>'Expenditures 15-22'!K71-SUM('Expenditures 15-22'!G71,'Expenditures 15-22'!I71)+'Expenditures 15-22'!D276-E14</f>
        <v>393530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39365</v>
      </c>
      <c r="F38" s="1802"/>
      <c r="G38" s="1804">
        <f>'Expenditures 15-22'!K73-SUM('Expenditures 15-22'!G73,'Expenditures 15-22'!I73)+'Expenditures 15-22'!K128-SUM('Expenditures 15-22'!G128,'Expenditures 15-22'!I128)+'Expenditures 15-22'!K183-SUM('Expenditures 15-22'!G183,'Expenditures 15-22'!I183)+'Expenditures 15-22'!D278</f>
        <v>39365</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-1132278</v>
      </c>
      <c r="F40" s="1802"/>
      <c r="G40" s="1806">
        <f>-'Contracts Paid in CY 29'!G142</f>
        <v>-1132278</v>
      </c>
    </row>
    <row r="41" spans="1:7" ht="12" customHeight="1" x14ac:dyDescent="0.2">
      <c r="A41" s="998" t="s">
        <v>156</v>
      </c>
      <c r="B41" s="999"/>
      <c r="C41" s="1000"/>
      <c r="D41" s="1806">
        <f>SUM(D19:D39)</f>
        <v>631762</v>
      </c>
      <c r="E41" s="1806">
        <f>SUM(E19:E40)</f>
        <v>14569903</v>
      </c>
      <c r="F41" s="1806">
        <f>SUM(F19:F39)</f>
        <v>2118839</v>
      </c>
      <c r="G41" s="1806">
        <f>SUM(G19:G40)</f>
        <v>13082826</v>
      </c>
    </row>
    <row r="42" spans="1:7" x14ac:dyDescent="0.2">
      <c r="A42" s="987"/>
      <c r="B42" s="162"/>
      <c r="C42" s="1001"/>
      <c r="D42" s="2298" t="s">
        <v>522</v>
      </c>
      <c r="E42" s="2299"/>
      <c r="F42" s="1002" t="s">
        <v>523</v>
      </c>
      <c r="G42" s="1003"/>
    </row>
    <row r="43" spans="1:7" ht="12" customHeight="1" x14ac:dyDescent="0.2">
      <c r="A43" s="987"/>
      <c r="B43" s="162"/>
      <c r="C43" s="1001"/>
      <c r="D43" s="1807" t="s">
        <v>473</v>
      </c>
      <c r="E43" s="1808">
        <f>D41</f>
        <v>631762</v>
      </c>
      <c r="F43" s="1807" t="s">
        <v>473</v>
      </c>
      <c r="G43" s="1808">
        <f>F41</f>
        <v>2118839</v>
      </c>
    </row>
    <row r="44" spans="1:7" ht="12" customHeight="1" x14ac:dyDescent="0.2">
      <c r="A44" s="987"/>
      <c r="B44" s="162"/>
      <c r="C44" s="1001"/>
      <c r="D44" s="1807" t="s">
        <v>474</v>
      </c>
      <c r="E44" s="1808">
        <f>E41</f>
        <v>14569903</v>
      </c>
      <c r="F44" s="1807" t="s">
        <v>474</v>
      </c>
      <c r="G44" s="1808">
        <f>G41</f>
        <v>13082826</v>
      </c>
    </row>
    <row r="45" spans="1:7" ht="12" customHeight="1" x14ac:dyDescent="0.2">
      <c r="A45" s="987"/>
      <c r="B45" s="162"/>
      <c r="C45" s="162"/>
      <c r="D45" s="1809" t="s">
        <v>1006</v>
      </c>
      <c r="E45" s="1810">
        <f>(E43/E44)</f>
        <v>4.3360755387321384E-2</v>
      </c>
      <c r="F45" s="1809" t="s">
        <v>1006</v>
      </c>
      <c r="G45" s="1810">
        <f>(G43/G44)</f>
        <v>0.16195575787677677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28" activePane="bottomLeft" state="frozen"/>
      <selection activeCell="B35" sqref="B35"/>
      <selection pane="bottomLeft" activeCell="B35" sqref="B3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6" t="s">
        <v>1379</v>
      </c>
      <c r="B1" s="2306"/>
      <c r="C1" s="2306"/>
      <c r="D1" s="2306"/>
      <c r="E1" s="2306"/>
      <c r="F1" s="2306"/>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7" t="s">
        <v>1546</v>
      </c>
      <c r="B5" s="2308"/>
      <c r="C5" s="2309"/>
      <c r="D5" s="2309"/>
      <c r="E5" s="2309"/>
      <c r="F5" s="2309"/>
    </row>
    <row r="6" spans="1:10" ht="12" customHeight="1" x14ac:dyDescent="0.25">
      <c r="A6" s="1850"/>
      <c r="B6" s="1851"/>
      <c r="C6" s="2310" t="str">
        <f>COVER!A17</f>
        <v>Washington CHSD 308</v>
      </c>
      <c r="D6" s="2310"/>
      <c r="E6" s="2310"/>
      <c r="F6" s="1852"/>
    </row>
    <row r="7" spans="1:10" ht="11.25" customHeight="1" thickBot="1" x14ac:dyDescent="0.3">
      <c r="A7" s="1850"/>
      <c r="B7" s="1851"/>
      <c r="C7" s="2311">
        <f>COVER!A13</f>
        <v>53090308016</v>
      </c>
      <c r="D7" s="2311"/>
      <c r="E7" s="2311"/>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2065</v>
      </c>
      <c r="D26" s="1865" t="s">
        <v>2065</v>
      </c>
      <c r="E26" s="1868" t="s">
        <v>2065</v>
      </c>
      <c r="F26" s="1867" t="s">
        <v>2157</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312"/>
      <c r="D35" s="2312"/>
      <c r="E35" s="2312"/>
      <c r="F35" s="2313"/>
    </row>
    <row r="36" spans="1:11" ht="12" customHeight="1" x14ac:dyDescent="0.2">
      <c r="A36" s="2303"/>
      <c r="B36" s="2304"/>
      <c r="C36" s="2304"/>
      <c r="D36" s="2304"/>
      <c r="E36" s="2304"/>
      <c r="F36" s="2305"/>
    </row>
    <row r="37" spans="1:11" ht="12" customHeight="1" x14ac:dyDescent="0.2">
      <c r="A37" s="2303"/>
      <c r="B37" s="2304"/>
      <c r="C37" s="2304"/>
      <c r="D37" s="2304"/>
      <c r="E37" s="2304"/>
      <c r="F37" s="2305"/>
    </row>
    <row r="38" spans="1:11" ht="12" customHeight="1" x14ac:dyDescent="0.2">
      <c r="A38" s="2317"/>
      <c r="B38" s="2318"/>
      <c r="C38" s="2318"/>
      <c r="D38" s="2318"/>
      <c r="E38" s="2318"/>
      <c r="F38" s="2319"/>
    </row>
    <row r="39" spans="1:11" ht="4.5" hidden="1" customHeight="1" x14ac:dyDescent="0.2">
      <c r="A39" s="1873"/>
      <c r="B39" s="1873"/>
      <c r="C39" s="1873"/>
      <c r="D39" s="1873"/>
      <c r="E39" s="1873"/>
      <c r="F39" s="1873"/>
    </row>
    <row r="40" spans="1:11" s="1870" customFormat="1" ht="12" customHeight="1" x14ac:dyDescent="0.25">
      <c r="A40" s="1874" t="s">
        <v>1391</v>
      </c>
      <c r="B40" s="1875"/>
      <c r="C40" s="2320"/>
      <c r="D40" s="2320"/>
      <c r="E40" s="2320"/>
      <c r="F40" s="2321"/>
      <c r="H40" s="1879"/>
      <c r="I40" s="1879"/>
      <c r="J40" s="1879"/>
      <c r="K40" s="1879"/>
    </row>
    <row r="41" spans="1:11" s="1870" customFormat="1" ht="12" customHeight="1" x14ac:dyDescent="0.25">
      <c r="A41" s="2322"/>
      <c r="B41" s="2323"/>
      <c r="C41" s="2323"/>
      <c r="D41" s="2323"/>
      <c r="E41" s="2323"/>
      <c r="F41" s="2324"/>
      <c r="H41" s="1879"/>
      <c r="I41" s="1879"/>
      <c r="J41" s="1879"/>
      <c r="K41" s="1879"/>
    </row>
    <row r="42" spans="1:11" s="1870" customFormat="1" ht="12" customHeight="1" x14ac:dyDescent="0.25">
      <c r="A42" s="2322"/>
      <c r="B42" s="2323"/>
      <c r="C42" s="2323"/>
      <c r="D42" s="2323"/>
      <c r="E42" s="2323"/>
      <c r="F42" s="2324"/>
      <c r="H42" s="1879"/>
      <c r="I42" s="1879"/>
      <c r="J42" s="1879"/>
      <c r="K42" s="1879"/>
    </row>
    <row r="43" spans="1:11" s="1870" customFormat="1" ht="15" x14ac:dyDescent="0.25">
      <c r="A43" s="2314"/>
      <c r="B43" s="2315"/>
      <c r="C43" s="2315"/>
      <c r="D43" s="2315"/>
      <c r="E43" s="2315"/>
      <c r="F43" s="2316"/>
      <c r="H43" s="1879"/>
      <c r="I43" s="1879"/>
      <c r="J43" s="1879"/>
      <c r="K43" s="1879"/>
    </row>
    <row r="44" spans="1:11" s="1870" customFormat="1" ht="12" hidden="1" customHeight="1" x14ac:dyDescent="0.25">
      <c r="A44" s="2314"/>
      <c r="B44" s="2315"/>
      <c r="C44" s="2315"/>
      <c r="D44" s="2315"/>
      <c r="E44" s="2315"/>
      <c r="F44" s="231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B35" sqref="B3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30" t="str">
        <f>COVER!A17</f>
        <v>Washington CHSD 308</v>
      </c>
      <c r="J6" s="2331"/>
      <c r="Q6" s="1664"/>
    </row>
    <row r="7" spans="1:17" x14ac:dyDescent="0.2">
      <c r="A7" s="2332" t="s">
        <v>869</v>
      </c>
      <c r="B7" s="2333"/>
      <c r="C7" s="2333"/>
      <c r="D7" s="2333"/>
      <c r="E7" s="2334"/>
      <c r="F7" s="1017"/>
      <c r="G7" s="1009"/>
      <c r="H7" s="1016" t="s">
        <v>372</v>
      </c>
      <c r="I7" s="2335">
        <f>COVER!A13</f>
        <v>53090308016</v>
      </c>
      <c r="J7" s="233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6" t="s">
        <v>481</v>
      </c>
      <c r="B11" s="2337"/>
      <c r="C11" s="233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337410</v>
      </c>
      <c r="F12" s="1039"/>
      <c r="G12" s="1811">
        <f t="shared" ref="G12:G18" si="0">SUM(E12:F12)</f>
        <v>337410</v>
      </c>
      <c r="H12" s="1040">
        <v>331815</v>
      </c>
      <c r="I12" s="1039"/>
      <c r="J12" s="1811">
        <f t="shared" ref="J12:J18" si="1">SUM(H12:I12)</f>
        <v>331815</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105136</v>
      </c>
      <c r="F15" s="1811">
        <f>'Expenditures 15-22'!K122</f>
        <v>0</v>
      </c>
      <c r="G15" s="1811">
        <f t="shared" si="0"/>
        <v>105136</v>
      </c>
      <c r="H15" s="1040">
        <v>109825</v>
      </c>
      <c r="I15" s="1040"/>
      <c r="J15" s="1811">
        <f t="shared" si="1"/>
        <v>109825</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9" t="s">
        <v>7</v>
      </c>
      <c r="C18" s="2340"/>
      <c r="D18" s="234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442546</v>
      </c>
      <c r="F19" s="1813">
        <f t="shared" si="2"/>
        <v>0</v>
      </c>
      <c r="G19" s="1813">
        <f t="shared" si="2"/>
        <v>442546</v>
      </c>
      <c r="H19" s="1813">
        <f t="shared" si="2"/>
        <v>441640</v>
      </c>
      <c r="I19" s="1813">
        <f t="shared" si="2"/>
        <v>0</v>
      </c>
      <c r="J19" s="1813">
        <f t="shared" si="2"/>
        <v>441640</v>
      </c>
    </row>
    <row r="20" spans="1:10" ht="13.5" thickTop="1" x14ac:dyDescent="0.2">
      <c r="A20" s="1035">
        <v>9</v>
      </c>
      <c r="B20" s="2342" t="s">
        <v>1979</v>
      </c>
      <c r="C20" s="2342"/>
      <c r="D20" s="2343"/>
      <c r="E20" s="1046"/>
      <c r="F20" s="1046"/>
      <c r="G20" s="1046"/>
      <c r="H20" s="1046"/>
      <c r="I20" s="1046"/>
      <c r="J20" s="1814">
        <f>IF(AND(G19&gt;0,J19&gt;0),(((J19-G19)/G19)),"Enter Budget Data")</f>
        <v>-2.0472448061896391E-3</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8"/>
      <c r="D26" s="2348"/>
      <c r="E26" s="1050"/>
      <c r="F26" s="2347"/>
      <c r="G26" s="2347"/>
    </row>
    <row r="27" spans="1:10" x14ac:dyDescent="0.2">
      <c r="B27" s="1047"/>
      <c r="C27" s="1051" t="s">
        <v>1033</v>
      </c>
      <c r="D27" s="1052"/>
      <c r="E27" s="1053"/>
      <c r="F27" s="2344" t="s">
        <v>1509</v>
      </c>
      <c r="G27" s="2344"/>
    </row>
    <row r="28" spans="1:10" ht="28.5" customHeight="1" x14ac:dyDescent="0.2">
      <c r="B28" s="1047"/>
      <c r="C28" s="2346"/>
      <c r="D28" s="2346"/>
      <c r="E28" s="1054"/>
      <c r="F28" s="2346"/>
      <c r="G28" s="2346"/>
    </row>
    <row r="29" spans="1:10" x14ac:dyDescent="0.2">
      <c r="B29" s="1047"/>
      <c r="C29" s="1055" t="s">
        <v>1561</v>
      </c>
      <c r="E29" s="1056"/>
      <c r="F29" s="2345" t="s">
        <v>1510</v>
      </c>
      <c r="G29" s="234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7" t="s">
        <v>132</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2"/>
    </row>
    <row r="36" spans="1:10" ht="13.5" customHeight="1" x14ac:dyDescent="0.2">
      <c r="B36" s="1061"/>
      <c r="C36" s="2329" t="s">
        <v>1981</v>
      </c>
      <c r="D36" s="2328"/>
      <c r="E36" s="2328"/>
      <c r="F36" s="2328"/>
      <c r="G36" s="2328"/>
      <c r="H36" s="2328"/>
      <c r="I36" s="2328"/>
      <c r="J36" s="1063"/>
    </row>
    <row r="37" spans="1:10" ht="22.5" customHeight="1" x14ac:dyDescent="0.2">
      <c r="C37" s="2328"/>
      <c r="D37" s="2328"/>
      <c r="E37" s="2328"/>
      <c r="F37" s="2328"/>
      <c r="G37" s="2328"/>
      <c r="H37" s="2328"/>
      <c r="I37" s="2328"/>
      <c r="J37" s="1063"/>
    </row>
    <row r="38" spans="1:10" ht="7.5" customHeight="1" x14ac:dyDescent="0.2">
      <c r="C38" s="1062"/>
      <c r="D38" s="1064"/>
      <c r="E38" s="1065"/>
      <c r="F38" s="1066"/>
      <c r="G38" s="1065"/>
    </row>
    <row r="39" spans="1:10" ht="13.5" customHeight="1" x14ac:dyDescent="0.2">
      <c r="B39" s="1061"/>
      <c r="C39" s="2325" t="s">
        <v>882</v>
      </c>
      <c r="D39" s="2326"/>
      <c r="E39" s="2326"/>
      <c r="F39" s="2326"/>
      <c r="G39" s="2326"/>
      <c r="H39" s="2326"/>
      <c r="I39" s="232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C65"/>
  <sheetViews>
    <sheetView showGridLines="0" topLeftCell="A25" zoomScale="110" zoomScaleNormal="110" workbookViewId="0">
      <selection activeCell="B35" sqref="B35"/>
    </sheetView>
  </sheetViews>
  <sheetFormatPr defaultRowHeight="12.75" x14ac:dyDescent="0.2"/>
  <cols>
    <col min="1" max="1" width="3" style="329" customWidth="1"/>
    <col min="2" max="2" width="9.5703125" style="329" customWidth="1"/>
    <col min="3" max="3" width="3.140625" style="329" customWidth="1"/>
    <col min="4" max="16384" width="9.140625" style="329"/>
  </cols>
  <sheetData>
    <row r="2" spans="1:3" x14ac:dyDescent="0.2">
      <c r="A2" s="389" t="s">
        <v>258</v>
      </c>
    </row>
    <row r="3" spans="1:3" x14ac:dyDescent="0.2">
      <c r="A3" s="329" t="s">
        <v>259</v>
      </c>
    </row>
    <row r="5" spans="1:3" x14ac:dyDescent="0.2">
      <c r="A5" s="1068"/>
    </row>
    <row r="6" spans="1:3" x14ac:dyDescent="0.2">
      <c r="A6" s="1068"/>
    </row>
    <row r="7" spans="1:3" x14ac:dyDescent="0.2">
      <c r="A7" s="1068"/>
    </row>
    <row r="8" spans="1:3" x14ac:dyDescent="0.2">
      <c r="A8" s="1068"/>
    </row>
    <row r="9" spans="1:3" x14ac:dyDescent="0.2">
      <c r="A9" s="1069"/>
    </row>
    <row r="10" spans="1:3" x14ac:dyDescent="0.2">
      <c r="A10" s="1069" t="s">
        <v>2095</v>
      </c>
    </row>
    <row r="11" spans="1:3" x14ac:dyDescent="0.2">
      <c r="A11" s="1069"/>
      <c r="B11" s="1940">
        <v>313</v>
      </c>
      <c r="C11" s="329" t="s">
        <v>2084</v>
      </c>
    </row>
    <row r="12" spans="1:3" x14ac:dyDescent="0.2">
      <c r="A12" s="1069"/>
      <c r="B12" s="1939">
        <v>2745</v>
      </c>
      <c r="C12" s="329" t="s">
        <v>2085</v>
      </c>
    </row>
    <row r="13" spans="1:3" x14ac:dyDescent="0.2">
      <c r="A13" s="1069"/>
      <c r="B13" s="1939">
        <v>60</v>
      </c>
      <c r="C13" s="329" t="s">
        <v>2086</v>
      </c>
    </row>
    <row r="14" spans="1:3" ht="13.5" thickBot="1" x14ac:dyDescent="0.25">
      <c r="A14" s="1069"/>
      <c r="B14" s="1941">
        <f>SUM(B11:B13)</f>
        <v>3118</v>
      </c>
    </row>
    <row r="15" spans="1:3" ht="13.5" thickTop="1" x14ac:dyDescent="0.2">
      <c r="A15" s="1069"/>
    </row>
    <row r="16" spans="1:3" x14ac:dyDescent="0.2">
      <c r="A16" s="1069" t="s">
        <v>2087</v>
      </c>
    </row>
    <row r="17" spans="1:3" x14ac:dyDescent="0.2">
      <c r="A17" s="1069"/>
      <c r="B17" s="1940">
        <v>109</v>
      </c>
      <c r="C17" s="329" t="s">
        <v>2088</v>
      </c>
    </row>
    <row r="18" spans="1:3" x14ac:dyDescent="0.2">
      <c r="A18" s="1069"/>
    </row>
    <row r="19" spans="1:3" x14ac:dyDescent="0.2">
      <c r="A19" s="1069" t="s">
        <v>2089</v>
      </c>
    </row>
    <row r="20" spans="1:3" x14ac:dyDescent="0.2">
      <c r="A20" s="1069"/>
      <c r="B20" s="1940">
        <v>34685</v>
      </c>
      <c r="C20" s="329" t="s">
        <v>2090</v>
      </c>
    </row>
    <row r="21" spans="1:3" x14ac:dyDescent="0.2">
      <c r="A21" s="1069"/>
    </row>
    <row r="22" spans="1:3" x14ac:dyDescent="0.2">
      <c r="A22" s="1069" t="s">
        <v>2091</v>
      </c>
    </row>
    <row r="23" spans="1:3" x14ac:dyDescent="0.2">
      <c r="A23" s="1069"/>
      <c r="B23" s="1940">
        <v>1337</v>
      </c>
      <c r="C23" s="329" t="s">
        <v>2092</v>
      </c>
    </row>
    <row r="24" spans="1:3" x14ac:dyDescent="0.2">
      <c r="A24" s="1069"/>
      <c r="B24" s="1940"/>
    </row>
    <row r="25" spans="1:3" x14ac:dyDescent="0.2">
      <c r="A25" s="1069"/>
      <c r="B25" s="1940">
        <v>65384</v>
      </c>
      <c r="C25" s="329" t="s">
        <v>2098</v>
      </c>
    </row>
    <row r="26" spans="1:3" x14ac:dyDescent="0.2">
      <c r="A26" s="1069"/>
      <c r="B26" s="1939">
        <v>1758</v>
      </c>
      <c r="C26" s="329" t="s">
        <v>2099</v>
      </c>
    </row>
    <row r="27" spans="1:3" ht="13.5" thickBot="1" x14ac:dyDescent="0.25">
      <c r="A27" s="1069"/>
      <c r="B27" s="1942">
        <f>SUM(B25:B26)</f>
        <v>67142</v>
      </c>
      <c r="C27" s="329" t="s">
        <v>2100</v>
      </c>
    </row>
    <row r="28" spans="1:3" ht="13.5" thickTop="1" x14ac:dyDescent="0.2">
      <c r="A28" s="1069"/>
    </row>
    <row r="29" spans="1:3" x14ac:dyDescent="0.2">
      <c r="A29" s="1069" t="s">
        <v>2093</v>
      </c>
    </row>
    <row r="30" spans="1:3" x14ac:dyDescent="0.2">
      <c r="A30" s="1069"/>
      <c r="B30" s="1940">
        <v>15947</v>
      </c>
      <c r="C30" s="329" t="s">
        <v>2094</v>
      </c>
    </row>
    <row r="31" spans="1:3" x14ac:dyDescent="0.2">
      <c r="A31" s="1069"/>
      <c r="B31" s="1939">
        <v>7541</v>
      </c>
      <c r="C31" s="329" t="s">
        <v>2096</v>
      </c>
    </row>
    <row r="32" spans="1:3" x14ac:dyDescent="0.2">
      <c r="A32" s="1069"/>
      <c r="B32" s="1939">
        <v>1005</v>
      </c>
      <c r="C32" s="329" t="s">
        <v>2097</v>
      </c>
    </row>
    <row r="33" spans="1:3" ht="13.5" thickBot="1" x14ac:dyDescent="0.25">
      <c r="A33" s="1069"/>
      <c r="B33" s="1941">
        <f>SUM(B30:B32)</f>
        <v>24493</v>
      </c>
    </row>
    <row r="34" spans="1:3" ht="13.5" thickTop="1" x14ac:dyDescent="0.2">
      <c r="A34" s="1069"/>
    </row>
    <row r="35" spans="1:3" x14ac:dyDescent="0.2">
      <c r="A35" s="1069" t="s">
        <v>2101</v>
      </c>
    </row>
    <row r="36" spans="1:3" x14ac:dyDescent="0.2">
      <c r="A36" s="1069"/>
      <c r="B36" s="1940">
        <v>11695</v>
      </c>
      <c r="C36" s="329" t="s">
        <v>2102</v>
      </c>
    </row>
    <row r="37" spans="1:3" x14ac:dyDescent="0.2">
      <c r="A37" s="1069"/>
      <c r="B37" s="1939">
        <v>1371</v>
      </c>
      <c r="C37" s="329" t="s">
        <v>2103</v>
      </c>
    </row>
    <row r="38" spans="1:3" x14ac:dyDescent="0.2">
      <c r="A38" s="1069"/>
      <c r="B38" s="1939">
        <v>1357</v>
      </c>
      <c r="C38" s="329" t="s">
        <v>2104</v>
      </c>
    </row>
    <row r="39" spans="1:3" x14ac:dyDescent="0.2">
      <c r="A39" s="1069"/>
      <c r="B39" s="1939">
        <v>331</v>
      </c>
      <c r="C39" s="329" t="s">
        <v>1063</v>
      </c>
    </row>
    <row r="40" spans="1:3" ht="13.5" thickBot="1" x14ac:dyDescent="0.25">
      <c r="A40" s="1069"/>
      <c r="B40" s="1941">
        <f>SUM(B36:B39)</f>
        <v>14754</v>
      </c>
      <c r="C40" s="329" t="s">
        <v>1100</v>
      </c>
    </row>
    <row r="41" spans="1:3" ht="13.5" thickTop="1" x14ac:dyDescent="0.2">
      <c r="A41" s="1069"/>
    </row>
    <row r="42" spans="1:3" x14ac:dyDescent="0.2">
      <c r="A42" s="1069"/>
      <c r="B42" s="1940">
        <v>6304</v>
      </c>
      <c r="C42" s="329" t="s">
        <v>2105</v>
      </c>
    </row>
    <row r="43" spans="1:3" x14ac:dyDescent="0.2">
      <c r="A43" s="1069"/>
      <c r="B43" s="1939">
        <v>6001</v>
      </c>
      <c r="C43" s="329" t="s">
        <v>2106</v>
      </c>
    </row>
    <row r="44" spans="1:3" x14ac:dyDescent="0.2">
      <c r="A44" s="1069"/>
      <c r="B44" s="1939">
        <v>5177</v>
      </c>
      <c r="C44" s="329" t="s">
        <v>2107</v>
      </c>
    </row>
    <row r="45" spans="1:3" x14ac:dyDescent="0.2">
      <c r="A45" s="1069"/>
      <c r="B45" s="1939">
        <v>7129</v>
      </c>
      <c r="C45" s="329" t="s">
        <v>2108</v>
      </c>
    </row>
    <row r="46" spans="1:3" ht="13.5" thickBot="1" x14ac:dyDescent="0.25">
      <c r="A46" s="1069"/>
      <c r="B46" s="1941">
        <f>SUM(B42:B45)</f>
        <v>24611</v>
      </c>
      <c r="C46" s="329" t="s">
        <v>2175</v>
      </c>
    </row>
    <row r="47" spans="1:3" ht="13.5" thickTop="1" x14ac:dyDescent="0.2">
      <c r="A47" s="1069"/>
    </row>
    <row r="48" spans="1:3" x14ac:dyDescent="0.2">
      <c r="A48" s="1069" t="s">
        <v>2158</v>
      </c>
    </row>
    <row r="49" spans="1:3" x14ac:dyDescent="0.2">
      <c r="A49" s="1069"/>
      <c r="B49" s="1940">
        <v>2000</v>
      </c>
      <c r="C49" s="329" t="s">
        <v>2159</v>
      </c>
    </row>
    <row r="50" spans="1:3" x14ac:dyDescent="0.2">
      <c r="A50" s="1069"/>
    </row>
    <row r="51" spans="1:3" x14ac:dyDescent="0.2">
      <c r="A51" s="1069"/>
    </row>
    <row r="52" spans="1:3" x14ac:dyDescent="0.2">
      <c r="A52" s="1069"/>
    </row>
    <row r="53" spans="1:3" x14ac:dyDescent="0.2">
      <c r="A53" s="1069"/>
    </row>
    <row r="54" spans="1:3" x14ac:dyDescent="0.2">
      <c r="A54" s="1069"/>
    </row>
    <row r="55" spans="1:3" x14ac:dyDescent="0.2">
      <c r="A55" s="1069"/>
    </row>
    <row r="56" spans="1:3" x14ac:dyDescent="0.2">
      <c r="A56" s="1069"/>
    </row>
    <row r="57" spans="1:3" x14ac:dyDescent="0.2">
      <c r="A57" s="1069"/>
    </row>
    <row r="58" spans="1:3" x14ac:dyDescent="0.2">
      <c r="A58" s="1069"/>
    </row>
    <row r="59" spans="1:3" x14ac:dyDescent="0.2">
      <c r="A59" s="1069"/>
    </row>
    <row r="60" spans="1:3" x14ac:dyDescent="0.2">
      <c r="A60" s="1069"/>
    </row>
    <row r="61" spans="1:3" x14ac:dyDescent="0.2">
      <c r="A61" s="1069"/>
    </row>
    <row r="62" spans="1:3" x14ac:dyDescent="0.2">
      <c r="A62" s="1069"/>
    </row>
    <row r="63" spans="1:3" x14ac:dyDescent="0.2">
      <c r="A63" s="1069"/>
    </row>
    <row r="64" spans="1:3" x14ac:dyDescent="0.2">
      <c r="A64" s="1069"/>
      <c r="B64" s="258" t="str">
        <f>COVER!A17</f>
        <v>Washington CHSD 308</v>
      </c>
    </row>
    <row r="65" spans="2:2" x14ac:dyDescent="0.2">
      <c r="B65" s="1070">
        <f>COVER!A13</f>
        <v>53090308016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6" zoomScale="110" zoomScaleNormal="110" workbookViewId="0">
      <selection activeCell="B35" sqref="B3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6" t="s">
        <v>1065</v>
      </c>
      <c r="B35" s="2066"/>
      <c r="C35" s="2066"/>
      <c r="D35" s="2066"/>
      <c r="E35" s="206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3" t="s">
        <v>691</v>
      </c>
      <c r="B40" s="2063"/>
      <c r="C40" s="2063"/>
      <c r="D40" s="2063"/>
      <c r="E40" s="2063"/>
    </row>
    <row r="41" spans="1:5" x14ac:dyDescent="0.2">
      <c r="A41" s="2064" t="s">
        <v>1608</v>
      </c>
      <c r="B41" s="2064"/>
      <c r="C41" s="2064"/>
      <c r="D41" s="2064"/>
      <c r="E41" s="2064"/>
    </row>
    <row r="42" spans="1:5" ht="12.75" customHeight="1" x14ac:dyDescent="0.2">
      <c r="A42" s="2065" t="s">
        <v>1022</v>
      </c>
      <c r="B42" s="2065"/>
      <c r="C42" s="2065"/>
      <c r="D42" s="2065"/>
      <c r="E42" s="206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35" sqref="B3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1" sqref="B2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9" t="s">
        <v>1685</v>
      </c>
      <c r="B18" s="234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971550</xdr:colOff>
                <xdr:row>3</xdr:row>
                <xdr:rowOff>9525</xdr:rowOff>
              </from>
              <to>
                <xdr:col>1</xdr:col>
                <xdr:colOff>1885950</xdr:colOff>
                <xdr:row>7</xdr:row>
                <xdr:rowOff>47625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2105025</xdr:colOff>
                <xdr:row>3</xdr:row>
                <xdr:rowOff>0</xdr:rowOff>
              </from>
              <to>
                <xdr:col>1</xdr:col>
                <xdr:colOff>3019425</xdr:colOff>
                <xdr:row>7</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5" zoomScale="110" zoomScaleNormal="110" workbookViewId="0">
      <selection activeCell="B35" sqref="B3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1690</v>
      </c>
      <c r="B1" s="2351"/>
      <c r="C1" s="2351"/>
      <c r="D1" s="2351"/>
      <c r="E1" s="2351"/>
      <c r="F1" s="2352"/>
    </row>
    <row r="2" spans="1:8" ht="45" customHeight="1" x14ac:dyDescent="0.2">
      <c r="A2" s="2360" t="s">
        <v>1985</v>
      </c>
      <c r="B2" s="2361"/>
      <c r="C2" s="2361"/>
      <c r="D2" s="2361"/>
      <c r="E2" s="2361"/>
      <c r="F2" s="2362"/>
      <c r="G2" s="1074"/>
      <c r="H2" s="1074"/>
    </row>
    <row r="3" spans="1:8" ht="57" customHeight="1" x14ac:dyDescent="0.2">
      <c r="A3" s="2363" t="s">
        <v>1686</v>
      </c>
      <c r="B3" s="2364"/>
      <c r="C3" s="2364"/>
      <c r="D3" s="2364"/>
      <c r="E3" s="2364"/>
      <c r="F3" s="2365"/>
      <c r="G3" s="1074"/>
      <c r="H3" s="1074"/>
    </row>
    <row r="4" spans="1:8" ht="14.25" customHeight="1" x14ac:dyDescent="0.2">
      <c r="A4" s="2369" t="s">
        <v>1986</v>
      </c>
      <c r="B4" s="2370"/>
      <c r="C4" s="2370"/>
      <c r="D4" s="2370"/>
      <c r="E4" s="2370"/>
      <c r="F4" s="2371"/>
      <c r="G4" s="1074"/>
      <c r="H4" s="1074"/>
    </row>
    <row r="5" spans="1:8" ht="14.25" customHeight="1" x14ac:dyDescent="0.2">
      <c r="A5" s="2372" t="s">
        <v>1982</v>
      </c>
      <c r="B5" s="2373"/>
      <c r="C5" s="2373"/>
      <c r="D5" s="2373"/>
      <c r="E5" s="2373"/>
      <c r="F5" s="2374"/>
      <c r="G5" s="1074"/>
      <c r="H5" s="1074"/>
    </row>
    <row r="6" spans="1:8" s="1075" customFormat="1" ht="41.25" customHeight="1" x14ac:dyDescent="0.2">
      <c r="A6" s="2366" t="s">
        <v>1691</v>
      </c>
      <c r="B6" s="2367"/>
      <c r="C6" s="2367"/>
      <c r="D6" s="2367"/>
      <c r="E6" s="2367"/>
      <c r="F6" s="236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14345521</v>
      </c>
      <c r="C8" s="1815">
        <f>'Acct Summary 7-8'!D8</f>
        <v>2302848</v>
      </c>
      <c r="D8" s="1815">
        <f>'Acct Summary 7-8'!F8</f>
        <v>691420</v>
      </c>
      <c r="E8" s="1815">
        <f>'Acct Summary 7-8'!I8</f>
        <v>278476</v>
      </c>
      <c r="F8" s="1815">
        <f>SUM(B8:E8)</f>
        <v>17618265</v>
      </c>
    </row>
    <row r="9" spans="1:8" s="1079" customFormat="1" ht="14.25" customHeight="1" thickBot="1" x14ac:dyDescent="0.25">
      <c r="A9" s="1078" t="s">
        <v>1369</v>
      </c>
      <c r="B9" s="1816">
        <f>'Acct Summary 7-8'!C17</f>
        <v>14994190</v>
      </c>
      <c r="C9" s="1816">
        <f>'Acct Summary 7-8'!D17</f>
        <v>1312007</v>
      </c>
      <c r="D9" s="1816">
        <f>'Acct Summary 7-8'!F17</f>
        <v>673462</v>
      </c>
      <c r="E9" s="1815"/>
      <c r="F9" s="1815">
        <f>SUM(B9:E9)</f>
        <v>16979659</v>
      </c>
    </row>
    <row r="10" spans="1:8" s="1079" customFormat="1" ht="14.25" thickTop="1" thickBot="1" x14ac:dyDescent="0.25">
      <c r="A10" s="1080" t="s">
        <v>1370</v>
      </c>
      <c r="B10" s="1817">
        <f>(B8-B9)</f>
        <v>-648669</v>
      </c>
      <c r="C10" s="1817">
        <f>(C8-C9)</f>
        <v>990841</v>
      </c>
      <c r="D10" s="1817">
        <f>(D8-D9)</f>
        <v>17958</v>
      </c>
      <c r="E10" s="1816">
        <f>(E8-E9)</f>
        <v>278476</v>
      </c>
      <c r="F10" s="1818">
        <f>SUM(F8-F9)</f>
        <v>638606</v>
      </c>
    </row>
    <row r="11" spans="1:8" s="1079" customFormat="1" ht="14.25" thickTop="1" thickBot="1" x14ac:dyDescent="0.25">
      <c r="A11" s="1081" t="s">
        <v>1983</v>
      </c>
      <c r="B11" s="1819">
        <f>'Acct Summary 7-8'!C81</f>
        <v>2960033</v>
      </c>
      <c r="C11" s="1819">
        <f>'Acct Summary 7-8'!D81</f>
        <v>5951017</v>
      </c>
      <c r="D11" s="1819">
        <f>'Acct Summary 7-8'!F81</f>
        <v>1001793</v>
      </c>
      <c r="E11" s="1819">
        <f>'Acct Summary 7-8'!I81</f>
        <v>1408854</v>
      </c>
      <c r="F11" s="1820">
        <f>SUM(B11:E11)</f>
        <v>11321697</v>
      </c>
    </row>
    <row r="12" spans="1:8" ht="16.5" customHeight="1" thickTop="1" x14ac:dyDescent="0.2">
      <c r="A12" s="1082"/>
      <c r="B12" s="1083"/>
      <c r="C12" s="2354" t="str">
        <f>IF(AND(F10&lt;0,F11&gt;=0,ABS(F10*3)&gt;ABS(F11)),A16,IF(AND(F10&lt;0,F11&gt;0,ABS(F10*3)&lt;=ABS(F11)),A17,IF(AND(F10&lt;0,F11&lt;0),A16,IF(F11=0,A19,A18))))</f>
        <v>Balanced - no deficit reduction plan is required.</v>
      </c>
      <c r="D12" s="2355"/>
      <c r="E12" s="2355"/>
      <c r="F12" s="2356"/>
    </row>
    <row r="13" spans="1:8" ht="19.5" customHeight="1" x14ac:dyDescent="0.2">
      <c r="A13" s="1084"/>
      <c r="B13" s="1085"/>
      <c r="C13" s="2354"/>
      <c r="D13" s="2355"/>
      <c r="E13" s="2355"/>
      <c r="F13" s="2356"/>
      <c r="H13" s="1074"/>
    </row>
    <row r="14" spans="1:8" ht="19.5" customHeight="1" x14ac:dyDescent="0.2">
      <c r="A14" s="1084"/>
      <c r="B14" s="1085"/>
      <c r="C14" s="2354"/>
      <c r="D14" s="2355"/>
      <c r="E14" s="2355"/>
      <c r="F14" s="2356"/>
      <c r="H14" s="1074"/>
    </row>
    <row r="15" spans="1:8" ht="17.25" customHeight="1" x14ac:dyDescent="0.2">
      <c r="A15" s="1084"/>
      <c r="B15" s="1085"/>
      <c r="C15" s="2357"/>
      <c r="D15" s="2358"/>
      <c r="E15" s="2358"/>
      <c r="F15" s="2359"/>
      <c r="H15" s="1074"/>
    </row>
    <row r="16" spans="1:8" s="310" customFormat="1" ht="51.75" hidden="1" customHeight="1" x14ac:dyDescent="0.2">
      <c r="A16" s="2353" t="s">
        <v>1687</v>
      </c>
      <c r="B16" s="2353"/>
      <c r="C16" s="2353"/>
      <c r="D16" s="2353"/>
      <c r="E16" s="235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7" colorId="8" zoomScale="110" zoomScaleNormal="110" workbookViewId="0">
      <selection activeCell="C1" sqref="C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5" t="s">
        <v>665</v>
      </c>
      <c r="B3" s="2376"/>
      <c r="C3" s="2376"/>
      <c r="D3" s="2377"/>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6" t="s">
        <v>1504</v>
      </c>
      <c r="D7" s="2387"/>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8" t="s">
        <v>1008</v>
      </c>
      <c r="B15" s="2379"/>
      <c r="C15" s="2379"/>
      <c r="D15" s="2380"/>
    </row>
    <row r="16" spans="1:4" s="668" customFormat="1" ht="24" customHeight="1" x14ac:dyDescent="0.2">
      <c r="A16" s="2381" t="s">
        <v>663</v>
      </c>
      <c r="B16" s="2382"/>
      <c r="C16" s="2382"/>
      <c r="D16" s="238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0" t="s">
        <v>314</v>
      </c>
      <c r="D21" s="2391"/>
    </row>
    <row r="22" spans="1:10" ht="12.75" x14ac:dyDescent="0.2">
      <c r="A22" s="1139"/>
      <c r="B22" s="1140">
        <v>2</v>
      </c>
      <c r="C22" s="2388" t="s">
        <v>1524</v>
      </c>
      <c r="D22" s="238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2" t="s">
        <v>536</v>
      </c>
      <c r="D43" s="239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4" t="s">
        <v>784</v>
      </c>
      <c r="D56" s="238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84" t="s">
        <v>1696</v>
      </c>
      <c r="D70" s="238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53090308016</v>
      </c>
    </row>
    <row r="3" spans="1:2" x14ac:dyDescent="0.2">
      <c r="A3" t="s">
        <v>956</v>
      </c>
      <c r="B3" s="138" t="str">
        <f>COVER!A15</f>
        <v>Tazewell</v>
      </c>
    </row>
    <row r="4" spans="1:2" x14ac:dyDescent="0.2">
      <c r="A4" t="s">
        <v>1007</v>
      </c>
      <c r="B4" s="138" t="str">
        <f>COVER!A17</f>
        <v>Washington CHSD 308</v>
      </c>
    </row>
    <row r="5" spans="1:2" x14ac:dyDescent="0.2">
      <c r="A5" t="s">
        <v>704</v>
      </c>
      <c r="B5" s="138" t="str">
        <f>COVER!A38</f>
        <v>Dr. Kyle Freeman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65.027017999999998</v>
      </c>
    </row>
    <row r="16" spans="1:2" x14ac:dyDescent="0.2">
      <c r="A16" t="s">
        <v>422</v>
      </c>
      <c r="B16" s="138" t="str">
        <f>COVER!T13</f>
        <v>Koch Consultants, Ltd.</v>
      </c>
    </row>
    <row r="17" spans="1:2" x14ac:dyDescent="0.2">
      <c r="A17" t="s">
        <v>884</v>
      </c>
      <c r="B17" s="138" t="str">
        <f>COVER!T15</f>
        <v>Nathan D. Koch</v>
      </c>
    </row>
    <row r="18" spans="1:2" x14ac:dyDescent="0.2">
      <c r="A18" t="s">
        <v>1150</v>
      </c>
      <c r="B18" s="138" t="str">
        <f>COVER!T17</f>
        <v>PO Box 1400</v>
      </c>
    </row>
    <row r="19" spans="1:2" x14ac:dyDescent="0.2">
      <c r="A19" t="s">
        <v>886</v>
      </c>
      <c r="B19" s="138" t="str">
        <f>COVER!T25</f>
        <v>nate@kochconsultants.com</v>
      </c>
    </row>
    <row r="20" spans="1:2" x14ac:dyDescent="0.2">
      <c r="A20" t="s">
        <v>887</v>
      </c>
      <c r="B20" s="138" t="str">
        <f>COVER!T19</f>
        <v>Tremont</v>
      </c>
    </row>
    <row r="21" spans="1:2" x14ac:dyDescent="0.2">
      <c r="A21" t="s">
        <v>479</v>
      </c>
      <c r="B21" s="138" t="str">
        <f>COVER!X19</f>
        <v>IL</v>
      </c>
    </row>
    <row r="22" spans="1:2" x14ac:dyDescent="0.2">
      <c r="A22" t="s">
        <v>888</v>
      </c>
      <c r="B22" s="138">
        <f>COVER!Z19</f>
        <v>61568</v>
      </c>
    </row>
    <row r="23" spans="1:2" x14ac:dyDescent="0.2">
      <c r="A23" t="s">
        <v>1152</v>
      </c>
      <c r="B23" s="138" t="str">
        <f>COVER!T21</f>
        <v>(309) 267-3796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2403141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2960033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2960033</v>
      </c>
      <c r="D92" s="2" t="str">
        <f t="shared" si="0"/>
        <v>Error?</v>
      </c>
    </row>
    <row r="93" spans="1:4" x14ac:dyDescent="0.2">
      <c r="A93" s="5">
        <v>32</v>
      </c>
      <c r="B93" s="138">
        <f>'Assets-Liab 5-6'!C41</f>
        <v>2960033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2881021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5951017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5951017</v>
      </c>
      <c r="D123" s="2" t="str">
        <f t="shared" si="0"/>
        <v>Error?</v>
      </c>
    </row>
    <row r="124" spans="1:4" x14ac:dyDescent="0.2">
      <c r="A124" s="5">
        <v>63</v>
      </c>
      <c r="B124" s="138">
        <f>'Assets-Liab 5-6'!D41</f>
        <v>5951017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14555</v>
      </c>
      <c r="D129" s="2" t="str">
        <f t="shared" si="1"/>
        <v>Error?</v>
      </c>
    </row>
    <row r="130" spans="1:4" x14ac:dyDescent="0.2">
      <c r="A130" s="5">
        <v>69</v>
      </c>
      <c r="B130" s="138">
        <f>'Assets-Liab 5-6'!E12</f>
        <v>0</v>
      </c>
      <c r="D130" s="2" t="str">
        <f t="shared" si="1"/>
        <v>Error?</v>
      </c>
    </row>
    <row r="131" spans="1:4" x14ac:dyDescent="0.2">
      <c r="A131" s="5">
        <v>70</v>
      </c>
      <c r="B131" s="138">
        <f>'Assets-Liab 5-6'!E13</f>
        <v>45415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45415</v>
      </c>
      <c r="D140" s="2" t="str">
        <f t="shared" si="1"/>
        <v>Error?</v>
      </c>
    </row>
    <row r="141" spans="1:4" x14ac:dyDescent="0.2">
      <c r="A141" s="5">
        <v>80</v>
      </c>
      <c r="B141" s="138">
        <f>'Assets-Liab 5-6'!E41</f>
        <v>45415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70962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1001793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1001793</v>
      </c>
      <c r="D170" s="2" t="str">
        <f t="shared" si="1"/>
        <v>Error?</v>
      </c>
    </row>
    <row r="171" spans="1:4" x14ac:dyDescent="0.2">
      <c r="A171" s="5">
        <v>110</v>
      </c>
      <c r="B171" s="138">
        <f>'Assets-Liab 5-6'!F41</f>
        <v>1001793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7018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229288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142663</v>
      </c>
      <c r="D189" s="2" t="str">
        <f t="shared" si="1"/>
        <v>Error?</v>
      </c>
    </row>
    <row r="190" spans="1:4" x14ac:dyDescent="0.2">
      <c r="A190" s="5">
        <v>129</v>
      </c>
      <c r="B190" s="138">
        <f>'Assets-Liab 5-6'!G41</f>
        <v>229288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738602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738602</v>
      </c>
      <c r="D212" s="2" t="str">
        <f t="shared" si="2"/>
        <v>Error?</v>
      </c>
    </row>
    <row r="213" spans="1:4" x14ac:dyDescent="0.2">
      <c r="A213" s="12">
        <v>152</v>
      </c>
      <c r="B213" s="138">
        <f>'Assets-Liab 5-6'!H41</f>
        <v>738602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434584</v>
      </c>
      <c r="D273" s="2" t="str">
        <f t="shared" si="3"/>
        <v>Error?</v>
      </c>
    </row>
    <row r="274" spans="1:4" x14ac:dyDescent="0.2">
      <c r="A274" s="5">
        <v>213</v>
      </c>
      <c r="B274" s="138">
        <f>'Assets-Liab 5-6'!M17</f>
        <v>31943746</v>
      </c>
      <c r="D274" s="2" t="str">
        <f t="shared" si="3"/>
        <v>Error?</v>
      </c>
    </row>
    <row r="275" spans="1:4" x14ac:dyDescent="0.2">
      <c r="A275" s="5">
        <v>214</v>
      </c>
      <c r="B275" s="138">
        <f>'Assets-Liab 5-6'!M18</f>
        <v>236754</v>
      </c>
      <c r="D275" s="2" t="str">
        <f t="shared" si="3"/>
        <v>Error?</v>
      </c>
    </row>
    <row r="276" spans="1:4" x14ac:dyDescent="0.2">
      <c r="A276" s="5">
        <v>215</v>
      </c>
      <c r="B276" s="138">
        <f>'Assets-Liab 5-6'!M19</f>
        <v>2881827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38045761</v>
      </c>
      <c r="C279" s="2" t="s">
        <v>573</v>
      </c>
      <c r="D279" s="2" t="str">
        <f t="shared" si="3"/>
        <v>Error?</v>
      </c>
    </row>
    <row r="280" spans="1:4" x14ac:dyDescent="0.2">
      <c r="A280" s="5">
        <v>219</v>
      </c>
      <c r="B280" s="138">
        <f>'Assets-Liab 5-6'!M40</f>
        <v>38045761</v>
      </c>
      <c r="D280" s="2" t="str">
        <f t="shared" si="3"/>
        <v>Error?</v>
      </c>
    </row>
    <row r="281" spans="1:4" x14ac:dyDescent="0.2">
      <c r="A281" s="5">
        <v>220</v>
      </c>
      <c r="B281" s="138">
        <f>'Assets-Liab 5-6'!M41</f>
        <v>38045761</v>
      </c>
      <c r="C281" s="2" t="s">
        <v>573</v>
      </c>
      <c r="D281" s="2" t="str">
        <f t="shared" si="3"/>
        <v>Error?</v>
      </c>
    </row>
    <row r="282" spans="1:4" x14ac:dyDescent="0.2">
      <c r="A282" s="5">
        <v>221</v>
      </c>
      <c r="B282" s="138">
        <f>'Assets-Liab 5-6'!N21</f>
        <v>45415</v>
      </c>
      <c r="D282" s="2" t="str">
        <f t="shared" si="3"/>
        <v>Error?</v>
      </c>
    </row>
    <row r="283" spans="1:4" x14ac:dyDescent="0.2">
      <c r="A283" s="5">
        <v>222</v>
      </c>
      <c r="B283" s="138">
        <f>'Assets-Liab 5-6'!N22</f>
        <v>18189585</v>
      </c>
      <c r="D283" s="2" t="str">
        <f t="shared" si="3"/>
        <v>Error?</v>
      </c>
    </row>
    <row r="284" spans="1:4" x14ac:dyDescent="0.2">
      <c r="A284" s="5">
        <v>223</v>
      </c>
      <c r="B284" s="138">
        <f>'Assets-Liab 5-6'!N23</f>
        <v>18235000</v>
      </c>
      <c r="C284" s="2" t="s">
        <v>573</v>
      </c>
      <c r="D284" s="2" t="str">
        <f t="shared" si="3"/>
        <v>Error?</v>
      </c>
    </row>
    <row r="285" spans="1:4" x14ac:dyDescent="0.2">
      <c r="A285" s="5">
        <v>224</v>
      </c>
      <c r="B285" s="138">
        <f>'Assets-Liab 5-6'!N36</f>
        <v>18235000</v>
      </c>
      <c r="D285" s="2" t="str">
        <f t="shared" si="3"/>
        <v>Error?</v>
      </c>
    </row>
    <row r="286" spans="1:4" x14ac:dyDescent="0.2">
      <c r="A286" s="10">
        <v>225</v>
      </c>
      <c r="D286" s="2" t="str">
        <f t="shared" si="3"/>
        <v>OK</v>
      </c>
    </row>
    <row r="287" spans="1:4" x14ac:dyDescent="0.2">
      <c r="A287" s="5">
        <v>226</v>
      </c>
      <c r="B287" s="138">
        <f>'Assets-Liab 5-6'!N37</f>
        <v>18235000</v>
      </c>
      <c r="C287" s="2" t="s">
        <v>573</v>
      </c>
      <c r="D287" s="2" t="str">
        <f t="shared" si="3"/>
        <v>Error?</v>
      </c>
    </row>
    <row r="288" spans="1:4" x14ac:dyDescent="0.2">
      <c r="A288" s="5">
        <v>227</v>
      </c>
      <c r="B288" s="138">
        <f>'Assets-Liab 5-6'!N41</f>
        <v>18235000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5325514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426861</v>
      </c>
      <c r="D718" s="2" t="str">
        <f t="shared" si="10"/>
        <v>Error?</v>
      </c>
    </row>
    <row r="719" spans="1:4" x14ac:dyDescent="0.2">
      <c r="A719" s="5">
        <v>658</v>
      </c>
      <c r="B719" s="138">
        <f>'Expenditures 15-22'!C15</f>
        <v>24614</v>
      </c>
      <c r="D719" s="2" t="str">
        <f t="shared" si="10"/>
        <v>Error?</v>
      </c>
    </row>
    <row r="720" spans="1:4" x14ac:dyDescent="0.2">
      <c r="A720" s="5">
        <v>659</v>
      </c>
      <c r="B720" s="138">
        <f>'Expenditures 15-22'!C33</f>
        <v>7702539</v>
      </c>
      <c r="C720" s="2" t="s">
        <v>573</v>
      </c>
      <c r="D720" s="2" t="str">
        <f t="shared" si="10"/>
        <v>Error?</v>
      </c>
    </row>
    <row r="721" spans="1:4" x14ac:dyDescent="0.2">
      <c r="A721" s="5">
        <v>660</v>
      </c>
      <c r="B721" s="138">
        <f>'Expenditures 15-22'!C36</f>
        <v>304291</v>
      </c>
      <c r="D721" s="2" t="str">
        <f t="shared" si="10"/>
        <v>Error?</v>
      </c>
    </row>
    <row r="722" spans="1:4" x14ac:dyDescent="0.2">
      <c r="A722" s="5">
        <v>661</v>
      </c>
      <c r="B722" s="138">
        <f>'Expenditures 15-22'!C37</f>
        <v>321817</v>
      </c>
      <c r="D722" s="2" t="str">
        <f t="shared" si="10"/>
        <v>Error?</v>
      </c>
    </row>
    <row r="723" spans="1:4" x14ac:dyDescent="0.2">
      <c r="A723" s="5">
        <v>662</v>
      </c>
      <c r="B723" s="138">
        <f>'Expenditures 15-22'!C38</f>
        <v>70303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696411</v>
      </c>
      <c r="C727" s="2" t="s">
        <v>573</v>
      </c>
      <c r="D727" s="2" t="str">
        <f t="shared" si="10"/>
        <v>Error?</v>
      </c>
    </row>
    <row r="728" spans="1:4" x14ac:dyDescent="0.2">
      <c r="A728" s="5">
        <v>667</v>
      </c>
      <c r="B728" s="138">
        <f>'Expenditures 15-22'!C44</f>
        <v>21181</v>
      </c>
      <c r="D728" s="2" t="str">
        <f t="shared" si="10"/>
        <v>Error?</v>
      </c>
    </row>
    <row r="729" spans="1:4" x14ac:dyDescent="0.2">
      <c r="A729" s="5">
        <v>668</v>
      </c>
      <c r="B729" s="138">
        <f>'Expenditures 15-22'!C45</f>
        <v>104347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125528</v>
      </c>
      <c r="C731" s="2" t="s">
        <v>573</v>
      </c>
      <c r="D731" s="2" t="str">
        <f t="shared" si="10"/>
        <v>Error?</v>
      </c>
    </row>
    <row r="732" spans="1:4" x14ac:dyDescent="0.2">
      <c r="A732" s="5">
        <v>671</v>
      </c>
      <c r="B732" s="138">
        <f>'Expenditures 15-22'!C49</f>
        <v>3069</v>
      </c>
      <c r="D732" s="2" t="str">
        <f t="shared" si="10"/>
        <v>Error?</v>
      </c>
    </row>
    <row r="733" spans="1:4" x14ac:dyDescent="0.2">
      <c r="A733" s="5">
        <v>672</v>
      </c>
      <c r="B733" s="138">
        <f>'Expenditures 15-22'!C50</f>
        <v>244575</v>
      </c>
      <c r="D733" s="2" t="str">
        <f t="shared" si="10"/>
        <v>Error?</v>
      </c>
    </row>
    <row r="734" spans="1:4" x14ac:dyDescent="0.2">
      <c r="A734" s="5">
        <v>673</v>
      </c>
      <c r="B734" s="138">
        <f>'Expenditures 15-22'!C53</f>
        <v>247644</v>
      </c>
      <c r="C734" s="2" t="s">
        <v>573</v>
      </c>
      <c r="D734" s="2" t="str">
        <f t="shared" si="10"/>
        <v>Error?</v>
      </c>
    </row>
    <row r="735" spans="1:4" x14ac:dyDescent="0.2">
      <c r="A735" s="5">
        <v>674</v>
      </c>
      <c r="B735" s="138">
        <f>'Expenditures 15-22'!C55</f>
        <v>172435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172435</v>
      </c>
      <c r="C737" s="2" t="s">
        <v>573</v>
      </c>
      <c r="D737" s="2" t="str">
        <f t="shared" si="10"/>
        <v>Error?</v>
      </c>
    </row>
    <row r="738" spans="1:4" x14ac:dyDescent="0.2">
      <c r="A738" s="5">
        <v>677</v>
      </c>
      <c r="B738" s="138">
        <f>'Expenditures 15-22'!C59</f>
        <v>75465</v>
      </c>
      <c r="D738" s="2" t="str">
        <f t="shared" si="10"/>
        <v>Error?</v>
      </c>
    </row>
    <row r="739" spans="1:4" x14ac:dyDescent="0.2">
      <c r="A739" s="5">
        <v>678</v>
      </c>
      <c r="B739" s="138">
        <f>'Expenditures 15-22'!C60</f>
        <v>99415</v>
      </c>
      <c r="D739" s="2" t="str">
        <f t="shared" si="10"/>
        <v>Error?</v>
      </c>
    </row>
    <row r="740" spans="1:4" x14ac:dyDescent="0.2">
      <c r="A740" s="5">
        <v>679</v>
      </c>
      <c r="B740" s="138">
        <f>'Expenditures 15-22'!C61</f>
        <v>381746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192041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748667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191597</v>
      </c>
      <c r="D751" s="2" t="str">
        <f t="shared" si="10"/>
        <v>Error?</v>
      </c>
    </row>
    <row r="752" spans="1:4" x14ac:dyDescent="0.2">
      <c r="A752" s="10">
        <v>691</v>
      </c>
      <c r="D752" s="2" t="str">
        <f t="shared" si="10"/>
        <v>OK</v>
      </c>
    </row>
    <row r="753" spans="1:4" x14ac:dyDescent="0.2">
      <c r="A753" s="5">
        <v>692</v>
      </c>
      <c r="B753" s="138">
        <f>'Expenditures 15-22'!C72</f>
        <v>191597</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2182282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9884821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1496307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55528</v>
      </c>
      <c r="D776" s="2" t="str">
        <f t="shared" si="11"/>
        <v>Error?</v>
      </c>
    </row>
    <row r="777" spans="1:4" x14ac:dyDescent="0.2">
      <c r="A777" s="5">
        <v>716</v>
      </c>
      <c r="B777" s="138">
        <f>'Expenditures 15-22'!D15</f>
        <v>2208</v>
      </c>
      <c r="D777" s="2" t="str">
        <f t="shared" si="11"/>
        <v>Error?</v>
      </c>
    </row>
    <row r="778" spans="1:4" x14ac:dyDescent="0.2">
      <c r="A778" s="5">
        <v>717</v>
      </c>
      <c r="B778" s="138">
        <f>'Expenditures 15-22'!D33</f>
        <v>2209175</v>
      </c>
      <c r="C778" s="2" t="s">
        <v>573</v>
      </c>
      <c r="D778" s="2" t="str">
        <f t="shared" si="11"/>
        <v>Error?</v>
      </c>
    </row>
    <row r="779" spans="1:4" x14ac:dyDescent="0.2">
      <c r="A779" s="5">
        <v>718</v>
      </c>
      <c r="B779" s="138">
        <f>'Expenditures 15-22'!D36</f>
        <v>73297</v>
      </c>
      <c r="D779" s="2" t="str">
        <f t="shared" si="11"/>
        <v>Error?</v>
      </c>
    </row>
    <row r="780" spans="1:4" x14ac:dyDescent="0.2">
      <c r="A780" s="5">
        <v>719</v>
      </c>
      <c r="B780" s="138">
        <f>'Expenditures 15-22'!D37</f>
        <v>66242</v>
      </c>
      <c r="D780" s="2" t="str">
        <f t="shared" si="11"/>
        <v>Error?</v>
      </c>
    </row>
    <row r="781" spans="1:4" x14ac:dyDescent="0.2">
      <c r="A781" s="5">
        <v>720</v>
      </c>
      <c r="B781" s="138">
        <f>'Expenditures 15-22'!D38</f>
        <v>21102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160641</v>
      </c>
      <c r="C785" s="2" t="s">
        <v>573</v>
      </c>
      <c r="D785" s="2" t="str">
        <f t="shared" si="11"/>
        <v>Error?</v>
      </c>
    </row>
    <row r="786" spans="1:4" x14ac:dyDescent="0.2">
      <c r="A786" s="5">
        <v>725</v>
      </c>
      <c r="B786" s="138">
        <f>'Expenditures 15-22'!D44</f>
        <v>46164</v>
      </c>
      <c r="D786" s="2" t="str">
        <f t="shared" si="11"/>
        <v>Error?</v>
      </c>
    </row>
    <row r="787" spans="1:4" x14ac:dyDescent="0.2">
      <c r="A787" s="5">
        <v>726</v>
      </c>
      <c r="B787" s="138">
        <f>'Expenditures 15-22'!D45</f>
        <v>27867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74031</v>
      </c>
      <c r="C789" s="2" t="s">
        <v>573</v>
      </c>
      <c r="D789" s="2" t="str">
        <f t="shared" si="11"/>
        <v>Error?</v>
      </c>
    </row>
    <row r="790" spans="1:4" x14ac:dyDescent="0.2">
      <c r="A790" s="5">
        <v>729</v>
      </c>
      <c r="B790" s="138">
        <f>'Expenditures 15-22'!D49</f>
        <v>3609</v>
      </c>
      <c r="D790" s="2" t="str">
        <f t="shared" si="11"/>
        <v>Error?</v>
      </c>
    </row>
    <row r="791" spans="1:4" x14ac:dyDescent="0.2">
      <c r="A791" s="5">
        <v>730</v>
      </c>
      <c r="B791" s="138">
        <f>'Expenditures 15-22'!D50</f>
        <v>83996</v>
      </c>
      <c r="D791" s="2" t="str">
        <f t="shared" si="11"/>
        <v>Error?</v>
      </c>
    </row>
    <row r="792" spans="1:4" x14ac:dyDescent="0.2">
      <c r="A792" s="5">
        <v>731</v>
      </c>
      <c r="B792" s="138">
        <f>'Expenditures 15-22'!D53</f>
        <v>87605</v>
      </c>
      <c r="C792" s="2" t="s">
        <v>573</v>
      </c>
      <c r="D792" s="2" t="str">
        <f t="shared" si="11"/>
        <v>Error?</v>
      </c>
    </row>
    <row r="793" spans="1:4" x14ac:dyDescent="0.2">
      <c r="A793" s="5">
        <v>732</v>
      </c>
      <c r="B793" s="138">
        <f>'Expenditures 15-22'!D55</f>
        <v>45109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45109</v>
      </c>
      <c r="C795" s="2" t="s">
        <v>573</v>
      </c>
      <c r="D795" s="2" t="str">
        <f t="shared" si="11"/>
        <v>Error?</v>
      </c>
    </row>
    <row r="796" spans="1:4" x14ac:dyDescent="0.2">
      <c r="A796" s="5">
        <v>735</v>
      </c>
      <c r="B796" s="138">
        <f>'Expenditures 15-22'!D59</f>
        <v>23085</v>
      </c>
      <c r="D796" s="2" t="str">
        <f t="shared" si="11"/>
        <v>Error?</v>
      </c>
    </row>
    <row r="797" spans="1:4" x14ac:dyDescent="0.2">
      <c r="A797" s="5">
        <v>736</v>
      </c>
      <c r="B797" s="138">
        <f>'Expenditures 15-22'!D60</f>
        <v>14772</v>
      </c>
      <c r="D797" s="2" t="str">
        <f t="shared" si="11"/>
        <v>Error?</v>
      </c>
    </row>
    <row r="798" spans="1:4" x14ac:dyDescent="0.2">
      <c r="A798" s="5">
        <v>737</v>
      </c>
      <c r="B798" s="138">
        <f>'Expenditures 15-22'!D61</f>
        <v>104900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50219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192976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49304</v>
      </c>
      <c r="D809" s="2" t="str">
        <f t="shared" si="11"/>
        <v>Error?</v>
      </c>
    </row>
    <row r="810" spans="1:4" x14ac:dyDescent="0.2">
      <c r="A810" s="10">
        <v>749</v>
      </c>
      <c r="D810" s="2" t="str">
        <f t="shared" si="11"/>
        <v>OK</v>
      </c>
    </row>
    <row r="811" spans="1:4" x14ac:dyDescent="0.2">
      <c r="A811" s="5">
        <v>750</v>
      </c>
      <c r="B811" s="138">
        <f>'Expenditures 15-22'!D72</f>
        <v>49304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609666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2818841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103796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81925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220424</v>
      </c>
      <c r="C836" s="2" t="s">
        <v>573</v>
      </c>
      <c r="D836" s="2" t="str">
        <f t="shared" si="12"/>
        <v>Error?</v>
      </c>
    </row>
    <row r="837" spans="1:4" x14ac:dyDescent="0.2">
      <c r="A837" s="5">
        <v>776</v>
      </c>
      <c r="B837" s="138">
        <f>'Expenditures 15-22'!E36</f>
        <v>220</v>
      </c>
      <c r="D837" s="2" t="str">
        <f t="shared" si="12"/>
        <v>Error?</v>
      </c>
    </row>
    <row r="838" spans="1:4" x14ac:dyDescent="0.2">
      <c r="A838" s="5">
        <v>777</v>
      </c>
      <c r="B838" s="138">
        <f>'Expenditures 15-22'!E37</f>
        <v>91</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311</v>
      </c>
      <c r="C843" s="2" t="s">
        <v>573</v>
      </c>
      <c r="D843" s="2" t="str">
        <f t="shared" si="12"/>
        <v>Error?</v>
      </c>
    </row>
    <row r="844" spans="1:4" x14ac:dyDescent="0.2">
      <c r="A844" s="5">
        <v>783</v>
      </c>
      <c r="B844" s="138">
        <f>'Expenditures 15-22'!E44</f>
        <v>59089</v>
      </c>
      <c r="D844" s="2" t="str">
        <f t="shared" si="12"/>
        <v>Error?</v>
      </c>
    </row>
    <row r="845" spans="1:4" x14ac:dyDescent="0.2">
      <c r="A845" s="5">
        <v>784</v>
      </c>
      <c r="B845" s="138">
        <f>'Expenditures 15-22'!E45</f>
        <v>614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59703</v>
      </c>
      <c r="C847" s="2" t="s">
        <v>573</v>
      </c>
      <c r="D847" s="2" t="str">
        <f t="shared" si="12"/>
        <v>Error?</v>
      </c>
    </row>
    <row r="848" spans="1:4" x14ac:dyDescent="0.2">
      <c r="A848" s="5">
        <v>787</v>
      </c>
      <c r="B848" s="138">
        <f>'Expenditures 15-22'!E49</f>
        <v>75683</v>
      </c>
      <c r="D848" s="2" t="str">
        <f t="shared" si="12"/>
        <v>Error?</v>
      </c>
    </row>
    <row r="849" spans="1:4" x14ac:dyDescent="0.2">
      <c r="A849" s="5">
        <v>788</v>
      </c>
      <c r="B849" s="138">
        <f>'Expenditures 15-22'!E50</f>
        <v>2615</v>
      </c>
      <c r="D849" s="2" t="str">
        <f t="shared" si="12"/>
        <v>Error?</v>
      </c>
    </row>
    <row r="850" spans="1:4" x14ac:dyDescent="0.2">
      <c r="A850" s="5">
        <v>789</v>
      </c>
      <c r="B850" s="138">
        <f>'Expenditures 15-22'!E53</f>
        <v>78298</v>
      </c>
      <c r="C850" s="2" t="s">
        <v>573</v>
      </c>
      <c r="D850" s="2" t="str">
        <f t="shared" si="12"/>
        <v>Error?</v>
      </c>
    </row>
    <row r="851" spans="1:4" x14ac:dyDescent="0.2">
      <c r="A851" s="5">
        <v>790</v>
      </c>
      <c r="B851" s="138">
        <f>'Expenditures 15-22'!E55</f>
        <v>406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406</v>
      </c>
      <c r="C853" s="2" t="s">
        <v>573</v>
      </c>
      <c r="D853" s="2" t="str">
        <f t="shared" si="12"/>
        <v>Error?</v>
      </c>
    </row>
    <row r="854" spans="1:4" x14ac:dyDescent="0.2">
      <c r="A854" s="5">
        <v>793</v>
      </c>
      <c r="B854" s="138">
        <f>'Expenditures 15-22'!E59</f>
        <v>1198</v>
      </c>
      <c r="D854" s="2" t="str">
        <f t="shared" si="12"/>
        <v>Error?</v>
      </c>
    </row>
    <row r="855" spans="1:4" x14ac:dyDescent="0.2">
      <c r="A855" s="5">
        <v>794</v>
      </c>
      <c r="B855" s="138">
        <f>'Expenditures 15-22'!E60</f>
        <v>20</v>
      </c>
      <c r="D855" s="2" t="str">
        <f t="shared" si="12"/>
        <v>Error?</v>
      </c>
    </row>
    <row r="856" spans="1:4" x14ac:dyDescent="0.2">
      <c r="A856" s="5">
        <v>795</v>
      </c>
      <c r="B856" s="138">
        <f>'Expenditures 15-22'!E61</f>
        <v>35833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751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37802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118962</v>
      </c>
      <c r="D867" s="2" t="str">
        <f t="shared" si="12"/>
        <v>Error?</v>
      </c>
    </row>
    <row r="868" spans="1:4" x14ac:dyDescent="0.2">
      <c r="A868" s="10">
        <v>807</v>
      </c>
      <c r="D868" s="2" t="str">
        <f t="shared" si="12"/>
        <v>OK</v>
      </c>
    </row>
    <row r="869" spans="1:4" x14ac:dyDescent="0.2">
      <c r="A869" s="5">
        <v>808</v>
      </c>
      <c r="B869" s="138">
        <f>'Expenditures 15-22'!E72</f>
        <v>118962</v>
      </c>
      <c r="C869" s="2" t="s">
        <v>573</v>
      </c>
      <c r="D869" s="2" t="str">
        <f t="shared" si="12"/>
        <v>Error?</v>
      </c>
    </row>
    <row r="870" spans="1:4" x14ac:dyDescent="0.2">
      <c r="A870" s="5">
        <v>809</v>
      </c>
      <c r="B870" s="138">
        <f>'Expenditures 15-22'!E73</f>
        <v>14754</v>
      </c>
      <c r="D870" s="2" t="str">
        <f t="shared" si="12"/>
        <v>Error?</v>
      </c>
    </row>
    <row r="871" spans="1:4" x14ac:dyDescent="0.2">
      <c r="A871" s="5">
        <v>810</v>
      </c>
      <c r="B871" s="138">
        <f>'Expenditures 15-22'!E74</f>
        <v>310236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672039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190522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46593</v>
      </c>
      <c r="D892" s="2" t="str">
        <f t="shared" si="12"/>
        <v>Error?</v>
      </c>
    </row>
    <row r="893" spans="1:4" x14ac:dyDescent="0.2">
      <c r="A893" s="5">
        <v>832</v>
      </c>
      <c r="B893" s="138">
        <f>'Expenditures 15-22'!F15</f>
        <v>12</v>
      </c>
      <c r="D893" s="2" t="str">
        <f t="shared" si="12"/>
        <v>Error?</v>
      </c>
    </row>
    <row r="894" spans="1:4" x14ac:dyDescent="0.2">
      <c r="A894" s="5">
        <v>833</v>
      </c>
      <c r="B894" s="138">
        <f>'Expenditures 15-22'!F33</f>
        <v>263269</v>
      </c>
      <c r="C894" s="2" t="s">
        <v>573</v>
      </c>
      <c r="D894" s="2" t="str">
        <f t="shared" si="12"/>
        <v>Error?</v>
      </c>
    </row>
    <row r="895" spans="1:4" x14ac:dyDescent="0.2">
      <c r="A895" s="5">
        <v>834</v>
      </c>
      <c r="B895" s="138">
        <f>'Expenditures 15-22'!F36</f>
        <v>1787</v>
      </c>
      <c r="D895" s="2" t="str">
        <f t="shared" ref="D895:D958" si="13">IF(ISBLANK(B895),"OK",IF(A895-B895=0,"OK","Error?"))</f>
        <v>Error?</v>
      </c>
    </row>
    <row r="896" spans="1:4" x14ac:dyDescent="0.2">
      <c r="A896" s="5">
        <v>835</v>
      </c>
      <c r="B896" s="138">
        <f>'Expenditures 15-22'!F37</f>
        <v>57832</v>
      </c>
      <c r="D896" s="2" t="str">
        <f t="shared" si="13"/>
        <v>Error?</v>
      </c>
    </row>
    <row r="897" spans="1:4" x14ac:dyDescent="0.2">
      <c r="A897" s="5">
        <v>836</v>
      </c>
      <c r="B897" s="138">
        <f>'Expenditures 15-22'!F38</f>
        <v>2833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62452</v>
      </c>
      <c r="C901" s="2" t="s">
        <v>573</v>
      </c>
      <c r="D901" s="2" t="str">
        <f t="shared" si="13"/>
        <v>Error?</v>
      </c>
    </row>
    <row r="902" spans="1:4" x14ac:dyDescent="0.2">
      <c r="A902" s="5">
        <v>841</v>
      </c>
      <c r="B902" s="138">
        <f>'Expenditures 15-22'!F44</f>
        <v>3462</v>
      </c>
      <c r="D902" s="2" t="str">
        <f t="shared" si="13"/>
        <v>Error?</v>
      </c>
    </row>
    <row r="903" spans="1:4" x14ac:dyDescent="0.2">
      <c r="A903" s="5">
        <v>842</v>
      </c>
      <c r="B903" s="138">
        <f>'Expenditures 15-22'!F45</f>
        <v>21468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24930</v>
      </c>
      <c r="C905" s="2" t="s">
        <v>573</v>
      </c>
      <c r="D905" s="2" t="str">
        <f t="shared" si="13"/>
        <v>Error?</v>
      </c>
    </row>
    <row r="906" spans="1:4" x14ac:dyDescent="0.2">
      <c r="A906" s="5">
        <v>845</v>
      </c>
      <c r="B906" s="138">
        <f>'Expenditures 15-22'!F49</f>
        <v>9336</v>
      </c>
      <c r="D906" s="2" t="str">
        <f t="shared" si="13"/>
        <v>Error?</v>
      </c>
    </row>
    <row r="907" spans="1:4" x14ac:dyDescent="0.2">
      <c r="A907" s="5">
        <v>846</v>
      </c>
      <c r="B907" s="138">
        <f>'Expenditures 15-22'!F50</f>
        <v>2486</v>
      </c>
      <c r="D907" s="2" t="str">
        <f t="shared" si="13"/>
        <v>Error?</v>
      </c>
    </row>
    <row r="908" spans="1:4" x14ac:dyDescent="0.2">
      <c r="A908" s="5">
        <v>847</v>
      </c>
      <c r="B908" s="138">
        <f>'Expenditures 15-22'!F53</f>
        <v>11822</v>
      </c>
      <c r="C908" s="2" t="s">
        <v>573</v>
      </c>
      <c r="D908" s="2" t="str">
        <f t="shared" si="13"/>
        <v>Error?</v>
      </c>
    </row>
    <row r="909" spans="1:4" x14ac:dyDescent="0.2">
      <c r="A909" s="5">
        <v>848</v>
      </c>
      <c r="B909" s="138">
        <f>'Expenditures 15-22'!F55</f>
        <v>2123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2123</v>
      </c>
      <c r="C911" s="2" t="s">
        <v>573</v>
      </c>
      <c r="D911" s="2" t="str">
        <f t="shared" si="13"/>
        <v>Error?</v>
      </c>
    </row>
    <row r="912" spans="1:4" x14ac:dyDescent="0.2">
      <c r="A912" s="5">
        <v>851</v>
      </c>
      <c r="B912" s="138">
        <f>'Expenditures 15-22'!F59</f>
        <v>2023</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371715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373738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13779</v>
      </c>
      <c r="D925" s="2" t="str">
        <f t="shared" si="13"/>
        <v>Error?</v>
      </c>
    </row>
    <row r="926" spans="1:4" x14ac:dyDescent="0.2">
      <c r="A926" s="10">
        <v>865</v>
      </c>
      <c r="D926" s="2" t="str">
        <f t="shared" si="13"/>
        <v>OK</v>
      </c>
    </row>
    <row r="927" spans="1:4" x14ac:dyDescent="0.2">
      <c r="A927" s="5">
        <v>866</v>
      </c>
      <c r="B927" s="138">
        <f>'Expenditures 15-22'!F72</f>
        <v>13779</v>
      </c>
      <c r="C927" s="2" t="s">
        <v>573</v>
      </c>
      <c r="D927" s="2" t="str">
        <f t="shared" si="13"/>
        <v>Error?</v>
      </c>
    </row>
    <row r="928" spans="1:4" x14ac:dyDescent="0.2">
      <c r="A928" s="5">
        <v>867</v>
      </c>
      <c r="B928" s="138">
        <f>'Expenditures 15-22'!F73</f>
        <v>24611</v>
      </c>
      <c r="D928" s="2" t="str">
        <f t="shared" si="13"/>
        <v>Error?</v>
      </c>
    </row>
    <row r="929" spans="1:4" x14ac:dyDescent="0.2">
      <c r="A929" s="5">
        <v>868</v>
      </c>
      <c r="B929" s="138">
        <f>'Expenditures 15-22'!F74</f>
        <v>513455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776724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22019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33718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58823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2220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2220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239545</v>
      </c>
      <c r="D983" s="2" t="str">
        <f t="shared" si="14"/>
        <v>Error?</v>
      </c>
    </row>
    <row r="984" spans="1:4" x14ac:dyDescent="0.2">
      <c r="A984" s="10">
        <v>923</v>
      </c>
      <c r="D984" s="2" t="str">
        <f t="shared" si="14"/>
        <v>OK</v>
      </c>
    </row>
    <row r="985" spans="1:4" x14ac:dyDescent="0.2">
      <c r="A985" s="5">
        <v>924</v>
      </c>
      <c r="B985" s="138">
        <f>'Expenditures 15-22'!G72</f>
        <v>239545</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241765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300588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18022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367802</v>
      </c>
      <c r="C1010" s="2" t="s">
        <v>573</v>
      </c>
      <c r="D1010" s="2" t="str">
        <f t="shared" si="14"/>
        <v>Error?</v>
      </c>
    </row>
    <row r="1011" spans="1:4" x14ac:dyDescent="0.2">
      <c r="A1011" s="5">
        <v>950</v>
      </c>
      <c r="B1011" s="138">
        <f>'Expenditures 15-22'!H36</f>
        <v>1182</v>
      </c>
      <c r="D1011" s="2" t="str">
        <f t="shared" si="14"/>
        <v>Error?</v>
      </c>
    </row>
    <row r="1012" spans="1:4" x14ac:dyDescent="0.2">
      <c r="A1012" s="5">
        <v>951</v>
      </c>
      <c r="B1012" s="138">
        <f>'Expenditures 15-22'!H37</f>
        <v>20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1202</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808</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808</v>
      </c>
      <c r="C1021" s="2" t="s">
        <v>573</v>
      </c>
      <c r="D1021" s="2" t="str">
        <f t="shared" si="14"/>
        <v>Error?</v>
      </c>
    </row>
    <row r="1022" spans="1:4" x14ac:dyDescent="0.2">
      <c r="A1022" s="5">
        <v>961</v>
      </c>
      <c r="B1022" s="138">
        <f>'Expenditures 15-22'!H49</f>
        <v>23098</v>
      </c>
      <c r="D1022" s="2" t="str">
        <f t="shared" si="14"/>
        <v>Error?</v>
      </c>
    </row>
    <row r="1023" spans="1:4" x14ac:dyDescent="0.2">
      <c r="A1023" s="5">
        <v>962</v>
      </c>
      <c r="B1023" s="138">
        <f>'Expenditures 15-22'!H50</f>
        <v>3738</v>
      </c>
      <c r="D1023" s="2" t="str">
        <f t="shared" ref="D1023:D1086" si="15">IF(ISBLANK(B1023),"OK",IF(A1023-B1023=0,"OK","Error?"))</f>
        <v>Error?</v>
      </c>
    </row>
    <row r="1024" spans="1:4" x14ac:dyDescent="0.2">
      <c r="A1024" s="5">
        <v>963</v>
      </c>
      <c r="B1024" s="138">
        <f>'Expenditures 15-22'!H53</f>
        <v>26836</v>
      </c>
      <c r="C1024" s="2" t="s">
        <v>573</v>
      </c>
      <c r="D1024" s="2" t="str">
        <f t="shared" si="15"/>
        <v>Error?</v>
      </c>
    </row>
    <row r="1025" spans="1:4" x14ac:dyDescent="0.2">
      <c r="A1025" s="5">
        <v>964</v>
      </c>
      <c r="B1025" s="138">
        <f>'Expenditures 15-22'!H55</f>
        <v>395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395</v>
      </c>
      <c r="C1027" s="2" t="s">
        <v>573</v>
      </c>
      <c r="D1027" s="2" t="str">
        <f t="shared" si="15"/>
        <v>Error?</v>
      </c>
    </row>
    <row r="1028" spans="1:4" x14ac:dyDescent="0.2">
      <c r="A1028" s="5">
        <v>967</v>
      </c>
      <c r="B1028" s="138">
        <f>'Expenditures 15-22'!H59</f>
        <v>3365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1125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4490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33731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139644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541177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7138158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662647</v>
      </c>
      <c r="C1106" s="2" t="s">
        <v>573</v>
      </c>
      <c r="D1106" s="2" t="str">
        <f t="shared" si="16"/>
        <v>Error?</v>
      </c>
    </row>
    <row r="1107" spans="1:4" x14ac:dyDescent="0.2">
      <c r="A1107" s="5">
        <v>1046</v>
      </c>
      <c r="B1107" s="138">
        <f>'Expenditures 15-22'!K15</f>
        <v>26834</v>
      </c>
      <c r="C1107" s="2" t="s">
        <v>573</v>
      </c>
      <c r="D1107" s="2" t="str">
        <f t="shared" si="16"/>
        <v>Error?</v>
      </c>
    </row>
    <row r="1108" spans="1:4" x14ac:dyDescent="0.2">
      <c r="A1108" s="5">
        <v>1047</v>
      </c>
      <c r="B1108" s="138">
        <f>'Expenditures 15-22'!K33</f>
        <v>10822032</v>
      </c>
      <c r="C1108" s="2" t="s">
        <v>573</v>
      </c>
      <c r="D1108" s="2" t="str">
        <f t="shared" si="16"/>
        <v>Error?</v>
      </c>
    </row>
    <row r="1109" spans="1:4" x14ac:dyDescent="0.2">
      <c r="A1109" s="5">
        <v>1048</v>
      </c>
      <c r="B1109" s="138">
        <f>'Expenditures 15-22'!K36</f>
        <v>380777</v>
      </c>
      <c r="C1109" s="2" t="s">
        <v>573</v>
      </c>
      <c r="D1109" s="2" t="str">
        <f t="shared" si="16"/>
        <v>Error?</v>
      </c>
    </row>
    <row r="1110" spans="1:4" x14ac:dyDescent="0.2">
      <c r="A1110" s="5">
        <v>1049</v>
      </c>
      <c r="B1110" s="138">
        <f>'Expenditures 15-22'!K37</f>
        <v>446002</v>
      </c>
      <c r="C1110" s="2" t="s">
        <v>573</v>
      </c>
      <c r="D1110" s="2" t="str">
        <f t="shared" si="16"/>
        <v>Error?</v>
      </c>
    </row>
    <row r="1111" spans="1:4" x14ac:dyDescent="0.2">
      <c r="A1111" s="5">
        <v>1050</v>
      </c>
      <c r="B1111" s="138">
        <f>'Expenditures 15-22'!K38</f>
        <v>94238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921017</v>
      </c>
      <c r="C1115" s="2" t="s">
        <v>573</v>
      </c>
      <c r="D1115" s="2" t="str">
        <f t="shared" si="16"/>
        <v>Error?</v>
      </c>
    </row>
    <row r="1116" spans="1:4" x14ac:dyDescent="0.2">
      <c r="A1116" s="5">
        <v>1055</v>
      </c>
      <c r="B1116" s="138">
        <f>'Expenditures 15-22'!K44</f>
        <v>129896</v>
      </c>
      <c r="C1116" s="2" t="s">
        <v>573</v>
      </c>
      <c r="D1116" s="2" t="str">
        <f t="shared" si="16"/>
        <v>Error?</v>
      </c>
    </row>
    <row r="1117" spans="1:4" x14ac:dyDescent="0.2">
      <c r="A1117" s="5">
        <v>1056</v>
      </c>
      <c r="B1117" s="138">
        <f>'Expenditures 15-22'!K45</f>
        <v>155104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285000</v>
      </c>
      <c r="C1119" s="2" t="s">
        <v>573</v>
      </c>
      <c r="D1119" s="2" t="str">
        <f t="shared" si="16"/>
        <v>Error?</v>
      </c>
    </row>
    <row r="1120" spans="1:4" x14ac:dyDescent="0.2">
      <c r="A1120" s="5">
        <v>1059</v>
      </c>
      <c r="B1120" s="138">
        <f>'Expenditures 15-22'!K49</f>
        <v>114795</v>
      </c>
      <c r="C1120" s="2" t="s">
        <v>573</v>
      </c>
      <c r="D1120" s="2" t="str">
        <f t="shared" si="16"/>
        <v>Error?</v>
      </c>
    </row>
    <row r="1121" spans="1:4" x14ac:dyDescent="0.2">
      <c r="A1121" s="5">
        <v>1060</v>
      </c>
      <c r="B1121" s="138">
        <f>'Expenditures 15-22'!K50</f>
        <v>337410</v>
      </c>
      <c r="C1121" s="2" t="s">
        <v>573</v>
      </c>
      <c r="D1121" s="2" t="str">
        <f t="shared" si="16"/>
        <v>Error?</v>
      </c>
    </row>
    <row r="1122" spans="1:4" x14ac:dyDescent="0.2">
      <c r="A1122" s="5">
        <v>1061</v>
      </c>
      <c r="B1122" s="138">
        <f>'Expenditures 15-22'!K53</f>
        <v>452205</v>
      </c>
      <c r="C1122" s="2" t="s">
        <v>573</v>
      </c>
      <c r="D1122" s="2" t="str">
        <f t="shared" si="16"/>
        <v>Error?</v>
      </c>
    </row>
    <row r="1123" spans="1:4" x14ac:dyDescent="0.2">
      <c r="A1123" s="5">
        <v>1062</v>
      </c>
      <c r="B1123" s="138">
        <f>'Expenditures 15-22'!K55</f>
        <v>220468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220468</v>
      </c>
      <c r="C1125" s="2" t="s">
        <v>573</v>
      </c>
      <c r="D1125" s="2" t="str">
        <f t="shared" si="16"/>
        <v>Error?</v>
      </c>
    </row>
    <row r="1126" spans="1:4" x14ac:dyDescent="0.2">
      <c r="A1126" s="5">
        <v>1065</v>
      </c>
      <c r="B1126" s="138">
        <f>'Expenditures 15-22'!K59</f>
        <v>105136</v>
      </c>
      <c r="C1126" s="2" t="s">
        <v>573</v>
      </c>
      <c r="D1126" s="2" t="str">
        <f t="shared" si="16"/>
        <v>Error?</v>
      </c>
    </row>
    <row r="1127" spans="1:4" x14ac:dyDescent="0.2">
      <c r="A1127" s="5">
        <v>1066</v>
      </c>
      <c r="B1127" s="138">
        <f>'Expenditures 15-22'!K60</f>
        <v>114207</v>
      </c>
      <c r="C1127" s="2" t="s">
        <v>573</v>
      </c>
      <c r="D1127" s="2" t="str">
        <f t="shared" si="16"/>
        <v>Error?</v>
      </c>
    </row>
    <row r="1128" spans="1:4" x14ac:dyDescent="0.2">
      <c r="A1128" s="5">
        <v>1067</v>
      </c>
      <c r="B1128" s="138">
        <f>'Expenditures 15-22'!K61</f>
        <v>522479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618071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1359893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613187</v>
      </c>
      <c r="C1139" s="2" t="s">
        <v>573</v>
      </c>
      <c r="D1139" s="2" t="str">
        <f t="shared" si="16"/>
        <v>Error?</v>
      </c>
    </row>
    <row r="1140" spans="1:4" x14ac:dyDescent="0.2">
      <c r="A1140" s="10">
        <v>1079</v>
      </c>
      <c r="D1140" s="2" t="str">
        <f t="shared" si="16"/>
        <v>OK</v>
      </c>
    </row>
    <row r="1141" spans="1:4" x14ac:dyDescent="0.2">
      <c r="A1141" s="5">
        <v>1080</v>
      </c>
      <c r="B1141" s="138">
        <f>'Expenditures 15-22'!K72</f>
        <v>613187</v>
      </c>
      <c r="C1141" s="2" t="s">
        <v>573</v>
      </c>
      <c r="D1141" s="2" t="str">
        <f t="shared" si="16"/>
        <v>Error?</v>
      </c>
    </row>
    <row r="1142" spans="1:4" x14ac:dyDescent="0.2">
      <c r="A1142" s="5">
        <v>1081</v>
      </c>
      <c r="B1142" s="138">
        <f>'Expenditures 15-22'!K73</f>
        <v>39365</v>
      </c>
      <c r="C1142" s="2" t="s">
        <v>573</v>
      </c>
      <c r="D1142" s="2" t="str">
        <f t="shared" si="16"/>
        <v>Error?</v>
      </c>
    </row>
    <row r="1143" spans="1:4" x14ac:dyDescent="0.2">
      <c r="A1143" s="5">
        <v>1082</v>
      </c>
      <c r="B1143" s="138">
        <f>'Expenditures 15-22'!K74</f>
        <v>3891135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281023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14994190</v>
      </c>
      <c r="C1152" s="2" t="s">
        <v>573</v>
      </c>
      <c r="D1152" s="2" t="str">
        <f t="shared" si="17"/>
        <v>Error?</v>
      </c>
    </row>
    <row r="1153" spans="1:4" x14ac:dyDescent="0.2">
      <c r="A1153" s="5">
        <v>1092</v>
      </c>
      <c r="B1153" s="138">
        <f>'Expenditures 15-22'!K115</f>
        <v>-648669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48099</v>
      </c>
      <c r="D1221" s="2" t="str">
        <f t="shared" si="18"/>
        <v>Error?</v>
      </c>
    </row>
    <row r="1222" spans="1:4" x14ac:dyDescent="0.2">
      <c r="A1222" s="10">
        <v>1161</v>
      </c>
      <c r="D1222" s="2" t="str">
        <f t="shared" si="18"/>
        <v>OK</v>
      </c>
    </row>
    <row r="1223" spans="1:4" x14ac:dyDescent="0.2">
      <c r="A1223" s="5">
        <v>1162</v>
      </c>
      <c r="B1223" s="138">
        <f>'Expenditures 15-22'!C127</f>
        <v>48099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48099</v>
      </c>
      <c r="C1225" s="2" t="s">
        <v>573</v>
      </c>
      <c r="D1225" s="2" t="str">
        <f t="shared" si="18"/>
        <v>Error?</v>
      </c>
    </row>
    <row r="1226" spans="1:4" x14ac:dyDescent="0.2">
      <c r="A1226" s="5">
        <v>1165</v>
      </c>
      <c r="B1226" s="138">
        <f>'Expenditures 15-22'!C151</f>
        <v>48099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14067</v>
      </c>
      <c r="D1236" s="2" t="str">
        <f t="shared" si="18"/>
        <v>Error?</v>
      </c>
    </row>
    <row r="1237" spans="1:4" x14ac:dyDescent="0.2">
      <c r="A1237" s="5">
        <v>1176</v>
      </c>
      <c r="B1237" s="138">
        <f>'Expenditures 15-22'!E124</f>
        <v>530619</v>
      </c>
      <c r="D1237" s="2" t="str">
        <f t="shared" si="18"/>
        <v>Error?</v>
      </c>
    </row>
    <row r="1238" spans="1:4" x14ac:dyDescent="0.2">
      <c r="A1238" s="10">
        <v>1177</v>
      </c>
      <c r="D1238" s="2" t="str">
        <f t="shared" si="18"/>
        <v>OK</v>
      </c>
    </row>
    <row r="1239" spans="1:4" x14ac:dyDescent="0.2">
      <c r="A1239" s="5">
        <v>1178</v>
      </c>
      <c r="B1239" s="138">
        <f>'Expenditures 15-22'!E127</f>
        <v>544686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544686</v>
      </c>
      <c r="C1241" s="2" t="s">
        <v>573</v>
      </c>
      <c r="D1241" s="2" t="str">
        <f t="shared" si="18"/>
        <v>Error?</v>
      </c>
    </row>
    <row r="1242" spans="1:4" x14ac:dyDescent="0.2">
      <c r="A1242" s="5">
        <v>1181</v>
      </c>
      <c r="B1242" s="138">
        <f>'Expenditures 15-22'!E151</f>
        <v>544686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313996</v>
      </c>
      <c r="D1245" s="2" t="str">
        <f t="shared" si="18"/>
        <v>Error?</v>
      </c>
    </row>
    <row r="1246" spans="1:4" x14ac:dyDescent="0.2">
      <c r="A1246" s="10">
        <v>1185</v>
      </c>
      <c r="D1246" s="2" t="str">
        <f t="shared" si="18"/>
        <v>OK</v>
      </c>
    </row>
    <row r="1247" spans="1:4" x14ac:dyDescent="0.2">
      <c r="A1247" s="5">
        <v>1186</v>
      </c>
      <c r="B1247" s="138">
        <f>'Expenditures 15-22'!F127</f>
        <v>313996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313996</v>
      </c>
      <c r="C1249" s="2" t="s">
        <v>573</v>
      </c>
      <c r="D1249" s="2" t="str">
        <f t="shared" si="18"/>
        <v>Error?</v>
      </c>
    </row>
    <row r="1250" spans="1:4" x14ac:dyDescent="0.2">
      <c r="A1250" s="5">
        <v>1189</v>
      </c>
      <c r="B1250" s="138">
        <f>'Expenditures 15-22'!F151</f>
        <v>313996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360659</v>
      </c>
      <c r="D1252" s="2" t="str">
        <f t="shared" si="18"/>
        <v>Error?</v>
      </c>
    </row>
    <row r="1253" spans="1:4" x14ac:dyDescent="0.2">
      <c r="A1253" s="5">
        <v>1192</v>
      </c>
      <c r="B1253" s="138">
        <f>'Expenditures 15-22'!G124</f>
        <v>44567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405226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405226</v>
      </c>
      <c r="C1258" s="2" t="s">
        <v>573</v>
      </c>
      <c r="D1258" s="2" t="str">
        <f t="shared" si="18"/>
        <v>Error?</v>
      </c>
    </row>
    <row r="1259" spans="1:4" x14ac:dyDescent="0.2">
      <c r="A1259" s="5">
        <v>1198</v>
      </c>
      <c r="B1259" s="138">
        <f>'Expenditures 15-22'!G151</f>
        <v>405226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374726</v>
      </c>
      <c r="C1275" s="2" t="s">
        <v>573</v>
      </c>
      <c r="D1275" s="2" t="str">
        <f t="shared" si="18"/>
        <v>Error?</v>
      </c>
    </row>
    <row r="1276" spans="1:4" x14ac:dyDescent="0.2">
      <c r="A1276" s="5">
        <v>1215</v>
      </c>
      <c r="B1276" s="138">
        <f>'Expenditures 15-22'!K124</f>
        <v>937281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1312007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1312007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1312007</v>
      </c>
      <c r="C1288" s="2" t="s">
        <v>573</v>
      </c>
      <c r="D1288" s="2" t="str">
        <f t="shared" si="19"/>
        <v>Error?</v>
      </c>
    </row>
    <row r="1289" spans="1:4" x14ac:dyDescent="0.2">
      <c r="A1289" s="5">
        <v>1228</v>
      </c>
      <c r="B1289" s="138">
        <f>'Expenditures 15-22'!K152</f>
        <v>990841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2000</v>
      </c>
      <c r="D1307" s="2" t="str">
        <f t="shared" si="19"/>
        <v>Error?</v>
      </c>
    </row>
    <row r="1308" spans="1:4" x14ac:dyDescent="0.2">
      <c r="A1308" s="5">
        <v>1247</v>
      </c>
      <c r="B1308" s="138">
        <f>'Expenditures 15-22'!E172</f>
        <v>2000</v>
      </c>
      <c r="C1308" s="2" t="s">
        <v>573</v>
      </c>
      <c r="D1308" s="2" t="str">
        <f t="shared" si="19"/>
        <v>Error?</v>
      </c>
    </row>
    <row r="1309" spans="1:4" x14ac:dyDescent="0.2">
      <c r="A1309" s="5">
        <v>1248</v>
      </c>
      <c r="B1309" s="138">
        <f>'Expenditures 15-22'!E174</f>
        <v>2000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578565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690000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1268565</v>
      </c>
      <c r="C1317" s="2" t="s">
        <v>573</v>
      </c>
      <c r="D1317" s="2" t="str">
        <f t="shared" si="19"/>
        <v>Error?</v>
      </c>
    </row>
    <row r="1318" spans="1:4" x14ac:dyDescent="0.2">
      <c r="A1318" s="5">
        <v>1257</v>
      </c>
      <c r="B1318" s="138">
        <f>'Expenditures 15-22'!H174</f>
        <v>1268565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578565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690000</v>
      </c>
      <c r="C1329" s="2" t="s">
        <v>573</v>
      </c>
      <c r="D1329" s="2" t="str">
        <f t="shared" si="19"/>
        <v>Error?</v>
      </c>
    </row>
    <row r="1330" spans="1:4" x14ac:dyDescent="0.2">
      <c r="A1330" s="5">
        <v>1269</v>
      </c>
      <c r="B1330" s="138">
        <f>'Expenditures 15-22'!K171</f>
        <v>2000</v>
      </c>
      <c r="C1330" s="2" t="s">
        <v>573</v>
      </c>
      <c r="D1330" s="2" t="str">
        <f t="shared" si="19"/>
        <v>Error?</v>
      </c>
    </row>
    <row r="1331" spans="1:4" x14ac:dyDescent="0.2">
      <c r="A1331" s="5">
        <v>1270</v>
      </c>
      <c r="B1331" s="138">
        <f>'Expenditures 15-22'!K172</f>
        <v>1270565</v>
      </c>
      <c r="C1331" s="2" t="s">
        <v>573</v>
      </c>
      <c r="D1331" s="2" t="str">
        <f t="shared" si="19"/>
        <v>Error?</v>
      </c>
    </row>
    <row r="1332" spans="1:4" x14ac:dyDescent="0.2">
      <c r="A1332" s="5">
        <v>1271</v>
      </c>
      <c r="B1332" s="138">
        <f>'Expenditures 15-22'!K174</f>
        <v>1270565</v>
      </c>
      <c r="C1332" s="2" t="s">
        <v>573</v>
      </c>
      <c r="D1332" s="2" t="str">
        <f t="shared" si="19"/>
        <v>Error?</v>
      </c>
    </row>
    <row r="1333" spans="1:4" x14ac:dyDescent="0.2">
      <c r="A1333" s="5">
        <v>1272</v>
      </c>
      <c r="B1333" s="138">
        <f>'Expenditures 15-22'!K175</f>
        <v>14313</v>
      </c>
      <c r="C1333" s="2" t="s">
        <v>573</v>
      </c>
      <c r="D1333" s="2" t="str">
        <f t="shared" si="19"/>
        <v>Error?</v>
      </c>
    </row>
    <row r="1334" spans="1:4" x14ac:dyDescent="0.2">
      <c r="A1334" s="10">
        <v>1273</v>
      </c>
      <c r="D1334" s="2" t="str">
        <f t="shared" si="19"/>
        <v>OK</v>
      </c>
    </row>
    <row r="1335" spans="1:4" x14ac:dyDescent="0.2">
      <c r="A1335" s="5">
        <v>1274</v>
      </c>
      <c r="B1335" s="138">
        <f>'Expenditures 15-22'!C182</f>
        <v>174425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174425</v>
      </c>
      <c r="C1339" s="2" t="s">
        <v>573</v>
      </c>
      <c r="D1339" s="2" t="str">
        <f t="shared" si="19"/>
        <v>Error?</v>
      </c>
    </row>
    <row r="1340" spans="1:4" x14ac:dyDescent="0.2">
      <c r="A1340" s="5">
        <v>1279</v>
      </c>
      <c r="B1340" s="138">
        <f>'Expenditures 15-22'!C210</f>
        <v>174425</v>
      </c>
      <c r="C1340" s="2" t="s">
        <v>573</v>
      </c>
      <c r="D1340" s="2" t="str">
        <f t="shared" si="19"/>
        <v>Error?</v>
      </c>
    </row>
    <row r="1341" spans="1:4" x14ac:dyDescent="0.2">
      <c r="A1341" s="5">
        <v>1280</v>
      </c>
      <c r="B1341" s="138">
        <f>'Expenditures 15-22'!D182</f>
        <v>20371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20371</v>
      </c>
      <c r="C1345" s="2" t="s">
        <v>573</v>
      </c>
      <c r="D1345" s="2" t="str">
        <f t="shared" si="20"/>
        <v>Error?</v>
      </c>
    </row>
    <row r="1346" spans="1:4" x14ac:dyDescent="0.2">
      <c r="A1346" s="5">
        <v>1285</v>
      </c>
      <c r="B1346" s="138">
        <f>'Expenditures 15-22'!D210</f>
        <v>20371</v>
      </c>
      <c r="C1346" s="2" t="s">
        <v>573</v>
      </c>
      <c r="D1346" s="2" t="str">
        <f t="shared" si="20"/>
        <v>Error?</v>
      </c>
    </row>
    <row r="1347" spans="1:4" x14ac:dyDescent="0.2">
      <c r="A1347" s="5">
        <v>1286</v>
      </c>
      <c r="B1347" s="138">
        <f>'Expenditures 15-22'!E182</f>
        <v>412874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412874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412874</v>
      </c>
      <c r="C1353" s="2" t="s">
        <v>573</v>
      </c>
      <c r="D1353" s="2" t="str">
        <f t="shared" si="20"/>
        <v>Error?</v>
      </c>
    </row>
    <row r="1354" spans="1:4" x14ac:dyDescent="0.2">
      <c r="A1354" s="5">
        <v>1293</v>
      </c>
      <c r="B1354" s="138">
        <f>'Expenditures 15-22'!F182</f>
        <v>40388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40388</v>
      </c>
      <c r="C1358" s="2" t="s">
        <v>573</v>
      </c>
      <c r="D1358" s="2" t="str">
        <f t="shared" si="20"/>
        <v>Error?</v>
      </c>
    </row>
    <row r="1359" spans="1:4" x14ac:dyDescent="0.2">
      <c r="A1359" s="5">
        <v>1298</v>
      </c>
      <c r="B1359" s="138">
        <f>'Expenditures 15-22'!F210</f>
        <v>40388</v>
      </c>
      <c r="C1359" s="2" t="s">
        <v>573</v>
      </c>
      <c r="D1359" s="2" t="str">
        <f t="shared" si="20"/>
        <v>Error?</v>
      </c>
    </row>
    <row r="1360" spans="1:4" x14ac:dyDescent="0.2">
      <c r="A1360" s="5">
        <v>1299</v>
      </c>
      <c r="B1360" s="138">
        <f>'Expenditures 15-22'!G182</f>
        <v>24989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24989</v>
      </c>
      <c r="C1364" s="2" t="s">
        <v>573</v>
      </c>
      <c r="D1364" s="2" t="str">
        <f t="shared" si="20"/>
        <v>Error?</v>
      </c>
    </row>
    <row r="1365" spans="1:4" x14ac:dyDescent="0.2">
      <c r="A1365" s="5">
        <v>1304</v>
      </c>
      <c r="B1365" s="138">
        <f>'Expenditures 15-22'!G210</f>
        <v>24989</v>
      </c>
      <c r="C1365" s="2" t="s">
        <v>573</v>
      </c>
      <c r="D1365" s="2" t="str">
        <f t="shared" si="20"/>
        <v>Error?</v>
      </c>
    </row>
    <row r="1366" spans="1:4" x14ac:dyDescent="0.2">
      <c r="A1366" s="5">
        <v>1305</v>
      </c>
      <c r="B1366" s="138">
        <f>'Expenditures 15-22'!H182</f>
        <v>415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415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415</v>
      </c>
      <c r="C1376" s="2" t="s">
        <v>573</v>
      </c>
      <c r="D1376" s="2" t="str">
        <f t="shared" si="20"/>
        <v>Error?</v>
      </c>
    </row>
    <row r="1377" spans="1:4" x14ac:dyDescent="0.2">
      <c r="A1377" s="5">
        <v>1316</v>
      </c>
      <c r="B1377" s="138">
        <f>'Expenditures 15-22'!K182</f>
        <v>673462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673462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673462</v>
      </c>
      <c r="C1388" s="2" t="s">
        <v>573</v>
      </c>
      <c r="D1388" s="2" t="str">
        <f t="shared" si="20"/>
        <v>Error?</v>
      </c>
    </row>
    <row r="1389" spans="1:4" x14ac:dyDescent="0.2">
      <c r="A1389" s="5">
        <v>1328</v>
      </c>
      <c r="B1389" s="138">
        <f>'Expenditures 15-22'!K211</f>
        <v>17958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16616</v>
      </c>
      <c r="D1408" s="2" t="str">
        <f t="shared" si="21"/>
        <v>Error?</v>
      </c>
    </row>
    <row r="1409" spans="1:4" x14ac:dyDescent="0.2">
      <c r="A1409" s="5">
        <v>1348</v>
      </c>
      <c r="B1409" s="138">
        <f>'Expenditures 15-22'!D224</f>
        <v>894</v>
      </c>
      <c r="D1409" s="2" t="str">
        <f t="shared" si="21"/>
        <v>Error?</v>
      </c>
    </row>
    <row r="1410" spans="1:4" x14ac:dyDescent="0.2">
      <c r="A1410" s="5">
        <v>1349</v>
      </c>
      <c r="B1410" s="138">
        <f>'Expenditures 15-22'!D229</f>
        <v>197787</v>
      </c>
      <c r="C1410" s="2" t="s">
        <v>573</v>
      </c>
      <c r="D1410" s="2" t="str">
        <f t="shared" si="21"/>
        <v>Error?</v>
      </c>
    </row>
    <row r="1411" spans="1:4" x14ac:dyDescent="0.2">
      <c r="A1411" s="5">
        <v>1350</v>
      </c>
      <c r="B1411" s="138">
        <f>'Expenditures 15-22'!D232</f>
        <v>26352</v>
      </c>
      <c r="D1411" s="2" t="str">
        <f t="shared" si="21"/>
        <v>Error?</v>
      </c>
    </row>
    <row r="1412" spans="1:4" x14ac:dyDescent="0.2">
      <c r="A1412" s="5">
        <v>1351</v>
      </c>
      <c r="B1412" s="138">
        <f>'Expenditures 15-22'!D233</f>
        <v>18355</v>
      </c>
      <c r="D1412" s="2" t="str">
        <f t="shared" si="21"/>
        <v>Error?</v>
      </c>
    </row>
    <row r="1413" spans="1:4" x14ac:dyDescent="0.2">
      <c r="A1413" s="5">
        <v>1352</v>
      </c>
      <c r="B1413" s="138">
        <f>'Expenditures 15-22'!D234</f>
        <v>12452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57159</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6390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6390</v>
      </c>
      <c r="C1421" s="2" t="s">
        <v>573</v>
      </c>
      <c r="D1421" s="2" t="str">
        <f t="shared" si="21"/>
        <v>Error?</v>
      </c>
    </row>
    <row r="1422" spans="1:4" x14ac:dyDescent="0.2">
      <c r="A1422" s="5">
        <v>1361</v>
      </c>
      <c r="B1422" s="138">
        <f>'Expenditures 15-22'!D245</f>
        <v>960</v>
      </c>
      <c r="D1422" s="2" t="str">
        <f t="shared" si="21"/>
        <v>Error?</v>
      </c>
    </row>
    <row r="1423" spans="1:4" x14ac:dyDescent="0.2">
      <c r="A1423" s="5">
        <v>1362</v>
      </c>
      <c r="B1423" s="138">
        <f>'Expenditures 15-22'!D246</f>
        <v>17575</v>
      </c>
      <c r="D1423" s="2" t="str">
        <f t="shared" si="21"/>
        <v>Error?</v>
      </c>
    </row>
    <row r="1424" spans="1:4" x14ac:dyDescent="0.2">
      <c r="A1424" s="5">
        <v>1363</v>
      </c>
      <c r="B1424" s="138">
        <f>'Expenditures 15-22'!D257</f>
        <v>18535</v>
      </c>
      <c r="C1424" s="2" t="s">
        <v>573</v>
      </c>
      <c r="D1424" s="2" t="str">
        <f t="shared" si="21"/>
        <v>Error?</v>
      </c>
    </row>
    <row r="1425" spans="1:4" x14ac:dyDescent="0.2">
      <c r="A1425" s="5">
        <v>1364</v>
      </c>
      <c r="B1425" s="138">
        <f>'Expenditures 15-22'!D259</f>
        <v>13217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13217</v>
      </c>
      <c r="C1427" s="2" t="s">
        <v>573</v>
      </c>
      <c r="D1427" s="2" t="str">
        <f t="shared" si="21"/>
        <v>Error?</v>
      </c>
    </row>
    <row r="1428" spans="1:4" x14ac:dyDescent="0.2">
      <c r="A1428" s="5">
        <v>1367</v>
      </c>
      <c r="B1428" s="138">
        <f>'Expenditures 15-22'!D263</f>
        <v>1074</v>
      </c>
      <c r="D1428" s="2" t="str">
        <f t="shared" si="21"/>
        <v>Error?</v>
      </c>
    </row>
    <row r="1429" spans="1:4" x14ac:dyDescent="0.2">
      <c r="A1429" s="5">
        <v>1368</v>
      </c>
      <c r="B1429" s="138">
        <f>'Expenditures 15-22'!D264</f>
        <v>17815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71884</v>
      </c>
      <c r="D1431" s="2" t="str">
        <f t="shared" si="21"/>
        <v>Error?</v>
      </c>
    </row>
    <row r="1432" spans="1:4" x14ac:dyDescent="0.2">
      <c r="A1432" s="5">
        <v>1371</v>
      </c>
      <c r="B1432" s="138">
        <f>'Expenditures 15-22'!D267</f>
        <v>26798</v>
      </c>
      <c r="D1432" s="2" t="str">
        <f t="shared" si="21"/>
        <v>Error?</v>
      </c>
    </row>
    <row r="1433" spans="1:4" x14ac:dyDescent="0.2">
      <c r="A1433" s="5">
        <v>1372</v>
      </c>
      <c r="B1433" s="138">
        <f>'Expenditures 15-22'!D268</f>
        <v>30628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148199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19888</v>
      </c>
      <c r="D1442" s="2" t="str">
        <f t="shared" si="21"/>
        <v>Error?</v>
      </c>
    </row>
    <row r="1443" spans="1:4" x14ac:dyDescent="0.2">
      <c r="A1443" s="10">
        <v>1382</v>
      </c>
      <c r="D1443" s="2" t="str">
        <f t="shared" si="21"/>
        <v>OK</v>
      </c>
    </row>
    <row r="1444" spans="1:4" x14ac:dyDescent="0.2">
      <c r="A1444" s="5">
        <v>1383</v>
      </c>
      <c r="B1444" s="138">
        <f>'Expenditures 15-22'!D277</f>
        <v>19888</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263388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461175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16616</v>
      </c>
      <c r="C1472" s="2" t="s">
        <v>573</v>
      </c>
      <c r="D1472" s="2" t="str">
        <f t="shared" si="22"/>
        <v>Error?</v>
      </c>
    </row>
    <row r="1473" spans="1:4" x14ac:dyDescent="0.2">
      <c r="A1473" s="5">
        <v>1412</v>
      </c>
      <c r="B1473" s="138">
        <f>'Expenditures 15-22'!K224</f>
        <v>894</v>
      </c>
      <c r="C1473" s="2" t="s">
        <v>573</v>
      </c>
      <c r="D1473" s="2" t="str">
        <f t="shared" si="22"/>
        <v>Error?</v>
      </c>
    </row>
    <row r="1474" spans="1:4" x14ac:dyDescent="0.2">
      <c r="A1474" s="5">
        <v>1413</v>
      </c>
      <c r="B1474" s="138">
        <f>'Expenditures 15-22'!K229</f>
        <v>197787</v>
      </c>
      <c r="C1474" s="2" t="s">
        <v>573</v>
      </c>
      <c r="D1474" s="2" t="str">
        <f t="shared" si="22"/>
        <v>Error?</v>
      </c>
    </row>
    <row r="1475" spans="1:4" x14ac:dyDescent="0.2">
      <c r="A1475" s="5">
        <v>1414</v>
      </c>
      <c r="B1475" s="138">
        <f>'Expenditures 15-22'!K232</f>
        <v>26352</v>
      </c>
      <c r="C1475" s="2" t="s">
        <v>573</v>
      </c>
      <c r="D1475" s="2" t="str">
        <f t="shared" si="22"/>
        <v>Error?</v>
      </c>
    </row>
    <row r="1476" spans="1:4" x14ac:dyDescent="0.2">
      <c r="A1476" s="5">
        <v>1415</v>
      </c>
      <c r="B1476" s="138">
        <f>'Expenditures 15-22'!K233</f>
        <v>18355</v>
      </c>
      <c r="C1476" s="2" t="s">
        <v>573</v>
      </c>
      <c r="D1476" s="2" t="str">
        <f t="shared" si="22"/>
        <v>Error?</v>
      </c>
    </row>
    <row r="1477" spans="1:4" x14ac:dyDescent="0.2">
      <c r="A1477" s="5">
        <v>1416</v>
      </c>
      <c r="B1477" s="138">
        <f>'Expenditures 15-22'!K234</f>
        <v>12452</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57159</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6390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6390</v>
      </c>
      <c r="C1485" s="2" t="s">
        <v>573</v>
      </c>
      <c r="D1485" s="2" t="str">
        <f t="shared" si="22"/>
        <v>Error?</v>
      </c>
    </row>
    <row r="1486" spans="1:4" x14ac:dyDescent="0.2">
      <c r="A1486" s="5">
        <v>1425</v>
      </c>
      <c r="B1486" s="138">
        <f>'Expenditures 15-22'!K245</f>
        <v>960</v>
      </c>
      <c r="C1486" s="2" t="s">
        <v>573</v>
      </c>
      <c r="D1486" s="2" t="str">
        <f t="shared" si="22"/>
        <v>Error?</v>
      </c>
    </row>
    <row r="1487" spans="1:4" x14ac:dyDescent="0.2">
      <c r="A1487" s="5">
        <v>1426</v>
      </c>
      <c r="B1487" s="138">
        <f>'Expenditures 15-22'!K246</f>
        <v>17575</v>
      </c>
      <c r="C1487" s="2" t="s">
        <v>573</v>
      </c>
      <c r="D1487" s="2" t="str">
        <f t="shared" si="22"/>
        <v>Error?</v>
      </c>
    </row>
    <row r="1488" spans="1:4" x14ac:dyDescent="0.2">
      <c r="A1488" s="5">
        <v>1427</v>
      </c>
      <c r="B1488" s="138">
        <f>'Expenditures 15-22'!K257</f>
        <v>18535</v>
      </c>
      <c r="C1488" s="2" t="s">
        <v>573</v>
      </c>
      <c r="D1488" s="2" t="str">
        <f t="shared" si="22"/>
        <v>Error?</v>
      </c>
    </row>
    <row r="1489" spans="1:4" x14ac:dyDescent="0.2">
      <c r="A1489" s="5">
        <v>1428</v>
      </c>
      <c r="B1489" s="138">
        <f>'Expenditures 15-22'!K259</f>
        <v>13217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13217</v>
      </c>
      <c r="C1491" s="2" t="s">
        <v>573</v>
      </c>
      <c r="D1491" s="2" t="str">
        <f t="shared" si="22"/>
        <v>Error?</v>
      </c>
    </row>
    <row r="1492" spans="1:4" x14ac:dyDescent="0.2">
      <c r="A1492" s="5">
        <v>1431</v>
      </c>
      <c r="B1492" s="138">
        <f>'Expenditures 15-22'!K263</f>
        <v>1074</v>
      </c>
      <c r="C1492" s="2" t="s">
        <v>573</v>
      </c>
      <c r="D1492" s="2" t="str">
        <f t="shared" si="22"/>
        <v>Error?</v>
      </c>
    </row>
    <row r="1493" spans="1:4" x14ac:dyDescent="0.2">
      <c r="A1493" s="5">
        <v>1432</v>
      </c>
      <c r="B1493" s="138">
        <f>'Expenditures 15-22'!K264</f>
        <v>17815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71884</v>
      </c>
      <c r="C1495" s="2" t="s">
        <v>573</v>
      </c>
      <c r="D1495" s="2" t="str">
        <f t="shared" si="22"/>
        <v>Error?</v>
      </c>
    </row>
    <row r="1496" spans="1:4" x14ac:dyDescent="0.2">
      <c r="A1496" s="5">
        <v>1435</v>
      </c>
      <c r="B1496" s="138">
        <f>'Expenditures 15-22'!K267</f>
        <v>26798</v>
      </c>
      <c r="C1496" s="2" t="s">
        <v>573</v>
      </c>
      <c r="D1496" s="2" t="str">
        <f t="shared" si="22"/>
        <v>Error?</v>
      </c>
    </row>
    <row r="1497" spans="1:4" x14ac:dyDescent="0.2">
      <c r="A1497" s="5">
        <v>1436</v>
      </c>
      <c r="B1497" s="138">
        <f>'Expenditures 15-22'!K268</f>
        <v>30628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148199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19888</v>
      </c>
      <c r="C1506" s="2" t="s">
        <v>573</v>
      </c>
      <c r="D1506" s="2" t="str">
        <f t="shared" si="22"/>
        <v>Error?</v>
      </c>
    </row>
    <row r="1507" spans="1:4" x14ac:dyDescent="0.2">
      <c r="A1507" s="10">
        <v>1446</v>
      </c>
      <c r="D1507" s="2" t="str">
        <f t="shared" si="22"/>
        <v>OK</v>
      </c>
    </row>
    <row r="1508" spans="1:4" x14ac:dyDescent="0.2">
      <c r="A1508" s="5">
        <v>1447</v>
      </c>
      <c r="B1508" s="138">
        <f>'Expenditures 15-22'!K277</f>
        <v>19888</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263388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461175</v>
      </c>
      <c r="C1517" s="2" t="s">
        <v>573</v>
      </c>
      <c r="D1517" s="2" t="str">
        <f t="shared" si="22"/>
        <v>Error?</v>
      </c>
    </row>
    <row r="1518" spans="1:4" x14ac:dyDescent="0.2">
      <c r="A1518" s="5">
        <v>1457</v>
      </c>
      <c r="B1518" s="138">
        <f>'Expenditures 15-22'!K296</f>
        <v>-103461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248887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248887</v>
      </c>
      <c r="C1535" s="2" t="s">
        <v>573</v>
      </c>
      <c r="D1535" s="2" t="str">
        <f t="shared" ref="D1535:D1598" si="23">IF(ISBLANK(B1535),"OK",IF(A1535-B1535=0,"OK","Error?"))</f>
        <v>Error?</v>
      </c>
    </row>
    <row r="1536" spans="1:4" x14ac:dyDescent="0.2">
      <c r="A1536" s="5">
        <v>1475</v>
      </c>
      <c r="B1536" s="138">
        <f>'Expenditures 15-22'!E312</f>
        <v>248887</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3019021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3019021</v>
      </c>
      <c r="C1547" s="2" t="s">
        <v>573</v>
      </c>
      <c r="D1547" s="2" t="str">
        <f t="shared" si="23"/>
        <v>Error?</v>
      </c>
    </row>
    <row r="1548" spans="1:4" x14ac:dyDescent="0.2">
      <c r="A1548" s="5">
        <v>1487</v>
      </c>
      <c r="B1548" s="138">
        <f>'Expenditures 15-22'!G312</f>
        <v>3019021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3267908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3267908</v>
      </c>
      <c r="C1559" s="2" t="s">
        <v>573</v>
      </c>
      <c r="D1559" s="2" t="str">
        <f t="shared" si="23"/>
        <v>Error?</v>
      </c>
    </row>
    <row r="1560" spans="1:4" x14ac:dyDescent="0.2">
      <c r="A1560" s="5">
        <v>1499</v>
      </c>
      <c r="B1560" s="138">
        <f>'Expenditures 15-22'!K312</f>
        <v>3267908</v>
      </c>
      <c r="C1560" s="2" t="s">
        <v>573</v>
      </c>
      <c r="D1560" s="2" t="str">
        <f t="shared" si="23"/>
        <v>Error?</v>
      </c>
    </row>
    <row r="1561" spans="1:4" x14ac:dyDescent="0.2">
      <c r="A1561" s="5">
        <v>1500</v>
      </c>
      <c r="B1561" s="138">
        <f>'Expenditures 15-22'!K313</f>
        <v>-3261398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3608702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2960033</v>
      </c>
      <c r="C1630" s="2" t="s">
        <v>573</v>
      </c>
      <c r="D1630" s="2" t="str">
        <f t="shared" si="24"/>
        <v>Error?</v>
      </c>
    </row>
    <row r="1631" spans="1:4" x14ac:dyDescent="0.2">
      <c r="A1631" s="5">
        <v>1570</v>
      </c>
      <c r="B1631" s="138">
        <f>'Acct Summary 7-8'!D79</f>
        <v>5460176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5951017</v>
      </c>
      <c r="C1644" s="2" t="s">
        <v>573</v>
      </c>
      <c r="D1644" s="2" t="str">
        <f t="shared" si="24"/>
        <v>Error?</v>
      </c>
    </row>
    <row r="1645" spans="1:4" x14ac:dyDescent="0.2">
      <c r="A1645" s="5">
        <v>1584</v>
      </c>
      <c r="B1645" s="138">
        <f>'Acct Summary 7-8'!E79</f>
        <v>31102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45415</v>
      </c>
      <c r="C1658" s="2" t="s">
        <v>573</v>
      </c>
      <c r="D1658" s="2" t="str">
        <f t="shared" si="24"/>
        <v>Error?</v>
      </c>
    </row>
    <row r="1659" spans="1:4" x14ac:dyDescent="0.2">
      <c r="A1659" s="5">
        <v>1598</v>
      </c>
      <c r="B1659" s="138">
        <f>'Acct Summary 7-8'!F79</f>
        <v>982635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1001793</v>
      </c>
      <c r="C1672" s="2" t="s">
        <v>573</v>
      </c>
      <c r="D1672" s="2" t="str">
        <f t="shared" si="25"/>
        <v>Error?</v>
      </c>
    </row>
    <row r="1673" spans="1:4" x14ac:dyDescent="0.2">
      <c r="A1673" s="5">
        <v>1612</v>
      </c>
      <c r="B1673" s="138">
        <f>'Acct Summary 7-8'!G79</f>
        <v>332749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229288</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738602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9101664</v>
      </c>
      <c r="C1744" s="2" t="s">
        <v>573</v>
      </c>
      <c r="D1744" s="2" t="str">
        <f t="shared" si="26"/>
        <v>Error?</v>
      </c>
    </row>
    <row r="1745" spans="1:5" x14ac:dyDescent="0.2">
      <c r="A1745" s="5">
        <v>1684</v>
      </c>
      <c r="B1745" s="138">
        <f>'Tax Sched 23'!B5</f>
        <v>2077646</v>
      </c>
      <c r="C1745" s="2" t="s">
        <v>573</v>
      </c>
      <c r="D1745" s="2" t="str">
        <f t="shared" si="26"/>
        <v>Error?</v>
      </c>
    </row>
    <row r="1746" spans="1:5" x14ac:dyDescent="0.2">
      <c r="A1746" s="5">
        <v>1685</v>
      </c>
      <c r="B1746" s="138">
        <f>'Tax Sched 23'!B6</f>
        <v>1277353</v>
      </c>
      <c r="C1746" s="2" t="s">
        <v>573</v>
      </c>
      <c r="D1746" s="2" t="str">
        <f t="shared" si="26"/>
        <v>Error?</v>
      </c>
    </row>
    <row r="1747" spans="1:5" x14ac:dyDescent="0.2">
      <c r="A1747" s="5">
        <v>1686</v>
      </c>
      <c r="B1747" s="138">
        <f>'Tax Sched 23'!B7</f>
        <v>559036</v>
      </c>
      <c r="C1747" s="2" t="s">
        <v>573</v>
      </c>
      <c r="D1747" s="2" t="str">
        <f t="shared" si="26"/>
        <v>Error?</v>
      </c>
    </row>
    <row r="1748" spans="1:5" x14ac:dyDescent="0.2">
      <c r="A1748" s="5">
        <v>1687</v>
      </c>
      <c r="B1748" s="138">
        <f>'Tax Sched 23'!B8</f>
        <v>158373</v>
      </c>
      <c r="C1748" s="2" t="s">
        <v>573</v>
      </c>
      <c r="D1748" s="2" t="str">
        <f t="shared" si="26"/>
        <v>Error?</v>
      </c>
    </row>
    <row r="1749" spans="1:5" x14ac:dyDescent="0.2">
      <c r="A1749" s="5">
        <v>1688</v>
      </c>
      <c r="B1749" s="138">
        <f>'Tax Sched 23'!B10</f>
        <v>197901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84096</v>
      </c>
      <c r="C1752" s="2" t="s">
        <v>573</v>
      </c>
      <c r="D1752" s="2" t="str">
        <f t="shared" si="26"/>
        <v>Error?</v>
      </c>
    </row>
    <row r="1753" spans="1:5" x14ac:dyDescent="0.2">
      <c r="A1753" s="5">
        <v>1692</v>
      </c>
      <c r="B1753" s="138">
        <f>'Tax Sched 23'!B12</f>
        <v>9916</v>
      </c>
      <c r="C1753" s="2" t="s">
        <v>573</v>
      </c>
      <c r="D1753" s="2" t="str">
        <f t="shared" si="26"/>
        <v>Error?</v>
      </c>
    </row>
    <row r="1754" spans="1:5" x14ac:dyDescent="0.2">
      <c r="A1754" s="5">
        <v>1693</v>
      </c>
      <c r="B1754" s="138">
        <f>'Tax Sched 23'!B14</f>
        <v>128651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13772745</v>
      </c>
      <c r="C1759" s="2" t="s">
        <v>573</v>
      </c>
      <c r="D1759" s="2" t="str">
        <f t="shared" si="26"/>
        <v>Error?</v>
      </c>
    </row>
    <row r="1760" spans="1:5" x14ac:dyDescent="0.2">
      <c r="A1760" s="5">
        <v>1699</v>
      </c>
      <c r="B1760" s="138">
        <f>'Tax Sched 23'!D4</f>
        <v>9101664</v>
      </c>
      <c r="C1760" s="2" t="s">
        <v>573</v>
      </c>
      <c r="D1760" s="2" t="str">
        <f t="shared" si="26"/>
        <v>Error?</v>
      </c>
    </row>
    <row r="1761" spans="1:5" x14ac:dyDescent="0.2">
      <c r="A1761" s="5">
        <v>1700</v>
      </c>
      <c r="B1761" s="138">
        <f>'Tax Sched 23'!D5</f>
        <v>2077646</v>
      </c>
      <c r="C1761" s="2" t="s">
        <v>573</v>
      </c>
      <c r="D1761" s="2" t="str">
        <f t="shared" si="26"/>
        <v>Error?</v>
      </c>
    </row>
    <row r="1762" spans="1:5" s="8" customFormat="1" x14ac:dyDescent="0.2">
      <c r="A1762" s="5">
        <v>1701</v>
      </c>
      <c r="B1762" s="138">
        <f>'Tax Sched 23'!D6</f>
        <v>1277353</v>
      </c>
      <c r="C1762" s="2" t="s">
        <v>573</v>
      </c>
      <c r="D1762" s="2" t="str">
        <f t="shared" si="26"/>
        <v>Error?</v>
      </c>
      <c r="E1762" s="9"/>
    </row>
    <row r="1763" spans="1:5" x14ac:dyDescent="0.2">
      <c r="A1763" s="5">
        <v>1702</v>
      </c>
      <c r="B1763" s="138">
        <f>'Tax Sched 23'!D7</f>
        <v>559036</v>
      </c>
      <c r="C1763" s="2" t="s">
        <v>573</v>
      </c>
      <c r="D1763" s="2" t="str">
        <f t="shared" si="26"/>
        <v>Error?</v>
      </c>
    </row>
    <row r="1764" spans="1:5" x14ac:dyDescent="0.2">
      <c r="A1764" s="5">
        <v>1703</v>
      </c>
      <c r="B1764" s="138">
        <f>'Tax Sched 23'!D8</f>
        <v>158373</v>
      </c>
      <c r="C1764" s="2" t="s">
        <v>573</v>
      </c>
      <c r="D1764" s="2" t="str">
        <f t="shared" si="26"/>
        <v>Error?</v>
      </c>
    </row>
    <row r="1765" spans="1:5" x14ac:dyDescent="0.2">
      <c r="A1765" s="5">
        <v>1704</v>
      </c>
      <c r="B1765" s="138">
        <f>'Tax Sched 23'!D10</f>
        <v>197901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84096</v>
      </c>
      <c r="C1768" s="2" t="s">
        <v>573</v>
      </c>
      <c r="D1768" s="2" t="str">
        <f t="shared" si="26"/>
        <v>Error?</v>
      </c>
    </row>
    <row r="1769" spans="1:5" x14ac:dyDescent="0.2">
      <c r="A1769" s="5">
        <v>1708</v>
      </c>
      <c r="B1769" s="138">
        <f>'Tax Sched 23'!D12</f>
        <v>9916</v>
      </c>
      <c r="C1769" s="2" t="s">
        <v>573</v>
      </c>
      <c r="D1769" s="2" t="str">
        <f t="shared" si="26"/>
        <v>Error?</v>
      </c>
    </row>
    <row r="1770" spans="1:5" x14ac:dyDescent="0.2">
      <c r="A1770" s="5">
        <v>1709</v>
      </c>
      <c r="B1770" s="138">
        <f>'Tax Sched 23'!D14</f>
        <v>128651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13772745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9365425</v>
      </c>
      <c r="C1792" s="2" t="s">
        <v>573</v>
      </c>
      <c r="D1792" s="2" t="str">
        <f t="shared" si="27"/>
        <v>Error?</v>
      </c>
    </row>
    <row r="1793" spans="1:4" x14ac:dyDescent="0.2">
      <c r="A1793" s="5">
        <v>1732</v>
      </c>
      <c r="B1793" s="138">
        <f>'Tax Sched 23'!F5</f>
        <v>2168980</v>
      </c>
      <c r="C1793" s="2" t="s">
        <v>573</v>
      </c>
      <c r="D1793" s="2" t="str">
        <f t="shared" si="27"/>
        <v>Error?</v>
      </c>
    </row>
    <row r="1794" spans="1:4" x14ac:dyDescent="0.2">
      <c r="A1794" s="5">
        <v>1733</v>
      </c>
      <c r="B1794" s="138">
        <f>'Tax Sched 23'!F6</f>
        <v>1426110</v>
      </c>
      <c r="C1794" s="2" t="s">
        <v>573</v>
      </c>
      <c r="D1794" s="2" t="str">
        <f t="shared" si="27"/>
        <v>Error?</v>
      </c>
    </row>
    <row r="1795" spans="1:4" x14ac:dyDescent="0.2">
      <c r="A1795" s="5">
        <v>1734</v>
      </c>
      <c r="B1795" s="138">
        <f>'Tax Sched 23'!F7</f>
        <v>542283</v>
      </c>
      <c r="C1795" s="2" t="s">
        <v>573</v>
      </c>
      <c r="D1795" s="2" t="str">
        <f t="shared" si="27"/>
        <v>Error?</v>
      </c>
    </row>
    <row r="1796" spans="1:4" x14ac:dyDescent="0.2">
      <c r="A1796" s="5">
        <v>1735</v>
      </c>
      <c r="B1796" s="138">
        <f>'Tax Sched 23'!F8</f>
        <v>177468</v>
      </c>
      <c r="C1796" s="2" t="s">
        <v>573</v>
      </c>
      <c r="D1796" s="2" t="str">
        <f t="shared" si="27"/>
        <v>Error?</v>
      </c>
    </row>
    <row r="1797" spans="1:4" x14ac:dyDescent="0.2">
      <c r="A1797" s="5">
        <v>1736</v>
      </c>
      <c r="B1797" s="138">
        <f>'Tax Sched 23'!F10</f>
        <v>246520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88760</v>
      </c>
      <c r="C1800" s="2" t="s">
        <v>573</v>
      </c>
      <c r="D1800" s="2" t="str">
        <f t="shared" si="27"/>
        <v>Error?</v>
      </c>
    </row>
    <row r="1801" spans="1:4" x14ac:dyDescent="0.2">
      <c r="A1801" s="5">
        <v>1740</v>
      </c>
      <c r="B1801" s="138">
        <f>'Tax Sched 23'!F12</f>
        <v>9930</v>
      </c>
      <c r="C1801" s="2" t="s">
        <v>573</v>
      </c>
      <c r="D1801" s="2" t="str">
        <f t="shared" si="27"/>
        <v>Error?</v>
      </c>
    </row>
    <row r="1802" spans="1:4" x14ac:dyDescent="0.2">
      <c r="A1802" s="5">
        <v>1741</v>
      </c>
      <c r="B1802" s="138">
        <f>'Tax Sched 23'!F14</f>
        <v>133165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14341049</v>
      </c>
      <c r="C1807" s="2" t="s">
        <v>573</v>
      </c>
      <c r="D1807" s="2" t="str">
        <f t="shared" si="27"/>
        <v>Error?</v>
      </c>
    </row>
    <row r="1808" spans="1:4" x14ac:dyDescent="0.2">
      <c r="A1808" s="5">
        <v>1747</v>
      </c>
      <c r="B1808" s="138">
        <f>'Tax Sched 23'!E4</f>
        <v>9365425</v>
      </c>
      <c r="D1808" s="2" t="str">
        <f t="shared" si="27"/>
        <v>Error?</v>
      </c>
    </row>
    <row r="1809" spans="1:4" x14ac:dyDescent="0.2">
      <c r="A1809" s="5">
        <v>1748</v>
      </c>
      <c r="B1809" s="138">
        <f>'Tax Sched 23'!E5</f>
        <v>2168980</v>
      </c>
      <c r="D1809" s="2" t="str">
        <f t="shared" si="27"/>
        <v>Error?</v>
      </c>
    </row>
    <row r="1810" spans="1:4" x14ac:dyDescent="0.2">
      <c r="A1810" s="5">
        <v>1749</v>
      </c>
      <c r="B1810" s="138">
        <f>'Tax Sched 23'!E6</f>
        <v>1426110</v>
      </c>
      <c r="D1810" s="2" t="str">
        <f t="shared" si="27"/>
        <v>Error?</v>
      </c>
    </row>
    <row r="1811" spans="1:4" x14ac:dyDescent="0.2">
      <c r="A1811" s="5">
        <v>1750</v>
      </c>
      <c r="B1811" s="138">
        <f>'Tax Sched 23'!E7</f>
        <v>542283</v>
      </c>
      <c r="D1811" s="2" t="str">
        <f t="shared" si="27"/>
        <v>Error?</v>
      </c>
    </row>
    <row r="1812" spans="1:4" x14ac:dyDescent="0.2">
      <c r="A1812" s="5">
        <v>1751</v>
      </c>
      <c r="B1812" s="138">
        <f>'Tax Sched 23'!E8</f>
        <v>177468</v>
      </c>
      <c r="D1812" s="2" t="str">
        <f t="shared" si="27"/>
        <v>Error?</v>
      </c>
    </row>
    <row r="1813" spans="1:4" x14ac:dyDescent="0.2">
      <c r="A1813" s="5">
        <v>1752</v>
      </c>
      <c r="B1813" s="138">
        <f>'Tax Sched 23'!E10</f>
        <v>246520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88760</v>
      </c>
      <c r="D1816" s="2" t="str">
        <f t="shared" si="27"/>
        <v>Error?</v>
      </c>
    </row>
    <row r="1817" spans="1:4" x14ac:dyDescent="0.2">
      <c r="A1817" s="5">
        <v>1756</v>
      </c>
      <c r="B1817" s="138">
        <f>'Tax Sched 23'!E12</f>
        <v>9930</v>
      </c>
      <c r="D1817" s="2" t="str">
        <f t="shared" si="27"/>
        <v>Error?</v>
      </c>
    </row>
    <row r="1818" spans="1:4" x14ac:dyDescent="0.2">
      <c r="A1818" s="5">
        <v>1757</v>
      </c>
      <c r="B1818" s="138">
        <f>'Tax Sched 23'!E14</f>
        <v>133165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14341049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18925000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128651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128651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128651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434584</v>
      </c>
      <c r="D2008" s="2" t="str">
        <f t="shared" si="30"/>
        <v>Error?</v>
      </c>
    </row>
    <row r="2009" spans="1:4" x14ac:dyDescent="0.2">
      <c r="A2009" s="5">
        <v>1948</v>
      </c>
      <c r="B2009" s="138">
        <f>'Cap Outlay Deprec 26'!C8</f>
        <v>8027498</v>
      </c>
      <c r="D2009" s="2" t="str">
        <f t="shared" si="30"/>
        <v>Error?</v>
      </c>
    </row>
    <row r="2010" spans="1:4" x14ac:dyDescent="0.2">
      <c r="A2010" s="5">
        <v>1949</v>
      </c>
      <c r="B2010" s="138">
        <f>'Cap Outlay Deprec 26'!C10</f>
        <v>23394539</v>
      </c>
      <c r="D2010" s="2" t="str">
        <f t="shared" si="30"/>
        <v>Error?</v>
      </c>
    </row>
    <row r="2011" spans="1:4" x14ac:dyDescent="0.2">
      <c r="A2011" s="5">
        <v>1950</v>
      </c>
      <c r="B2011" s="138">
        <f>'Cap Outlay Deprec 26'!C12</f>
        <v>2688312</v>
      </c>
      <c r="D2011" s="2" t="str">
        <f t="shared" si="30"/>
        <v>Error?</v>
      </c>
    </row>
    <row r="2012" spans="1:4" x14ac:dyDescent="0.2">
      <c r="A2012" s="5">
        <v>1951</v>
      </c>
      <c r="B2012" s="138">
        <f>'Cap Outlay Deprec 26'!C13</f>
        <v>52444</v>
      </c>
      <c r="D2012" s="2" t="str">
        <f t="shared" si="30"/>
        <v>Error?</v>
      </c>
    </row>
    <row r="2013" spans="1:4" x14ac:dyDescent="0.2">
      <c r="A2013" s="5">
        <v>1952</v>
      </c>
      <c r="B2013" s="138">
        <f>'Cap Outlay Deprec 26'!C16</f>
        <v>34597377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758463</v>
      </c>
      <c r="D2016" s="2" t="str">
        <f t="shared" si="30"/>
        <v>Error?</v>
      </c>
    </row>
    <row r="2017" spans="1:4" x14ac:dyDescent="0.2">
      <c r="A2017" s="5">
        <v>1956</v>
      </c>
      <c r="B2017" s="138">
        <f>'Cap Outlay Deprec 26'!D12</f>
        <v>373999</v>
      </c>
      <c r="D2017" s="2" t="str">
        <f t="shared" si="30"/>
        <v>Error?</v>
      </c>
    </row>
    <row r="2018" spans="1:4" x14ac:dyDescent="0.2">
      <c r="A2018" s="5">
        <v>1957</v>
      </c>
      <c r="B2018" s="138">
        <f>'Cap Outlay Deprec 26'!D13</f>
        <v>68512</v>
      </c>
      <c r="D2018" s="2" t="str">
        <f t="shared" si="30"/>
        <v>Error?</v>
      </c>
    </row>
    <row r="2019" spans="1:4" x14ac:dyDescent="0.2">
      <c r="A2019" s="5">
        <v>1958</v>
      </c>
      <c r="B2019" s="138">
        <f>'Cap Outlay Deprec 26'!D16</f>
        <v>3749824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301440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301440</v>
      </c>
      <c r="C2025" s="2" t="s">
        <v>573</v>
      </c>
      <c r="D2025" s="2" t="str">
        <f t="shared" si="30"/>
        <v>Error?</v>
      </c>
    </row>
    <row r="2026" spans="1:4" x14ac:dyDescent="0.2">
      <c r="A2026" s="5">
        <v>1965</v>
      </c>
      <c r="B2026" s="138">
        <f>'Cap Outlay Deprec 26'!F5</f>
        <v>434584</v>
      </c>
      <c r="C2026" s="2" t="s">
        <v>573</v>
      </c>
      <c r="D2026" s="2" t="str">
        <f t="shared" si="30"/>
        <v>Error?</v>
      </c>
    </row>
    <row r="2027" spans="1:4" x14ac:dyDescent="0.2">
      <c r="A2027" s="5">
        <v>1966</v>
      </c>
      <c r="B2027" s="138">
        <f>'Cap Outlay Deprec 26'!F8</f>
        <v>8027498</v>
      </c>
      <c r="C2027" s="2" t="s">
        <v>573</v>
      </c>
      <c r="D2027" s="2" t="str">
        <f t="shared" si="30"/>
        <v>Error?</v>
      </c>
    </row>
    <row r="2028" spans="1:4" x14ac:dyDescent="0.2">
      <c r="A2028" s="5">
        <v>1967</v>
      </c>
      <c r="B2028" s="138">
        <f>'Cap Outlay Deprec 26'!F10</f>
        <v>24153002</v>
      </c>
      <c r="C2028" s="2" t="s">
        <v>573</v>
      </c>
      <c r="D2028" s="2" t="str">
        <f t="shared" si="30"/>
        <v>Error?</v>
      </c>
    </row>
    <row r="2029" spans="1:4" x14ac:dyDescent="0.2">
      <c r="A2029" s="5">
        <v>1968</v>
      </c>
      <c r="B2029" s="138">
        <f>'Cap Outlay Deprec 26'!F12</f>
        <v>2760871</v>
      </c>
      <c r="C2029" s="2" t="s">
        <v>573</v>
      </c>
      <c r="D2029" s="2" t="str">
        <f t="shared" si="30"/>
        <v>Error?</v>
      </c>
    </row>
    <row r="2030" spans="1:4" x14ac:dyDescent="0.2">
      <c r="A2030" s="5">
        <v>1969</v>
      </c>
      <c r="B2030" s="138">
        <f>'Cap Outlay Deprec 26'!F13</f>
        <v>120956</v>
      </c>
      <c r="C2030" s="2" t="s">
        <v>573</v>
      </c>
      <c r="D2030" s="2" t="str">
        <f t="shared" si="30"/>
        <v>Error?</v>
      </c>
    </row>
    <row r="2031" spans="1:4" x14ac:dyDescent="0.2">
      <c r="A2031" s="5">
        <v>1970</v>
      </c>
      <c r="B2031" s="138">
        <f>'Cap Outlay Deprec 26'!F16</f>
        <v>38045761</v>
      </c>
      <c r="C2031" s="2" t="s">
        <v>573</v>
      </c>
      <c r="D2031" s="2" t="str">
        <f t="shared" si="30"/>
        <v>Error?</v>
      </c>
    </row>
    <row r="2032" spans="1:4" x14ac:dyDescent="0.2">
      <c r="A2032" s="10">
        <v>1971</v>
      </c>
      <c r="D2032" s="2" t="str">
        <f t="shared" si="30"/>
        <v>OK</v>
      </c>
    </row>
    <row r="2033" spans="1:4" x14ac:dyDescent="0.2">
      <c r="A2033" s="5">
        <v>1972</v>
      </c>
      <c r="B2033" s="138">
        <f>'Cap Outlay Deprec 26'!H8</f>
        <v>5943595</v>
      </c>
      <c r="D2033" s="2" t="str">
        <f t="shared" si="30"/>
        <v>Error?</v>
      </c>
    </row>
    <row r="2034" spans="1:4" x14ac:dyDescent="0.2">
      <c r="A2034" s="5">
        <v>1973</v>
      </c>
      <c r="B2034" s="138">
        <f>'Cap Outlay Deprec 26'!H10</f>
        <v>7247680</v>
      </c>
      <c r="D2034" s="2" t="str">
        <f t="shared" si="30"/>
        <v>Error?</v>
      </c>
    </row>
    <row r="2035" spans="1:4" x14ac:dyDescent="0.2">
      <c r="A2035" s="5">
        <v>1974</v>
      </c>
      <c r="B2035" s="138">
        <f>'Cap Outlay Deprec 26'!H12</f>
        <v>1662501</v>
      </c>
      <c r="D2035" s="2" t="str">
        <f t="shared" si="30"/>
        <v>Error?</v>
      </c>
    </row>
    <row r="2036" spans="1:4" x14ac:dyDescent="0.2">
      <c r="A2036" s="5">
        <v>1975</v>
      </c>
      <c r="B2036" s="138">
        <f>'Cap Outlay Deprec 26'!H13</f>
        <v>43136</v>
      </c>
      <c r="D2036" s="2" t="str">
        <f t="shared" si="30"/>
        <v>Error?</v>
      </c>
    </row>
    <row r="2037" spans="1:4" x14ac:dyDescent="0.2">
      <c r="A2037" s="5">
        <v>1976</v>
      </c>
      <c r="B2037" s="138">
        <f>'Cap Outlay Deprec 26'!H16</f>
        <v>14896912</v>
      </c>
      <c r="C2037" s="2" t="s">
        <v>573</v>
      </c>
      <c r="D2037" s="2" t="str">
        <f t="shared" si="30"/>
        <v>Error?</v>
      </c>
    </row>
    <row r="2038" spans="1:4" x14ac:dyDescent="0.2">
      <c r="A2038" s="10">
        <v>1977</v>
      </c>
      <c r="D2038" s="2" t="str">
        <f t="shared" si="30"/>
        <v>OK</v>
      </c>
    </row>
    <row r="2039" spans="1:4" x14ac:dyDescent="0.2">
      <c r="A2039" s="5">
        <v>1978</v>
      </c>
      <c r="B2039" s="138">
        <f>'Cap Outlay Deprec 26'!I8</f>
        <v>160550</v>
      </c>
      <c r="D2039" s="2" t="str">
        <f t="shared" si="30"/>
        <v>Error?</v>
      </c>
    </row>
    <row r="2040" spans="1:4" x14ac:dyDescent="0.2">
      <c r="A2040" s="5">
        <v>1979</v>
      </c>
      <c r="B2040" s="138">
        <f>'Cap Outlay Deprec 26'!I10</f>
        <v>1175428</v>
      </c>
      <c r="D2040" s="2" t="str">
        <f t="shared" si="30"/>
        <v>Error?</v>
      </c>
    </row>
    <row r="2041" spans="1:4" x14ac:dyDescent="0.2">
      <c r="A2041" s="5">
        <v>1980</v>
      </c>
      <c r="B2041" s="138">
        <f>'Cap Outlay Deprec 26'!I12</f>
        <v>276087</v>
      </c>
      <c r="D2041" s="2" t="str">
        <f t="shared" si="30"/>
        <v>Error?</v>
      </c>
    </row>
    <row r="2042" spans="1:4" x14ac:dyDescent="0.2">
      <c r="A2042" s="5">
        <v>1981</v>
      </c>
      <c r="B2042" s="138">
        <f>'Cap Outlay Deprec 26'!I13</f>
        <v>3395</v>
      </c>
      <c r="D2042" s="2" t="str">
        <f t="shared" si="30"/>
        <v>Error?</v>
      </c>
    </row>
    <row r="2043" spans="1:4" x14ac:dyDescent="0.2">
      <c r="A2043" s="5">
        <v>1982</v>
      </c>
      <c r="B2043" s="138">
        <f>'Cap Outlay Deprec 26'!I16</f>
        <v>1615460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301440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301440</v>
      </c>
      <c r="C2049" s="2" t="s">
        <v>573</v>
      </c>
      <c r="D2049" s="2" t="str">
        <f t="shared" si="31"/>
        <v>Error?</v>
      </c>
    </row>
    <row r="2050" spans="1:4" x14ac:dyDescent="0.2">
      <c r="A2050" s="10">
        <v>1989</v>
      </c>
      <c r="D2050" s="2" t="str">
        <f t="shared" si="31"/>
        <v>OK</v>
      </c>
    </row>
    <row r="2051" spans="1:4" x14ac:dyDescent="0.2">
      <c r="A2051" s="5">
        <v>1990</v>
      </c>
      <c r="B2051" s="138">
        <f>'Cap Outlay Deprec 26'!K8</f>
        <v>6104145</v>
      </c>
      <c r="C2051" s="2" t="s">
        <v>573</v>
      </c>
      <c r="D2051" s="2" t="str">
        <f t="shared" si="31"/>
        <v>Error?</v>
      </c>
    </row>
    <row r="2052" spans="1:4" x14ac:dyDescent="0.2">
      <c r="A2052" s="5">
        <v>1991</v>
      </c>
      <c r="B2052" s="138">
        <f>'Cap Outlay Deprec 26'!K10</f>
        <v>8423108</v>
      </c>
      <c r="C2052" s="2" t="s">
        <v>573</v>
      </c>
      <c r="D2052" s="2" t="str">
        <f t="shared" si="31"/>
        <v>Error?</v>
      </c>
    </row>
    <row r="2053" spans="1:4" x14ac:dyDescent="0.2">
      <c r="A2053" s="5">
        <v>1992</v>
      </c>
      <c r="B2053" s="138">
        <f>'Cap Outlay Deprec 26'!K12</f>
        <v>1637148</v>
      </c>
      <c r="C2053" s="2" t="s">
        <v>573</v>
      </c>
      <c r="D2053" s="2" t="str">
        <f t="shared" si="31"/>
        <v>Error?</v>
      </c>
    </row>
    <row r="2054" spans="1:4" x14ac:dyDescent="0.2">
      <c r="A2054" s="5">
        <v>1993</v>
      </c>
      <c r="B2054" s="138">
        <f>'Cap Outlay Deprec 26'!K13</f>
        <v>46531</v>
      </c>
      <c r="C2054" s="2" t="s">
        <v>573</v>
      </c>
      <c r="D2054" s="2" t="str">
        <f t="shared" si="31"/>
        <v>Error?</v>
      </c>
    </row>
    <row r="2055" spans="1:4" x14ac:dyDescent="0.2">
      <c r="A2055" s="5">
        <v>1994</v>
      </c>
      <c r="B2055" s="138">
        <f>'Cap Outlay Deprec 26'!K16</f>
        <v>16210932</v>
      </c>
      <c r="C2055" s="2" t="s">
        <v>573</v>
      </c>
      <c r="D2055" s="2" t="str">
        <f t="shared" si="31"/>
        <v>Error?</v>
      </c>
    </row>
    <row r="2056" spans="1:4" x14ac:dyDescent="0.2">
      <c r="A2056" s="5">
        <v>1995</v>
      </c>
      <c r="B2056" s="138">
        <f>'Cap Outlay Deprec 26'!L5</f>
        <v>434584</v>
      </c>
      <c r="C2056" s="2" t="s">
        <v>573</v>
      </c>
      <c r="D2056" s="2" t="str">
        <f t="shared" si="31"/>
        <v>Error?</v>
      </c>
    </row>
    <row r="2057" spans="1:4" x14ac:dyDescent="0.2">
      <c r="A2057" s="5">
        <v>1996</v>
      </c>
      <c r="B2057" s="138">
        <f>'Cap Outlay Deprec 26'!L8</f>
        <v>1923353</v>
      </c>
      <c r="C2057" s="2" t="s">
        <v>573</v>
      </c>
      <c r="D2057" s="2" t="str">
        <f t="shared" si="31"/>
        <v>Error?</v>
      </c>
    </row>
    <row r="2058" spans="1:4" x14ac:dyDescent="0.2">
      <c r="A2058" s="5">
        <v>1997</v>
      </c>
      <c r="B2058" s="138">
        <f>'Cap Outlay Deprec 26'!L10</f>
        <v>15729894</v>
      </c>
      <c r="C2058" s="2" t="s">
        <v>573</v>
      </c>
      <c r="D2058" s="2" t="str">
        <f t="shared" si="31"/>
        <v>Error?</v>
      </c>
    </row>
    <row r="2059" spans="1:4" x14ac:dyDescent="0.2">
      <c r="A2059" s="5">
        <v>1998</v>
      </c>
      <c r="B2059" s="138">
        <f>'Cap Outlay Deprec 26'!L12</f>
        <v>1123723</v>
      </c>
      <c r="C2059" s="2" t="s">
        <v>573</v>
      </c>
      <c r="D2059" s="2" t="str">
        <f t="shared" si="31"/>
        <v>Error?</v>
      </c>
    </row>
    <row r="2060" spans="1:4" x14ac:dyDescent="0.2">
      <c r="A2060" s="5">
        <v>1999</v>
      </c>
      <c r="B2060" s="138">
        <f>'Cap Outlay Deprec 26'!L13</f>
        <v>74425</v>
      </c>
      <c r="C2060" s="2" t="s">
        <v>573</v>
      </c>
      <c r="D2060" s="2" t="str">
        <f t="shared" si="31"/>
        <v>Error?</v>
      </c>
    </row>
    <row r="2061" spans="1:4" x14ac:dyDescent="0.2">
      <c r="A2061" s="5">
        <v>2000</v>
      </c>
      <c r="B2061" s="138">
        <f>'Cap Outlay Deprec 26'!L16</f>
        <v>21834829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39421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180800</v>
      </c>
      <c r="C2088" s="2" t="s">
        <v>573</v>
      </c>
      <c r="D2088" s="2" t="str">
        <f t="shared" si="31"/>
        <v>Error?</v>
      </c>
    </row>
    <row r="2089" spans="1:4" x14ac:dyDescent="0.2">
      <c r="A2089" s="5">
        <v>2028</v>
      </c>
      <c r="B2089" s="138">
        <f>'Expenditures 15-22'!K92</f>
        <v>100223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3500000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86625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10850255</v>
      </c>
      <c r="C2551" s="2" t="s">
        <v>573</v>
      </c>
      <c r="D2551" s="2" t="str">
        <f t="shared" si="38"/>
        <v>Error?</v>
      </c>
    </row>
    <row r="2552" spans="1:4" x14ac:dyDescent="0.2">
      <c r="A2552" s="10">
        <v>2491</v>
      </c>
      <c r="D2552" s="2" t="str">
        <f t="shared" si="38"/>
        <v>OK</v>
      </c>
    </row>
    <row r="2553" spans="1:4" x14ac:dyDescent="0.2">
      <c r="A2553" s="5">
        <v>2492</v>
      </c>
      <c r="B2553" s="138">
        <f>'Acct Summary 7-8'!C6</f>
        <v>3138583</v>
      </c>
      <c r="C2553" s="2" t="s">
        <v>573</v>
      </c>
      <c r="D2553" s="2" t="str">
        <f t="shared" si="38"/>
        <v>Error?</v>
      </c>
    </row>
    <row r="2554" spans="1:4" x14ac:dyDescent="0.2">
      <c r="A2554" s="5">
        <v>2493</v>
      </c>
      <c r="B2554" s="138">
        <f>'Acct Summary 7-8'!C7</f>
        <v>356683</v>
      </c>
      <c r="C2554" s="2" t="s">
        <v>573</v>
      </c>
      <c r="D2554" s="2" t="str">
        <f t="shared" si="38"/>
        <v>Error?</v>
      </c>
    </row>
    <row r="2555" spans="1:4" x14ac:dyDescent="0.2">
      <c r="A2555" s="5">
        <v>2494</v>
      </c>
      <c r="B2555" s="138">
        <f>'Acct Summary 7-8'!C8</f>
        <v>14345521</v>
      </c>
      <c r="C2555" s="2" t="s">
        <v>573</v>
      </c>
      <c r="D2555" s="2" t="str">
        <f t="shared" si="38"/>
        <v>Error?</v>
      </c>
    </row>
    <row r="2556" spans="1:4" x14ac:dyDescent="0.2">
      <c r="A2556" s="5">
        <v>2495</v>
      </c>
      <c r="B2556" s="138">
        <f>'Acct Summary 7-8'!C12</f>
        <v>10822032</v>
      </c>
      <c r="C2556" s="2" t="s">
        <v>573</v>
      </c>
      <c r="D2556" s="2" t="str">
        <f t="shared" si="38"/>
        <v>Error?</v>
      </c>
    </row>
    <row r="2557" spans="1:4" x14ac:dyDescent="0.2">
      <c r="A2557" s="5">
        <v>2496</v>
      </c>
      <c r="B2557" s="138">
        <f>'Acct Summary 7-8'!C13</f>
        <v>3891135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281023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14994190</v>
      </c>
      <c r="C2561" s="2" t="s">
        <v>573</v>
      </c>
      <c r="D2561" s="2" t="str">
        <f t="shared" si="39"/>
        <v>Error?</v>
      </c>
    </row>
    <row r="2562" spans="1:4" x14ac:dyDescent="0.2">
      <c r="A2562" s="5">
        <v>2501</v>
      </c>
      <c r="B2562" s="138">
        <f>'Acct Summary 7-8'!C20</f>
        <v>-648669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2302848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2302848</v>
      </c>
      <c r="C2568" s="2" t="s">
        <v>573</v>
      </c>
      <c r="D2568" s="2" t="str">
        <f t="shared" si="39"/>
        <v>Error?</v>
      </c>
    </row>
    <row r="2569" spans="1:4" x14ac:dyDescent="0.2">
      <c r="A2569" s="5">
        <v>2508</v>
      </c>
      <c r="B2569" s="138">
        <f>'Acct Summary 7-8'!D13</f>
        <v>1312007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1312007</v>
      </c>
      <c r="C2573" s="2" t="s">
        <v>573</v>
      </c>
      <c r="D2573" s="2" t="str">
        <f t="shared" si="39"/>
        <v>Error?</v>
      </c>
    </row>
    <row r="2574" spans="1:4" x14ac:dyDescent="0.2">
      <c r="A2574" s="5">
        <v>2513</v>
      </c>
      <c r="B2574" s="138">
        <f>'Acct Summary 7-8'!D20</f>
        <v>990841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577558</v>
      </c>
      <c r="C2591" s="2" t="s">
        <v>573</v>
      </c>
      <c r="D2591" s="2" t="str">
        <f t="shared" si="39"/>
        <v>Error?</v>
      </c>
    </row>
    <row r="2592" spans="1:4" x14ac:dyDescent="0.2">
      <c r="A2592" s="10">
        <v>2531</v>
      </c>
      <c r="D2592" s="2" t="str">
        <f t="shared" si="39"/>
        <v>OK</v>
      </c>
    </row>
    <row r="2593" spans="1:4" x14ac:dyDescent="0.2">
      <c r="A2593" s="5">
        <v>2532</v>
      </c>
      <c r="B2593" s="138">
        <f>'Acct Summary 7-8'!F6</f>
        <v>113862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691420</v>
      </c>
      <c r="C2595" s="2" t="s">
        <v>573</v>
      </c>
      <c r="D2595" s="2" t="str">
        <f t="shared" si="39"/>
        <v>Error?</v>
      </c>
    </row>
    <row r="2596" spans="1:4" x14ac:dyDescent="0.2">
      <c r="A2596" s="5">
        <v>2535</v>
      </c>
      <c r="B2596" s="138">
        <f>'Acct Summary 7-8'!F13</f>
        <v>673462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673462</v>
      </c>
      <c r="C2600" s="2" t="s">
        <v>573</v>
      </c>
      <c r="D2600" s="2" t="str">
        <f t="shared" si="39"/>
        <v>Error?</v>
      </c>
    </row>
    <row r="2601" spans="1:4" x14ac:dyDescent="0.2">
      <c r="A2601" s="5">
        <v>2540</v>
      </c>
      <c r="B2601" s="138">
        <f>'Acct Summary 7-8'!F20</f>
        <v>17958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357714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357714</v>
      </c>
      <c r="C2606" s="2" t="s">
        <v>573</v>
      </c>
      <c r="D2606" s="2" t="str">
        <f t="shared" si="39"/>
        <v>Error?</v>
      </c>
    </row>
    <row r="2607" spans="1:4" x14ac:dyDescent="0.2">
      <c r="A2607" s="5">
        <v>2546</v>
      </c>
      <c r="B2607" s="138">
        <f>'Acct Summary 7-8'!G12</f>
        <v>197787</v>
      </c>
      <c r="C2607" s="2" t="s">
        <v>573</v>
      </c>
      <c r="D2607" s="2" t="str">
        <f t="shared" si="39"/>
        <v>Error?</v>
      </c>
    </row>
    <row r="2608" spans="1:4" x14ac:dyDescent="0.2">
      <c r="A2608" s="5">
        <v>2547</v>
      </c>
      <c r="B2608" s="138">
        <f>'Acct Summary 7-8'!G13</f>
        <v>263388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461175</v>
      </c>
      <c r="C2612" s="2" t="s">
        <v>573</v>
      </c>
      <c r="D2612" s="2" t="str">
        <f t="shared" si="39"/>
        <v>Error?</v>
      </c>
    </row>
    <row r="2613" spans="1:4" x14ac:dyDescent="0.2">
      <c r="A2613" s="5">
        <v>2552</v>
      </c>
      <c r="B2613" s="138">
        <f>'Acct Summary 7-8'!G20</f>
        <v>-103461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1284878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1284878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1270565</v>
      </c>
      <c r="C2634" s="2" t="s">
        <v>573</v>
      </c>
      <c r="D2634" s="2" t="str">
        <f t="shared" si="40"/>
        <v>Error?</v>
      </c>
    </row>
    <row r="2635" spans="1:4" x14ac:dyDescent="0.2">
      <c r="A2635" s="5">
        <v>2574</v>
      </c>
      <c r="B2635" s="138">
        <f>'Acct Summary 7-8'!E17</f>
        <v>1270565</v>
      </c>
      <c r="C2635" s="2" t="s">
        <v>573</v>
      </c>
      <c r="D2635" s="2" t="str">
        <f t="shared" si="40"/>
        <v>Error?</v>
      </c>
    </row>
    <row r="2636" spans="1:4" x14ac:dyDescent="0.2">
      <c r="A2636" s="5">
        <v>2575</v>
      </c>
      <c r="B2636" s="138">
        <f>'Acct Summary 7-8'!E20</f>
        <v>14313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6510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6510</v>
      </c>
      <c r="C2658" s="2" t="s">
        <v>573</v>
      </c>
      <c r="D2658" s="2" t="str">
        <f t="shared" si="40"/>
        <v>Error?</v>
      </c>
    </row>
    <row r="2659" spans="1:4" x14ac:dyDescent="0.2">
      <c r="A2659" s="5">
        <v>2598</v>
      </c>
      <c r="B2659" s="138">
        <f>'Acct Summary 7-8'!H13</f>
        <v>3267908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3267908</v>
      </c>
      <c r="C2661" s="2" t="s">
        <v>573</v>
      </c>
      <c r="D2661" s="2" t="str">
        <f t="shared" si="40"/>
        <v>Error?</v>
      </c>
    </row>
    <row r="2662" spans="1:4" x14ac:dyDescent="0.2">
      <c r="A2662" s="5">
        <v>2601</v>
      </c>
      <c r="B2662" s="138">
        <f>'Acct Summary 7-8'!H20</f>
        <v>-3261398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141379</v>
      </c>
      <c r="C2789" s="2" t="s">
        <v>573</v>
      </c>
      <c r="D2789" s="2" t="str">
        <f t="shared" si="42"/>
        <v>Error?</v>
      </c>
    </row>
    <row r="2790" spans="1:4" x14ac:dyDescent="0.2">
      <c r="A2790" s="5">
        <v>2729</v>
      </c>
      <c r="B2790" s="138">
        <f>'Expenditures 15-22'!E102</f>
        <v>141379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2548850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1194937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1408854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47831</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1705602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1408854</v>
      </c>
      <c r="D2912" s="2" t="str">
        <f t="shared" si="44"/>
        <v>Error?</v>
      </c>
    </row>
    <row r="2913" spans="1:4" x14ac:dyDescent="0.2">
      <c r="A2913" s="5">
        <v>2852</v>
      </c>
      <c r="B2913" s="138">
        <f>'Assets-Liab 5-6'!I41</f>
        <v>1408854</v>
      </c>
      <c r="C2913" s="2" t="s">
        <v>573</v>
      </c>
      <c r="D2913" s="2" t="str">
        <f t="shared" si="44"/>
        <v>Error?</v>
      </c>
    </row>
    <row r="2914" spans="1:4" x14ac:dyDescent="0.2">
      <c r="A2914" s="5">
        <v>2853</v>
      </c>
      <c r="B2914" s="138">
        <f>'Assets-Liab 5-6'!L33</f>
        <v>546556</v>
      </c>
      <c r="D2914" s="2" t="str">
        <f t="shared" si="44"/>
        <v>Error?</v>
      </c>
    </row>
    <row r="2915" spans="1:4" x14ac:dyDescent="0.2">
      <c r="A2915" s="10">
        <v>2854</v>
      </c>
      <c r="D2915" s="2" t="str">
        <f t="shared" si="44"/>
        <v>OK</v>
      </c>
    </row>
    <row r="2916" spans="1:4" x14ac:dyDescent="0.2">
      <c r="A2916" s="5">
        <v>2855</v>
      </c>
      <c r="B2916" s="138">
        <f>'Assets-Liab 5-6'!L34</f>
        <v>546556</v>
      </c>
      <c r="C2916" s="2" t="s">
        <v>573</v>
      </c>
      <c r="D2916" s="2" t="str">
        <f t="shared" si="44"/>
        <v>Error?</v>
      </c>
    </row>
    <row r="2917" spans="1:4" x14ac:dyDescent="0.2">
      <c r="A2917" s="5">
        <v>2856</v>
      </c>
      <c r="B2917" s="138">
        <f>'Assets-Liab 5-6'!L41</f>
        <v>1705602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75884</v>
      </c>
      <c r="D2949" s="2" t="str">
        <f t="shared" si="45"/>
        <v>Error?</v>
      </c>
    </row>
    <row r="2950" spans="1:4" x14ac:dyDescent="0.2">
      <c r="A2950" s="5">
        <v>2889</v>
      </c>
      <c r="B2950" s="138">
        <f>'Expenditures 15-22'!E79</f>
        <v>65495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39421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75884</v>
      </c>
      <c r="C2973" s="2" t="s">
        <v>573</v>
      </c>
      <c r="D2973" s="2" t="str">
        <f t="shared" si="45"/>
        <v>Error?</v>
      </c>
    </row>
    <row r="2974" spans="1:4" x14ac:dyDescent="0.2">
      <c r="A2974" s="5">
        <v>2913</v>
      </c>
      <c r="B2974" s="138">
        <f>'Expenditures 15-22'!K79</f>
        <v>104916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36551</v>
      </c>
      <c r="D3055" s="2" t="str">
        <f t="shared" si="46"/>
        <v>Error?</v>
      </c>
    </row>
    <row r="3056" spans="1:4" x14ac:dyDescent="0.2">
      <c r="A3056" s="5">
        <v>2995</v>
      </c>
      <c r="B3056" s="138">
        <f>'Expenditures 15-22'!D10</f>
        <v>10529</v>
      </c>
      <c r="D3056" s="2" t="str">
        <f t="shared" si="46"/>
        <v>Error?</v>
      </c>
    </row>
    <row r="3057" spans="1:4" x14ac:dyDescent="0.2">
      <c r="A3057" s="5">
        <v>2996</v>
      </c>
      <c r="B3057" s="138">
        <f>'Expenditures 15-22'!E10</f>
        <v>3750</v>
      </c>
      <c r="D3057" s="2" t="str">
        <f t="shared" si="46"/>
        <v>Error?</v>
      </c>
    </row>
    <row r="3058" spans="1:4" x14ac:dyDescent="0.2">
      <c r="A3058" s="5">
        <v>2997</v>
      </c>
      <c r="B3058" s="138">
        <f>'Expenditures 15-22'!F10</f>
        <v>6254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57084</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1159046</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278476</v>
      </c>
      <c r="C3225" s="2" t="s">
        <v>573</v>
      </c>
      <c r="D3225" s="2" t="str">
        <f t="shared" si="49"/>
        <v>Error?</v>
      </c>
    </row>
    <row r="3226" spans="1:4" x14ac:dyDescent="0.2">
      <c r="A3226" s="5">
        <v>3165</v>
      </c>
      <c r="B3226" s="138">
        <f>'Acct Summary 7-8'!I8</f>
        <v>278476</v>
      </c>
      <c r="C3226" s="2" t="s">
        <v>573</v>
      </c>
      <c r="D3226" s="2" t="str">
        <f t="shared" si="49"/>
        <v>Error?</v>
      </c>
    </row>
    <row r="3227" spans="1:4" x14ac:dyDescent="0.2">
      <c r="A3227" s="5">
        <v>3166</v>
      </c>
      <c r="B3227" s="138">
        <f>'Acct Summary 7-8'!I20</f>
        <v>278476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-648669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500000</v>
      </c>
      <c r="C3237" s="2" t="s">
        <v>573</v>
      </c>
      <c r="D3237" s="2" t="str">
        <f t="shared" si="49"/>
        <v>Error?</v>
      </c>
    </row>
    <row r="3238" spans="1:4" x14ac:dyDescent="0.2">
      <c r="A3238" s="5">
        <v>3177</v>
      </c>
      <c r="B3238" s="138">
        <f>'Acct Summary 7-8'!D77</f>
        <v>-500000</v>
      </c>
      <c r="C3238" s="2" t="s">
        <v>573</v>
      </c>
      <c r="D3238" s="2" t="str">
        <f t="shared" si="49"/>
        <v>Error?</v>
      </c>
    </row>
    <row r="3239" spans="1:4" x14ac:dyDescent="0.2">
      <c r="A3239" s="5">
        <v>3178</v>
      </c>
      <c r="B3239" s="138">
        <f>'Acct Summary 7-8'!D78</f>
        <v>490841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1200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1200</v>
      </c>
      <c r="C3255" s="2" t="s">
        <v>573</v>
      </c>
      <c r="D3255" s="2" t="str">
        <f t="shared" si="49"/>
        <v>Error?</v>
      </c>
    </row>
    <row r="3256" spans="1:4" x14ac:dyDescent="0.2">
      <c r="A3256" s="5">
        <v>3195</v>
      </c>
      <c r="B3256" s="138">
        <f>'Acct Summary 7-8'!F78</f>
        <v>19158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-103461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14313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4000000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4000000</v>
      </c>
      <c r="C3299" s="2" t="s">
        <v>573</v>
      </c>
      <c r="D3299" s="2" t="str">
        <f t="shared" si="50"/>
        <v>Error?</v>
      </c>
    </row>
    <row r="3300" spans="1:4" x14ac:dyDescent="0.2">
      <c r="A3300" s="5">
        <v>3239</v>
      </c>
      <c r="B3300" s="138">
        <f>'Acct Summary 7-8'!H78</f>
        <v>738602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3500000</v>
      </c>
      <c r="C3318" s="2" t="s">
        <v>573</v>
      </c>
      <c r="D3318" s="2" t="str">
        <f t="shared" si="50"/>
        <v>Error?</v>
      </c>
    </row>
    <row r="3319" spans="1:4" x14ac:dyDescent="0.2">
      <c r="A3319" s="5">
        <v>3258</v>
      </c>
      <c r="B3319" s="138">
        <f>'Acct Summary 7-8'!I77</f>
        <v>-3500000</v>
      </c>
      <c r="C3319" s="2" t="s">
        <v>573</v>
      </c>
      <c r="D3319" s="2" t="str">
        <f t="shared" si="50"/>
        <v>Error?</v>
      </c>
    </row>
    <row r="3320" spans="1:4" x14ac:dyDescent="0.2">
      <c r="A3320" s="5">
        <v>3259</v>
      </c>
      <c r="B3320" s="138">
        <f>'Acct Summary 7-8'!I78</f>
        <v>-3221524</v>
      </c>
      <c r="C3320" s="2" t="s">
        <v>573</v>
      </c>
      <c r="D3320" s="2" t="str">
        <f t="shared" si="50"/>
        <v>Error?</v>
      </c>
    </row>
    <row r="3321" spans="1:4" x14ac:dyDescent="0.2">
      <c r="A3321" s="5">
        <v>3260</v>
      </c>
      <c r="B3321" s="138">
        <f>'Acct Summary 7-8'!I79</f>
        <v>4630378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1408854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1650989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597513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21396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15959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3086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2081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2291024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102065</v>
      </c>
      <c r="D3387" s="2" t="str">
        <f t="shared" si="51"/>
        <v>Error?</v>
      </c>
    </row>
    <row r="3388" spans="1:4" x14ac:dyDescent="0.2">
      <c r="A3388" s="5">
        <v>3327</v>
      </c>
      <c r="B3388" s="138">
        <f>'Expenditures 15-22'!D217</f>
        <v>75871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102065</v>
      </c>
      <c r="C3390" s="2" t="s">
        <v>573</v>
      </c>
      <c r="D3390" s="2" t="str">
        <f t="shared" si="51"/>
        <v>Error?</v>
      </c>
    </row>
    <row r="3391" spans="1:4" x14ac:dyDescent="0.2">
      <c r="A3391" s="5">
        <v>3330</v>
      </c>
      <c r="B3391" s="138">
        <f>'Expenditures 15-22'!K217</f>
        <v>75871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556892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3069996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30860</v>
      </c>
      <c r="D3417" s="2" t="str">
        <f t="shared" si="52"/>
        <v>Error?</v>
      </c>
    </row>
    <row r="3418" spans="1:4" x14ac:dyDescent="0.2">
      <c r="A3418" s="10">
        <v>3357</v>
      </c>
      <c r="D3418" s="2" t="str">
        <f t="shared" si="52"/>
        <v>OK</v>
      </c>
    </row>
    <row r="3419" spans="1:4" x14ac:dyDescent="0.2">
      <c r="A3419" s="5">
        <v>3358</v>
      </c>
      <c r="B3419" s="138">
        <f>'Assets-Liab 5-6'!F4</f>
        <v>930831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222270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738602</v>
      </c>
      <c r="D3425" s="2" t="str">
        <f t="shared" si="52"/>
        <v>Error?</v>
      </c>
    </row>
    <row r="3426" spans="1:4" x14ac:dyDescent="0.2">
      <c r="A3426" s="10">
        <v>3365</v>
      </c>
      <c r="D3426" s="2" t="str">
        <f t="shared" si="52"/>
        <v>OK</v>
      </c>
    </row>
    <row r="3427" spans="1:4" x14ac:dyDescent="0.2">
      <c r="A3427" s="5">
        <v>3366</v>
      </c>
      <c r="B3427" s="138">
        <f>'Assets-Liab 5-6'!I4</f>
        <v>213917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1657771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178109</v>
      </c>
      <c r="C3446" s="2" t="s">
        <v>573</v>
      </c>
      <c r="D3446" s="2" t="str">
        <f t="shared" si="52"/>
        <v>Error?</v>
      </c>
    </row>
    <row r="3447" spans="1:4" x14ac:dyDescent="0.2">
      <c r="A3447" s="5">
        <v>3386</v>
      </c>
      <c r="B3447" s="138">
        <f>'Tax Sched 23'!D16</f>
        <v>178109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182408</v>
      </c>
      <c r="C3449" s="2" t="s">
        <v>573</v>
      </c>
      <c r="D3449" s="2" t="str">
        <f t="shared" si="52"/>
        <v>Error?</v>
      </c>
    </row>
    <row r="3450" spans="1:4" x14ac:dyDescent="0.2">
      <c r="A3450" s="5">
        <v>3389</v>
      </c>
      <c r="B3450" s="138">
        <f>'Tax Sched 23'!E16</f>
        <v>182408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2548850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2548850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2548850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1200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136580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136633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136633</v>
      </c>
      <c r="D3567" s="2" t="str">
        <f t="shared" si="54"/>
        <v>Error?</v>
      </c>
    </row>
    <row r="3568" spans="1:4" x14ac:dyDescent="0.2">
      <c r="A3568" s="5">
        <v>3507</v>
      </c>
      <c r="B3568" s="138">
        <f>'Assets-Liab 5-6'!K41</f>
        <v>136633</v>
      </c>
      <c r="C3568" s="2" t="s">
        <v>573</v>
      </c>
      <c r="D3568" s="2" t="str">
        <f t="shared" si="54"/>
        <v>Error?</v>
      </c>
    </row>
    <row r="3569" spans="1:4" x14ac:dyDescent="0.2">
      <c r="A3569" s="5">
        <v>3508</v>
      </c>
      <c r="B3569" s="138">
        <f>'Acct Summary 7-8'!K4</f>
        <v>12055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12055</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12055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12055</v>
      </c>
      <c r="C3588" s="2" t="s">
        <v>573</v>
      </c>
      <c r="D3588" s="2" t="str">
        <f t="shared" si="55"/>
        <v>Error?</v>
      </c>
    </row>
    <row r="3589" spans="1:4" x14ac:dyDescent="0.2">
      <c r="A3589" s="5">
        <v>3528</v>
      </c>
      <c r="B3589" s="138">
        <f>'Acct Summary 7-8'!K79</f>
        <v>124578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136633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12055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115360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6096217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20441738</v>
      </c>
      <c r="C4122" s="2" t="s">
        <v>573</v>
      </c>
      <c r="D4122" s="2" t="str">
        <f t="shared" si="63"/>
        <v>Error?</v>
      </c>
    </row>
    <row r="4123" spans="1:4" x14ac:dyDescent="0.2">
      <c r="A4123" s="5">
        <v>4062</v>
      </c>
      <c r="B4123" s="138">
        <f>'Acct Summary 7-8'!D10</f>
        <v>2302848</v>
      </c>
      <c r="C4123" s="2" t="s">
        <v>573</v>
      </c>
      <c r="D4123" s="2" t="str">
        <f t="shared" si="63"/>
        <v>Error?</v>
      </c>
    </row>
    <row r="4124" spans="1:4" x14ac:dyDescent="0.2">
      <c r="A4124" s="5">
        <v>4063</v>
      </c>
      <c r="B4124" s="138">
        <f>'Acct Summary 7-8'!E10</f>
        <v>1284878</v>
      </c>
      <c r="C4124" s="2" t="s">
        <v>573</v>
      </c>
      <c r="D4124" s="2" t="str">
        <f t="shared" si="63"/>
        <v>Error?</v>
      </c>
    </row>
    <row r="4125" spans="1:4" x14ac:dyDescent="0.2">
      <c r="A4125" s="5">
        <v>4064</v>
      </c>
      <c r="B4125" s="138">
        <f>'Acct Summary 7-8'!F10</f>
        <v>691420</v>
      </c>
      <c r="C4125" s="2" t="s">
        <v>573</v>
      </c>
      <c r="D4125" s="2" t="str">
        <f t="shared" si="63"/>
        <v>Error?</v>
      </c>
    </row>
    <row r="4126" spans="1:4" x14ac:dyDescent="0.2">
      <c r="A4126" s="5">
        <v>4065</v>
      </c>
      <c r="B4126" s="138">
        <f>'Acct Summary 7-8'!G10</f>
        <v>357714</v>
      </c>
      <c r="C4126" s="2" t="s">
        <v>573</v>
      </c>
      <c r="D4126" s="2" t="str">
        <f t="shared" si="63"/>
        <v>Error?</v>
      </c>
    </row>
    <row r="4127" spans="1:4" x14ac:dyDescent="0.2">
      <c r="A4127" s="5">
        <v>4066</v>
      </c>
      <c r="B4127" s="138">
        <f>'Acct Summary 7-8'!H10</f>
        <v>6510</v>
      </c>
      <c r="C4127" s="2" t="s">
        <v>573</v>
      </c>
      <c r="D4127" s="2" t="str">
        <f t="shared" si="63"/>
        <v>Error?</v>
      </c>
    </row>
    <row r="4128" spans="1:4" x14ac:dyDescent="0.2">
      <c r="A4128" s="5">
        <v>4067</v>
      </c>
      <c r="B4128" s="138">
        <f>'Acct Summary 7-8'!I10</f>
        <v>278476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12055</v>
      </c>
      <c r="C4130" s="2" t="s">
        <v>573</v>
      </c>
      <c r="D4130" s="2" t="str">
        <f t="shared" si="63"/>
        <v>Error?</v>
      </c>
    </row>
    <row r="4131" spans="1:4" x14ac:dyDescent="0.2">
      <c r="A4131" s="5">
        <v>4070</v>
      </c>
      <c r="B4131" s="138">
        <f>'Acct Summary 7-8'!C18</f>
        <v>6096217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21090407</v>
      </c>
      <c r="C4136" s="2" t="s">
        <v>573</v>
      </c>
      <c r="D4136" s="2" t="str">
        <f t="shared" si="63"/>
        <v>Error?</v>
      </c>
    </row>
    <row r="4137" spans="1:4" x14ac:dyDescent="0.2">
      <c r="A4137" s="5">
        <v>4076</v>
      </c>
      <c r="B4137" s="138">
        <f>'Acct Summary 7-8'!D19</f>
        <v>1312007</v>
      </c>
      <c r="C4137" s="2" t="s">
        <v>573</v>
      </c>
      <c r="D4137" s="2" t="str">
        <f t="shared" si="63"/>
        <v>Error?</v>
      </c>
    </row>
    <row r="4138" spans="1:4" x14ac:dyDescent="0.2">
      <c r="A4138" s="5">
        <v>4077</v>
      </c>
      <c r="B4138" s="138">
        <f>'Acct Summary 7-8'!E19</f>
        <v>1270565</v>
      </c>
      <c r="C4138" s="2" t="s">
        <v>573</v>
      </c>
      <c r="D4138" s="2" t="str">
        <f t="shared" si="63"/>
        <v>Error?</v>
      </c>
    </row>
    <row r="4139" spans="1:4" x14ac:dyDescent="0.2">
      <c r="A4139" s="5">
        <v>4078</v>
      </c>
      <c r="B4139" s="138">
        <f>'Acct Summary 7-8'!F19</f>
        <v>673462</v>
      </c>
      <c r="C4139" s="2" t="s">
        <v>573</v>
      </c>
      <c r="D4139" s="2" t="str">
        <f t="shared" si="63"/>
        <v>Error?</v>
      </c>
    </row>
    <row r="4140" spans="1:4" x14ac:dyDescent="0.2">
      <c r="A4140" s="5">
        <v>4079</v>
      </c>
      <c r="B4140" s="138">
        <f>'Acct Summary 7-8'!G19</f>
        <v>461175</v>
      </c>
      <c r="C4140" s="2" t="s">
        <v>573</v>
      </c>
      <c r="D4140" s="2" t="str">
        <f t="shared" si="63"/>
        <v>Error?</v>
      </c>
    </row>
    <row r="4141" spans="1:4" x14ac:dyDescent="0.2">
      <c r="A4141" s="5">
        <v>4080</v>
      </c>
      <c r="B4141" s="138">
        <f>'Acct Summary 7-8'!H19</f>
        <v>3267908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18235000</v>
      </c>
      <c r="C4171" s="2" t="s">
        <v>573</v>
      </c>
      <c r="D4171" s="2" t="str">
        <f t="shared" si="64"/>
        <v>Error?</v>
      </c>
    </row>
    <row r="4172" spans="1:4" x14ac:dyDescent="0.2">
      <c r="A4172" s="5">
        <v>4111</v>
      </c>
      <c r="B4172" s="138">
        <f>'Short-Term Long-Term Debt 24'!J49</f>
        <v>18189585</v>
      </c>
      <c r="C4172" s="2" t="s">
        <v>573</v>
      </c>
      <c r="D4172" s="2" t="str">
        <f t="shared" si="64"/>
        <v>Error?</v>
      </c>
    </row>
    <row r="4173" spans="1:4" x14ac:dyDescent="0.2">
      <c r="A4173" s="5">
        <v>4112</v>
      </c>
      <c r="B4173" s="138">
        <f>'Short-Term Long-Term Debt 24'!H49</f>
        <v>690000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1839.1000000000001</v>
      </c>
      <c r="C4265" s="2" t="s">
        <v>573</v>
      </c>
      <c r="D4265" s="2" t="str">
        <f t="shared" si="65"/>
        <v>Error?</v>
      </c>
      <c r="E4265" s="128"/>
    </row>
    <row r="4266" spans="1:5" x14ac:dyDescent="0.2">
      <c r="A4266" s="12">
        <v>4205</v>
      </c>
      <c r="B4266" s="138">
        <f>('FP Info 3'!F10)*100000</f>
        <v>425.9</v>
      </c>
      <c r="C4266" s="2" t="s">
        <v>573</v>
      </c>
      <c r="D4266" s="2" t="str">
        <f t="shared" si="65"/>
        <v>Error?</v>
      </c>
      <c r="E4266" s="128"/>
    </row>
    <row r="4267" spans="1:5" x14ac:dyDescent="0.2">
      <c r="A4267" s="12">
        <v>4206</v>
      </c>
      <c r="B4267" s="138">
        <f>('FP Info 3'!H10)*100000</f>
        <v>106.5</v>
      </c>
      <c r="C4267" s="2" t="s">
        <v>573</v>
      </c>
      <c r="D4267" s="2" t="str">
        <f t="shared" si="65"/>
        <v>Error?</v>
      </c>
      <c r="E4267" s="128"/>
    </row>
    <row r="4268" spans="1:5" x14ac:dyDescent="0.2">
      <c r="A4268" s="12">
        <v>4207</v>
      </c>
      <c r="B4268" s="138">
        <f>('FP Info 3'!J10)*100000</f>
        <v>2372</v>
      </c>
      <c r="C4268" s="2" t="s">
        <v>573</v>
      </c>
      <c r="D4268" s="2" t="str">
        <f t="shared" si="65"/>
        <v>Error?</v>
      </c>
    </row>
    <row r="4269" spans="1:5" x14ac:dyDescent="0.2">
      <c r="A4269" s="12">
        <v>4208</v>
      </c>
      <c r="B4269" s="138">
        <f>'FP Info 3'!J16</f>
        <v>11321697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25876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3633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18650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48.410000000000004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24493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509234024</v>
      </c>
      <c r="D4995" s="2" t="str">
        <f t="shared" si="77"/>
        <v>Error?</v>
      </c>
    </row>
    <row r="4996" spans="1:4" x14ac:dyDescent="0.2">
      <c r="A4996" s="12">
        <v>4935</v>
      </c>
      <c r="B4996" s="138">
        <f>'FP Info 3'!H31</f>
        <v>35137147.656000003</v>
      </c>
      <c r="D4996" s="2" t="str">
        <f t="shared" si="77"/>
        <v>Error?</v>
      </c>
    </row>
    <row r="4997" spans="1:4" x14ac:dyDescent="0.2">
      <c r="A4997" s="12">
        <v>4936</v>
      </c>
      <c r="B4997" s="138">
        <f>'FP Info 3'!H37</f>
        <v>18235000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9101664</v>
      </c>
      <c r="D5061" s="2" t="str">
        <f t="shared" si="78"/>
        <v>Error?</v>
      </c>
    </row>
    <row r="5062" spans="1:4" x14ac:dyDescent="0.2">
      <c r="A5062" s="10">
        <v>5001</v>
      </c>
      <c r="D5062" s="2" t="str">
        <f t="shared" si="78"/>
        <v>OK</v>
      </c>
    </row>
    <row r="5063" spans="1:4" x14ac:dyDescent="0.2">
      <c r="A5063" s="5">
        <v>5002</v>
      </c>
      <c r="B5063" s="138">
        <f>'Revenues 9-14'!C7</f>
        <v>128651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9230315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89757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89757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17850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17850</v>
      </c>
      <c r="C5087" s="2" t="s">
        <v>573</v>
      </c>
      <c r="D5087" s="2" t="str">
        <f t="shared" si="78"/>
        <v>Error?</v>
      </c>
    </row>
    <row r="5088" spans="1:4" x14ac:dyDescent="0.2">
      <c r="A5088" s="5">
        <v>5027</v>
      </c>
      <c r="B5088" s="138">
        <f>'Revenues 9-14'!C65</f>
        <v>98697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98697</v>
      </c>
      <c r="C5090" s="2" t="s">
        <v>573</v>
      </c>
      <c r="D5090" s="2" t="str">
        <f t="shared" si="78"/>
        <v>Error?</v>
      </c>
    </row>
    <row r="5091" spans="1:4" x14ac:dyDescent="0.2">
      <c r="A5091" s="5">
        <v>5030</v>
      </c>
      <c r="B5091" s="138">
        <f>'Revenues 9-14'!C70</f>
        <v>2214</v>
      </c>
      <c r="D5091" s="2" t="str">
        <f t="shared" si="78"/>
        <v>Error?</v>
      </c>
    </row>
    <row r="5092" spans="1:4" x14ac:dyDescent="0.2">
      <c r="A5092" s="5">
        <v>5031</v>
      </c>
      <c r="B5092" s="138">
        <f>'Revenues 9-14'!C71</f>
        <v>502598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4919</v>
      </c>
      <c r="D5094" s="2" t="str">
        <f t="shared" si="78"/>
        <v>Error?</v>
      </c>
    </row>
    <row r="5095" spans="1:4" x14ac:dyDescent="0.2">
      <c r="A5095" s="5">
        <v>5034</v>
      </c>
      <c r="B5095" s="138">
        <f>'Revenues 9-14'!C74</f>
        <v>3118</v>
      </c>
      <c r="D5095" s="2" t="str">
        <f t="shared" si="78"/>
        <v>Error?</v>
      </c>
    </row>
    <row r="5096" spans="1:4" x14ac:dyDescent="0.2">
      <c r="A5096" s="5">
        <v>5035</v>
      </c>
      <c r="B5096" s="138">
        <f>'Revenues 9-14'!C75</f>
        <v>573600</v>
      </c>
      <c r="C5096" s="2" t="s">
        <v>573</v>
      </c>
      <c r="D5096" s="2" t="str">
        <f t="shared" si="78"/>
        <v>Error?</v>
      </c>
    </row>
    <row r="5097" spans="1:4" x14ac:dyDescent="0.2">
      <c r="A5097" s="5">
        <v>5036</v>
      </c>
      <c r="B5097" s="138">
        <f>'Revenues 9-14'!C77</f>
        <v>47805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21529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69334</v>
      </c>
      <c r="C5102" s="2" t="s">
        <v>573</v>
      </c>
      <c r="D5102" s="2" t="str">
        <f t="shared" si="78"/>
        <v>Error?</v>
      </c>
    </row>
    <row r="5103" spans="1:4" x14ac:dyDescent="0.2">
      <c r="A5103" s="5">
        <v>5042</v>
      </c>
      <c r="B5103" s="138">
        <f>'Revenues 9-14'!C84</f>
        <v>107133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109</v>
      </c>
      <c r="D5111" s="2" t="str">
        <f t="shared" si="78"/>
        <v>Error?</v>
      </c>
    </row>
    <row r="5112" spans="1:4" x14ac:dyDescent="0.2">
      <c r="A5112" s="5">
        <v>5051</v>
      </c>
      <c r="B5112" s="138">
        <f>'Revenues 9-14'!C93</f>
        <v>107242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560843</v>
      </c>
      <c r="D5115" s="2" t="str">
        <f t="shared" si="78"/>
        <v>Error?</v>
      </c>
    </row>
    <row r="5116" spans="1:4" x14ac:dyDescent="0.2">
      <c r="A5116" s="5">
        <v>5055</v>
      </c>
      <c r="B5116" s="138">
        <f>'Revenues 9-14'!C99</f>
        <v>51495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34685</v>
      </c>
      <c r="D5118" s="2" t="str">
        <f t="shared" si="78"/>
        <v>Error?</v>
      </c>
    </row>
    <row r="5119" spans="1:4" x14ac:dyDescent="0.2">
      <c r="A5119" s="5">
        <v>5058</v>
      </c>
      <c r="B5119" s="138">
        <f>'Revenues 9-14'!C107</f>
        <v>1337</v>
      </c>
      <c r="D5119" s="2" t="str">
        <f t="shared" ref="D5119:D5182" si="79">IF(ISBLANK(B5119),"OK",IF(A5119-B5119=0,"OK","Error?"))</f>
        <v>Error?</v>
      </c>
    </row>
    <row r="5120" spans="1:4" x14ac:dyDescent="0.2">
      <c r="A5120" s="5">
        <v>5059</v>
      </c>
      <c r="B5120" s="138">
        <f>'Revenues 9-14'!C108</f>
        <v>663460</v>
      </c>
      <c r="C5120" s="2" t="s">
        <v>573</v>
      </c>
      <c r="D5120" s="2" t="str">
        <f t="shared" si="79"/>
        <v>Error?</v>
      </c>
    </row>
    <row r="5121" spans="1:4" x14ac:dyDescent="0.2">
      <c r="A5121" s="5">
        <v>5060</v>
      </c>
      <c r="B5121" s="138">
        <f>'Revenues 9-14'!C109</f>
        <v>10850255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2971195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2971195</v>
      </c>
      <c r="C5132" s="2" t="s">
        <v>573</v>
      </c>
      <c r="D5132" s="2" t="str">
        <f t="shared" si="79"/>
        <v>Error?</v>
      </c>
    </row>
    <row r="5133" spans="1:4" x14ac:dyDescent="0.2">
      <c r="A5133" s="5">
        <v>5072</v>
      </c>
      <c r="B5133" s="138">
        <f>'Revenues 9-14'!C125</f>
        <v>29709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29709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40980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40980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1942</v>
      </c>
      <c r="D5167" s="2" t="str">
        <f t="shared" si="79"/>
        <v>Error?</v>
      </c>
    </row>
    <row r="5168" spans="1:4" x14ac:dyDescent="0.2">
      <c r="A5168" s="5">
        <v>5107</v>
      </c>
      <c r="B5168" s="138">
        <f>'Revenues 9-14'!C148</f>
        <v>70264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167388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3138583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100192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15168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115360</v>
      </c>
      <c r="C5246" s="2" t="s">
        <v>573</v>
      </c>
      <c r="D5246" s="2" t="str">
        <f t="shared" si="80"/>
        <v>Error?</v>
      </c>
    </row>
    <row r="5247" spans="1:4" x14ac:dyDescent="0.2">
      <c r="A5247" s="5">
        <v>5186</v>
      </c>
      <c r="B5247" s="138">
        <f>'Revenues 9-14'!C200</f>
        <v>100572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100572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92592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92592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356683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356683</v>
      </c>
      <c r="C5326" s="2" t="s">
        <v>573</v>
      </c>
      <c r="D5326" s="2" t="str">
        <f t="shared" si="82"/>
        <v>Error?</v>
      </c>
    </row>
    <row r="5327" spans="1:5" x14ac:dyDescent="0.2">
      <c r="A5327" s="5">
        <v>5266</v>
      </c>
      <c r="B5327" s="138">
        <f>'Revenues 9-14'!C268</f>
        <v>14345521</v>
      </c>
      <c r="C5327" s="2" t="s">
        <v>573</v>
      </c>
      <c r="D5327" s="2" t="str">
        <f t="shared" si="82"/>
        <v>Error?</v>
      </c>
    </row>
    <row r="5328" spans="1:5" x14ac:dyDescent="0.2">
      <c r="A5328" s="5">
        <v>5267</v>
      </c>
      <c r="B5328" s="138">
        <f>'Revenues 9-14'!D5</f>
        <v>2077646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2077646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44879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44879</v>
      </c>
      <c r="C5339" s="2" t="s">
        <v>573</v>
      </c>
      <c r="D5339" s="2" t="str">
        <f t="shared" si="82"/>
        <v>Error?</v>
      </c>
    </row>
    <row r="5340" spans="1:4" x14ac:dyDescent="0.2">
      <c r="A5340" s="5">
        <v>5279</v>
      </c>
      <c r="B5340" s="138">
        <f>'Revenues 9-14'!D65</f>
        <v>113181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113181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67142</v>
      </c>
      <c r="D5354" s="2" t="str">
        <f t="shared" si="82"/>
        <v>Error?</v>
      </c>
    </row>
    <row r="5355" spans="1:4" x14ac:dyDescent="0.2">
      <c r="A5355" s="5">
        <v>5294</v>
      </c>
      <c r="B5355" s="138">
        <f>'Revenues 9-14'!D108</f>
        <v>67142</v>
      </c>
      <c r="C5355" s="2" t="s">
        <v>573</v>
      </c>
      <c r="D5355" s="2" t="str">
        <f t="shared" si="82"/>
        <v>Error?</v>
      </c>
    </row>
    <row r="5356" spans="1:4" x14ac:dyDescent="0.2">
      <c r="A5356" s="5">
        <v>5295</v>
      </c>
      <c r="B5356" s="138">
        <f>'Revenues 9-14'!D109</f>
        <v>2302848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2302848</v>
      </c>
      <c r="C5508" s="2" t="s">
        <v>573</v>
      </c>
      <c r="D5508" s="2" t="str">
        <f t="shared" si="85"/>
        <v>Error?</v>
      </c>
    </row>
    <row r="5509" spans="1:4" x14ac:dyDescent="0.2">
      <c r="A5509" s="5">
        <v>5448</v>
      </c>
      <c r="B5509" s="138">
        <f>'Revenues 9-14'!E5</f>
        <v>1277353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1277353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7525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7525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1284878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1284878</v>
      </c>
      <c r="C5552" s="2" t="s">
        <v>573</v>
      </c>
      <c r="D5552" s="2" t="str">
        <f t="shared" si="85"/>
        <v>Error?</v>
      </c>
    </row>
    <row r="5553" spans="1:4" x14ac:dyDescent="0.2">
      <c r="A5553" s="5">
        <v>5492</v>
      </c>
      <c r="B5553" s="138">
        <f>'Revenues 9-14'!F5</f>
        <v>559036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559036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18522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18522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577558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9803</v>
      </c>
      <c r="D5615" s="2" t="str">
        <f t="shared" si="86"/>
        <v>Error?</v>
      </c>
    </row>
    <row r="5616" spans="1:4" x14ac:dyDescent="0.2">
      <c r="A5616" s="10">
        <v>5555</v>
      </c>
      <c r="D5616" s="2" t="str">
        <f t="shared" si="86"/>
        <v>OK</v>
      </c>
    </row>
    <row r="5617" spans="1:5" x14ac:dyDescent="0.2">
      <c r="A5617" s="5">
        <v>5556</v>
      </c>
      <c r="B5617" s="138">
        <f>'Revenues 9-14'!F153</f>
        <v>104059</v>
      </c>
      <c r="D5617" s="2" t="str">
        <f t="shared" si="86"/>
        <v>Error?</v>
      </c>
    </row>
    <row r="5618" spans="1:5" x14ac:dyDescent="0.2">
      <c r="A5618" s="5">
        <v>5557</v>
      </c>
      <c r="B5618" s="138">
        <f>'Revenues 9-14'!F155</f>
        <v>113862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113862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113862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691420</v>
      </c>
      <c r="C5720" s="2" t="s">
        <v>573</v>
      </c>
      <c r="D5720" s="2" t="str">
        <f t="shared" si="88"/>
        <v>Error?</v>
      </c>
    </row>
    <row r="5721" spans="1:4" x14ac:dyDescent="0.2">
      <c r="A5721" s="5">
        <v>5660</v>
      </c>
      <c r="B5721" s="138">
        <f>'Revenues 9-14'!G5</f>
        <v>158373</v>
      </c>
      <c r="D5721" s="2" t="str">
        <f t="shared" si="88"/>
        <v>Error?</v>
      </c>
    </row>
    <row r="5722" spans="1:4" x14ac:dyDescent="0.2">
      <c r="A5722" s="5">
        <v>5661</v>
      </c>
      <c r="B5722" s="138">
        <f>'Revenues 9-14'!G7</f>
        <v>0</v>
      </c>
      <c r="D5722" s="2" t="str">
        <f t="shared" si="88"/>
        <v>Error?</v>
      </c>
    </row>
    <row r="5723" spans="1:4" x14ac:dyDescent="0.2">
      <c r="A5723" s="5">
        <v>5662</v>
      </c>
      <c r="B5723" s="138">
        <f>'Revenues 9-14'!G8</f>
        <v>178109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336482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14960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14960</v>
      </c>
      <c r="C5730" s="2" t="s">
        <v>573</v>
      </c>
      <c r="D5730" s="2" t="str">
        <f t="shared" si="88"/>
        <v>Error?</v>
      </c>
    </row>
    <row r="5731" spans="1:4" x14ac:dyDescent="0.2">
      <c r="A5731" s="5">
        <v>5670</v>
      </c>
      <c r="B5731" s="138">
        <f>'Revenues 9-14'!G65</f>
        <v>6272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6272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357714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6510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6510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6510</v>
      </c>
      <c r="C5915" s="2" t="s">
        <v>573</v>
      </c>
      <c r="D5915" s="2" t="str">
        <f t="shared" si="91"/>
        <v>Error?</v>
      </c>
    </row>
    <row r="5916" spans="1:4" x14ac:dyDescent="0.2">
      <c r="A5916" s="5">
        <v>5855</v>
      </c>
      <c r="B5916" s="138">
        <f>'Revenues 9-14'!I5</f>
        <v>197901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197901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80575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80575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278476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9916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9916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2139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2139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12055</v>
      </c>
      <c r="C6023" s="2" t="s">
        <v>573</v>
      </c>
      <c r="D6023" s="2" t="str">
        <f t="shared" si="93"/>
        <v>Error?</v>
      </c>
    </row>
    <row r="6024" spans="1:5" x14ac:dyDescent="0.2">
      <c r="A6024" s="5">
        <v>5963</v>
      </c>
      <c r="B6024" s="138">
        <f>'Revenues 9-14'!G109</f>
        <v>357714</v>
      </c>
      <c r="C6024" s="2" t="s">
        <v>573</v>
      </c>
      <c r="D6024" s="2" t="str">
        <f t="shared" si="93"/>
        <v>Error?</v>
      </c>
    </row>
    <row r="6025" spans="1:5" x14ac:dyDescent="0.2">
      <c r="A6025" s="5">
        <v>5964</v>
      </c>
      <c r="B6025" s="138">
        <f>'Revenues 9-14'!H109</f>
        <v>6510</v>
      </c>
      <c r="C6025" s="2" t="s">
        <v>573</v>
      </c>
      <c r="D6025" s="2" t="str">
        <f t="shared" si="93"/>
        <v>Error?</v>
      </c>
    </row>
    <row r="6026" spans="1:5" x14ac:dyDescent="0.2">
      <c r="A6026" s="5">
        <v>5965</v>
      </c>
      <c r="B6026" s="138">
        <f>'Revenues 9-14'!I109</f>
        <v>278476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12055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60751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20556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1244.4000000000001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78981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78981</v>
      </c>
      <c r="D6215" s="2" t="str">
        <f t="shared" si="96"/>
        <v>Error?</v>
      </c>
      <c r="E6215" s="2" t="s">
        <v>190</v>
      </c>
    </row>
    <row r="6216" spans="1:5" x14ac:dyDescent="0.2">
      <c r="A6216">
        <v>6155</v>
      </c>
      <c r="B6216" s="138">
        <f>'Assets-Liab 5-6'!J41</f>
        <v>78981</v>
      </c>
      <c r="D6216" s="2" t="str">
        <f t="shared" si="96"/>
        <v>Error?</v>
      </c>
      <c r="E6216" s="2" t="s">
        <v>190</v>
      </c>
    </row>
    <row r="6217" spans="1:5" x14ac:dyDescent="0.2">
      <c r="A6217">
        <v>6156</v>
      </c>
      <c r="B6217" s="138">
        <f>'Assets-Liab 5-6'!J4</f>
        <v>78981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85411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85411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85411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34362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34362</v>
      </c>
      <c r="D6229" s="2" t="str">
        <f t="shared" si="96"/>
        <v>Error?</v>
      </c>
      <c r="E6229" s="2" t="s">
        <v>190</v>
      </c>
    </row>
    <row r="6230" spans="1:5" x14ac:dyDescent="0.2">
      <c r="A6230">
        <v>6169</v>
      </c>
      <c r="B6230" s="138">
        <f>'Acct Summary 7-8'!J20</f>
        <v>51049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51049</v>
      </c>
      <c r="D6263" s="2" t="str">
        <f t="shared" si="96"/>
        <v>Error?</v>
      </c>
      <c r="E6263" s="2" t="s">
        <v>190</v>
      </c>
    </row>
    <row r="6264" spans="1:5" x14ac:dyDescent="0.2">
      <c r="A6264">
        <v>6203</v>
      </c>
      <c r="B6264" s="138">
        <f>'Acct Summary 7-8'!J79</f>
        <v>27932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78981</v>
      </c>
      <c r="D6266" s="2" t="str">
        <f t="shared" si="96"/>
        <v>Error?</v>
      </c>
      <c r="E6266" s="2" t="s">
        <v>190</v>
      </c>
    </row>
    <row r="6267" spans="1:5" x14ac:dyDescent="0.2">
      <c r="A6267">
        <v>6206</v>
      </c>
      <c r="B6267" s="138">
        <f>'Acct Summary 7-8'!C82</f>
        <v>-648669</v>
      </c>
      <c r="D6267" s="2" t="str">
        <f t="shared" si="96"/>
        <v>Error?</v>
      </c>
      <c r="E6267" s="2" t="s">
        <v>190</v>
      </c>
    </row>
    <row r="6268" spans="1:5" x14ac:dyDescent="0.2">
      <c r="A6268">
        <v>6207</v>
      </c>
      <c r="B6268" s="138">
        <f>'Acct Summary 7-8'!D82</f>
        <v>490841</v>
      </c>
      <c r="D6268" s="2" t="str">
        <f t="shared" si="96"/>
        <v>Error?</v>
      </c>
      <c r="E6268" s="2" t="s">
        <v>190</v>
      </c>
    </row>
    <row r="6269" spans="1:5" x14ac:dyDescent="0.2">
      <c r="A6269">
        <v>6208</v>
      </c>
      <c r="B6269" s="138">
        <f>'Acct Summary 7-8'!E82</f>
        <v>14313</v>
      </c>
      <c r="D6269" s="2" t="str">
        <f t="shared" si="96"/>
        <v>Error?</v>
      </c>
      <c r="E6269" s="2" t="s">
        <v>190</v>
      </c>
    </row>
    <row r="6270" spans="1:5" x14ac:dyDescent="0.2">
      <c r="A6270">
        <v>6209</v>
      </c>
      <c r="B6270" s="138">
        <f>'Acct Summary 7-8'!F82</f>
        <v>19158</v>
      </c>
      <c r="D6270" s="2" t="str">
        <f t="shared" si="96"/>
        <v>Error?</v>
      </c>
      <c r="E6270" s="2" t="s">
        <v>190</v>
      </c>
    </row>
    <row r="6271" spans="1:5" x14ac:dyDescent="0.2">
      <c r="A6271">
        <v>6210</v>
      </c>
      <c r="B6271" s="138">
        <f>'Acct Summary 7-8'!G82</f>
        <v>-103461</v>
      </c>
      <c r="D6271" s="2" t="str">
        <f t="shared" ref="D6271:D6334" si="97">IF(ISBLANK(B6271),"OK",IF(A6271-B6271=0,"OK","Error?"))</f>
        <v>Error?</v>
      </c>
      <c r="E6271" s="2" t="s">
        <v>190</v>
      </c>
    </row>
    <row r="6272" spans="1:5" x14ac:dyDescent="0.2">
      <c r="A6272">
        <v>6211</v>
      </c>
      <c r="B6272" s="138">
        <f>'Acct Summary 7-8'!H82</f>
        <v>738602</v>
      </c>
      <c r="D6272" s="2" t="str">
        <f t="shared" si="97"/>
        <v>Error?</v>
      </c>
      <c r="E6272" s="2" t="s">
        <v>190</v>
      </c>
    </row>
    <row r="6273" spans="1:5" x14ac:dyDescent="0.2">
      <c r="A6273">
        <v>6212</v>
      </c>
      <c r="B6273" s="138">
        <f>'Acct Summary 7-8'!I82</f>
        <v>-3221524</v>
      </c>
      <c r="D6273" s="2" t="str">
        <f t="shared" si="97"/>
        <v>Error?</v>
      </c>
      <c r="E6273" s="2" t="s">
        <v>190</v>
      </c>
    </row>
    <row r="6274" spans="1:5" x14ac:dyDescent="0.2">
      <c r="A6274">
        <v>6213</v>
      </c>
      <c r="B6274" s="138">
        <f>'Acct Summary 7-8'!J82</f>
        <v>51049</v>
      </c>
      <c r="D6274" s="2" t="str">
        <f t="shared" si="97"/>
        <v>Error?</v>
      </c>
      <c r="E6274" s="2" t="s">
        <v>190</v>
      </c>
    </row>
    <row r="6275" spans="1:5" x14ac:dyDescent="0.2">
      <c r="A6275">
        <v>6214</v>
      </c>
      <c r="B6275" s="138">
        <f>'Acct Summary 7-8'!K82</f>
        <v>12055</v>
      </c>
      <c r="D6275" s="2" t="str">
        <f t="shared" si="97"/>
        <v>Error?</v>
      </c>
      <c r="E6275" s="2" t="s">
        <v>190</v>
      </c>
    </row>
    <row r="6276" spans="1:5" x14ac:dyDescent="0.2">
      <c r="A6276">
        <v>6215</v>
      </c>
      <c r="B6276" s="138">
        <f>'Acct Summary 7-8'!C83</f>
        <v>-0.21914248928981536</v>
      </c>
      <c r="D6276" s="2" t="str">
        <f t="shared" si="97"/>
        <v>Error?</v>
      </c>
      <c r="E6276" s="2" t="s">
        <v>190</v>
      </c>
    </row>
    <row r="6277" spans="1:5" x14ac:dyDescent="0.2">
      <c r="A6277">
        <v>6216</v>
      </c>
      <c r="B6277" s="138">
        <f>'Acct Summary 7-8'!D83</f>
        <v>8.248018784016245E-2</v>
      </c>
      <c r="D6277" s="2" t="str">
        <f t="shared" si="97"/>
        <v>Error?</v>
      </c>
      <c r="E6277" s="2" t="s">
        <v>190</v>
      </c>
    </row>
    <row r="6278" spans="1:5" x14ac:dyDescent="0.2">
      <c r="A6278">
        <v>6217</v>
      </c>
      <c r="B6278" s="138">
        <f>'Acct Summary 7-8'!E83</f>
        <v>0.31516018936474732</v>
      </c>
      <c r="D6278" s="2" t="str">
        <f t="shared" si="97"/>
        <v>Error?</v>
      </c>
      <c r="E6278" s="2" t="s">
        <v>190</v>
      </c>
    </row>
    <row r="6279" spans="1:5" x14ac:dyDescent="0.2">
      <c r="A6279">
        <v>6218</v>
      </c>
      <c r="B6279" s="138">
        <f>'Acct Summary 7-8'!F83</f>
        <v>1.9123711185843783E-2</v>
      </c>
      <c r="D6279" s="2" t="str">
        <f t="shared" si="97"/>
        <v>Error?</v>
      </c>
      <c r="E6279" s="2" t="s">
        <v>190</v>
      </c>
    </row>
    <row r="6280" spans="1:5" x14ac:dyDescent="0.2">
      <c r="A6280">
        <v>6219</v>
      </c>
      <c r="B6280" s="138">
        <f>'Acct Summary 7-8'!G83</f>
        <v>-0.45122727748508429</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-2.2866272871425997</v>
      </c>
      <c r="D6282" s="2" t="str">
        <f t="shared" si="97"/>
        <v>Error?</v>
      </c>
      <c r="E6282" s="2" t="s">
        <v>190</v>
      </c>
    </row>
    <row r="6283" spans="1:5" x14ac:dyDescent="0.2">
      <c r="A6283">
        <v>6222</v>
      </c>
      <c r="B6283" s="138">
        <f>'Acct Summary 7-8'!J83</f>
        <v>0.64634532355883056</v>
      </c>
      <c r="D6283" s="2" t="str">
        <f t="shared" si="97"/>
        <v>Error?</v>
      </c>
      <c r="E6283" s="2" t="s">
        <v>190</v>
      </c>
    </row>
    <row r="6284" spans="1:5" x14ac:dyDescent="0.2">
      <c r="A6284">
        <v>6223</v>
      </c>
      <c r="B6284" s="138">
        <f>'Acct Summary 7-8'!K83</f>
        <v>8.8229051546844461E-2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500000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84096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84096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1315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1315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15100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85411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298586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347699</v>
      </c>
      <c r="D6880" s="2" t="str">
        <f t="shared" si="106"/>
        <v>Error?</v>
      </c>
    </row>
    <row r="6881" spans="1:4" x14ac:dyDescent="0.2">
      <c r="A6881">
        <v>6820</v>
      </c>
      <c r="B6881" s="138">
        <f>'Expenditures 15-22'!K22</f>
        <v>347699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615</v>
      </c>
      <c r="D6981" s="2" t="str">
        <f t="shared" si="108"/>
        <v>Error?</v>
      </c>
    </row>
    <row r="6982" spans="1:4" x14ac:dyDescent="0.2">
      <c r="A6982">
        <v>6921</v>
      </c>
      <c r="B6982" s="138">
        <f>'Expenditures 15-22'!K85</f>
        <v>615</v>
      </c>
      <c r="D6982" s="2" t="str">
        <f t="shared" si="108"/>
        <v>Error?</v>
      </c>
    </row>
    <row r="6983" spans="1:4" x14ac:dyDescent="0.2">
      <c r="A6983">
        <v>6922</v>
      </c>
      <c r="B6983" s="138">
        <f>'Expenditures 15-22'!H86</f>
        <v>99608</v>
      </c>
      <c r="D6983" s="2" t="str">
        <f t="shared" si="108"/>
        <v>Error?</v>
      </c>
    </row>
    <row r="6984" spans="1:4" x14ac:dyDescent="0.2">
      <c r="A6984">
        <v>6923</v>
      </c>
      <c r="B6984" s="138">
        <f>'Expenditures 15-22'!K86</f>
        <v>99608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100223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34362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85411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2341</v>
      </c>
      <c r="D7079" s="2" t="str">
        <f t="shared" si="109"/>
        <v>Error?</v>
      </c>
    </row>
    <row r="7080" spans="1:4" x14ac:dyDescent="0.2">
      <c r="A7080">
        <v>7019</v>
      </c>
      <c r="B7080" s="138">
        <f>'Expenditures 15-22'!K226</f>
        <v>2341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34362</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34362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34362</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34362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34362</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34362</v>
      </c>
      <c r="D7224" s="2" t="str">
        <f t="shared" si="111"/>
        <v>Error?</v>
      </c>
    </row>
    <row r="7225" spans="1:4" x14ac:dyDescent="0.2">
      <c r="A7225">
        <v>7164</v>
      </c>
      <c r="B7225" s="138">
        <f>'Expenditures 15-22'!K343</f>
        <v>51049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238010</v>
      </c>
      <c r="D7263" s="2" t="str">
        <f t="shared" si="112"/>
        <v>Error?</v>
      </c>
    </row>
    <row r="7264" spans="1:4" x14ac:dyDescent="0.2">
      <c r="A7264">
        <f t="shared" si="113"/>
        <v>7203</v>
      </c>
      <c r="B7264" s="138">
        <f>'Expenditures 15-22'!D17</f>
        <v>47090</v>
      </c>
      <c r="D7264" s="2" t="str">
        <f t="shared" si="112"/>
        <v>Error?</v>
      </c>
    </row>
    <row r="7265" spans="1:5" x14ac:dyDescent="0.2">
      <c r="A7265">
        <f t="shared" si="113"/>
        <v>7204</v>
      </c>
      <c r="B7265" s="138">
        <f>'Expenditures 15-22'!E17</f>
        <v>9557</v>
      </c>
      <c r="D7265" s="2" t="str">
        <f t="shared" si="112"/>
        <v>Error?</v>
      </c>
    </row>
    <row r="7266" spans="1:5" x14ac:dyDescent="0.2">
      <c r="A7266">
        <f t="shared" si="113"/>
        <v>7205</v>
      </c>
      <c r="B7266" s="138">
        <f>'Expenditures 15-22'!F17</f>
        <v>3929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1615460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500000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15100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70264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85364</v>
      </c>
      <c r="D7719" s="2" t="str">
        <f t="shared" si="126"/>
        <v>Error?</v>
      </c>
      <c r="E7719" s="2" t="s">
        <v>827</v>
      </c>
    </row>
    <row r="7720" spans="1:6" x14ac:dyDescent="0.2">
      <c r="A7720">
        <v>7659</v>
      </c>
      <c r="B7720" s="138">
        <f>'Rest Tax Levies-Tort Im 25'!H14</f>
        <v>128651</v>
      </c>
      <c r="D7720" s="2" t="str">
        <f t="shared" si="126"/>
        <v>Error?</v>
      </c>
      <c r="E7720" s="2" t="s">
        <v>827</v>
      </c>
    </row>
    <row r="7721" spans="1:6" x14ac:dyDescent="0.2">
      <c r="A7721">
        <v>7660</v>
      </c>
      <c r="B7721" s="138">
        <f>'Rest Tax Levies-Tort Im 25'!K14</f>
        <v>85364</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3500000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1707278</v>
      </c>
      <c r="D7797" s="2" t="str">
        <f t="shared" si="127"/>
        <v>Error?</v>
      </c>
      <c r="E7797" s="4" t="s">
        <v>1903</v>
      </c>
    </row>
    <row r="7798" spans="1:5" x14ac:dyDescent="0.2">
      <c r="A7798">
        <v>7737</v>
      </c>
      <c r="B7798" s="138">
        <f>'Contracts Paid in CY 29'!F142</f>
        <v>575000</v>
      </c>
      <c r="D7798" s="2" t="str">
        <f t="shared" si="127"/>
        <v>Error?</v>
      </c>
      <c r="E7798" s="4" t="s">
        <v>1903</v>
      </c>
    </row>
    <row r="7799" spans="1:5" x14ac:dyDescent="0.2">
      <c r="A7799">
        <v>7738</v>
      </c>
      <c r="B7799" s="138">
        <f>'Contracts Paid in CY 29'!G142</f>
        <v>1132278</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4" t="s">
        <v>1191</v>
      </c>
      <c r="B2" s="2394"/>
      <c r="C2" s="2394"/>
      <c r="D2" s="2394"/>
      <c r="E2" s="2394"/>
      <c r="F2" s="2394"/>
      <c r="G2" s="2394"/>
      <c r="H2" s="2394"/>
      <c r="I2" s="2394"/>
      <c r="J2" s="2394"/>
      <c r="K2" s="2394"/>
      <c r="L2" s="2394"/>
    </row>
    <row r="3" spans="1:29" ht="13.5" customHeight="1" x14ac:dyDescent="0.2">
      <c r="A3" s="2425" t="s">
        <v>1190</v>
      </c>
      <c r="B3" s="2425"/>
      <c r="C3" s="2425"/>
      <c r="D3" s="2425"/>
      <c r="E3" s="2425"/>
      <c r="F3" s="2425"/>
      <c r="G3" s="2425"/>
      <c r="H3" s="2425"/>
      <c r="I3" s="2425"/>
      <c r="J3" s="2425"/>
      <c r="K3" s="2425"/>
      <c r="L3" s="2425"/>
    </row>
    <row r="4" spans="1:29" ht="13.5" customHeight="1" x14ac:dyDescent="0.2">
      <c r="A4" s="2394" t="s">
        <v>1987</v>
      </c>
      <c r="B4" s="2415"/>
      <c r="C4" s="2415"/>
      <c r="D4" s="2415"/>
      <c r="E4" s="2415"/>
      <c r="F4" s="2415"/>
      <c r="G4" s="2415"/>
      <c r="H4" s="2415"/>
      <c r="I4" s="2415"/>
      <c r="J4" s="2415"/>
      <c r="K4" s="2415"/>
      <c r="L4" s="241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6" t="str">
        <f>COVER!A17</f>
        <v>Washington CHSD 308</v>
      </c>
      <c r="B7" s="2417"/>
      <c r="C7" s="2417"/>
      <c r="D7" s="2418"/>
      <c r="E7" s="2419">
        <f>COVER!A13</f>
        <v>53090308016</v>
      </c>
      <c r="F7" s="2420"/>
      <c r="G7" s="2426">
        <f>COVER!T23</f>
        <v>65.027017999999998</v>
      </c>
      <c r="H7" s="2427"/>
      <c r="I7" s="2427"/>
      <c r="J7" s="2427"/>
      <c r="K7" s="2427"/>
      <c r="L7" s="242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9"/>
      <c r="B9" s="2430"/>
      <c r="C9" s="2430"/>
      <c r="D9" s="2430"/>
      <c r="E9" s="2430"/>
      <c r="F9" s="2431"/>
      <c r="G9" s="2400" t="str">
        <f>COVER!T13</f>
        <v>Koch Consultants, Ltd.</v>
      </c>
      <c r="H9" s="2432"/>
      <c r="I9" s="2432"/>
      <c r="J9" s="2432"/>
      <c r="K9" s="2432"/>
      <c r="L9" s="2433"/>
    </row>
    <row r="10" spans="1:29" ht="13.5" customHeight="1" x14ac:dyDescent="0.2">
      <c r="A10" s="2406" t="str">
        <f>COVER!A38</f>
        <v>Dr. Kyle Freeman</v>
      </c>
      <c r="B10" s="2407"/>
      <c r="C10" s="2407"/>
      <c r="D10" s="2407"/>
      <c r="E10" s="2407"/>
      <c r="F10" s="2408"/>
      <c r="G10" s="2400" t="str">
        <f>COVER!T17</f>
        <v>PO Box 1400</v>
      </c>
      <c r="H10" s="2401"/>
      <c r="I10" s="2401"/>
      <c r="J10" s="2401"/>
      <c r="K10" s="2401"/>
      <c r="L10" s="2402"/>
    </row>
    <row r="11" spans="1:29" ht="13.5" customHeight="1" x14ac:dyDescent="0.2">
      <c r="A11" s="1184" t="s">
        <v>1519</v>
      </c>
      <c r="B11" s="1185"/>
      <c r="C11" s="1186"/>
      <c r="D11" s="1191"/>
      <c r="E11" s="1186"/>
      <c r="F11" s="1190"/>
      <c r="G11" s="2400" t="str">
        <f>COVER!T19</f>
        <v>Tremont</v>
      </c>
      <c r="H11" s="2401"/>
      <c r="I11" s="2401"/>
      <c r="J11" s="2401"/>
      <c r="K11" s="2401"/>
      <c r="L11" s="2402"/>
    </row>
    <row r="12" spans="1:29" ht="13.5" customHeight="1" x14ac:dyDescent="0.2">
      <c r="A12" s="2409" t="s">
        <v>1518</v>
      </c>
      <c r="B12" s="2410"/>
      <c r="C12" s="2410"/>
      <c r="D12" s="2410"/>
      <c r="E12" s="2410"/>
      <c r="F12" s="2411"/>
      <c r="G12" s="2403"/>
      <c r="H12" s="2404"/>
      <c r="I12" s="2404"/>
      <c r="J12" s="2404"/>
      <c r="K12" s="2404"/>
      <c r="L12" s="2405"/>
    </row>
    <row r="13" spans="1:29" ht="13.5" customHeight="1" x14ac:dyDescent="0.2">
      <c r="A13" s="2400"/>
      <c r="B13" s="2401"/>
      <c r="C13" s="2401"/>
      <c r="D13" s="2401"/>
      <c r="E13" s="2401"/>
      <c r="F13" s="2402"/>
      <c r="G13" s="2395" t="s">
        <v>1520</v>
      </c>
      <c r="H13" s="2396"/>
      <c r="I13" s="2412" t="str">
        <f>COVER!T25</f>
        <v>nate@kochconsultants.com</v>
      </c>
      <c r="J13" s="2413"/>
      <c r="K13" s="2413"/>
      <c r="L13" s="2414"/>
    </row>
    <row r="14" spans="1:29" ht="13.5" customHeight="1" x14ac:dyDescent="0.2">
      <c r="A14" s="2400" t="str">
        <f>COVER!A19</f>
        <v>115 Bondurant Street</v>
      </c>
      <c r="B14" s="2401"/>
      <c r="C14" s="2401"/>
      <c r="D14" s="2401"/>
      <c r="E14" s="2401"/>
      <c r="F14" s="2402"/>
      <c r="G14" s="1195" t="s">
        <v>1185</v>
      </c>
      <c r="H14" s="1193"/>
      <c r="I14" s="1193"/>
      <c r="J14" s="1193"/>
      <c r="K14" s="1193"/>
      <c r="L14" s="1194"/>
    </row>
    <row r="15" spans="1:29" ht="13.5" customHeight="1" x14ac:dyDescent="0.2">
      <c r="A15" s="2400" t="str">
        <f>COVER!A21</f>
        <v>Washington</v>
      </c>
      <c r="B15" s="2401"/>
      <c r="C15" s="2401"/>
      <c r="D15" s="2401"/>
      <c r="E15" s="2401"/>
      <c r="F15" s="2402"/>
      <c r="G15" s="2397" t="str">
        <f>COVER!T15</f>
        <v>Nathan D. Koch</v>
      </c>
      <c r="H15" s="2398"/>
      <c r="I15" s="2398"/>
      <c r="J15" s="2398"/>
      <c r="K15" s="2398"/>
      <c r="L15" s="2399"/>
    </row>
    <row r="16" spans="1:29" ht="12.2" customHeight="1" x14ac:dyDescent="0.2">
      <c r="A16" s="2422" t="str">
        <f>COVER!A25</f>
        <v>61571-2499</v>
      </c>
      <c r="B16" s="2423"/>
      <c r="C16" s="2423"/>
      <c r="D16" s="2423"/>
      <c r="E16" s="2423"/>
      <c r="F16" s="2424"/>
      <c r="G16" s="2434"/>
      <c r="H16" s="2435"/>
      <c r="I16" s="2435"/>
      <c r="J16" s="2435"/>
      <c r="K16" s="2435"/>
      <c r="L16" s="2436"/>
    </row>
    <row r="17" spans="1:13" ht="12.2" customHeight="1" x14ac:dyDescent="0.2">
      <c r="A17" s="2437"/>
      <c r="B17" s="2423"/>
      <c r="C17" s="2423"/>
      <c r="D17" s="2423"/>
      <c r="E17" s="2423"/>
      <c r="F17" s="2424"/>
      <c r="G17" s="1195" t="s">
        <v>1184</v>
      </c>
      <c r="H17" s="1193"/>
      <c r="I17" s="1193"/>
      <c r="J17" s="1193"/>
      <c r="K17" s="1197" t="s">
        <v>1183</v>
      </c>
      <c r="L17" s="1190"/>
      <c r="M17" s="1183"/>
    </row>
    <row r="18" spans="1:13" ht="12.2" customHeight="1" x14ac:dyDescent="0.2">
      <c r="A18" s="2406"/>
      <c r="B18" s="2407"/>
      <c r="C18" s="2407"/>
      <c r="D18" s="2407"/>
      <c r="E18" s="2407"/>
      <c r="F18" s="2408"/>
      <c r="G18" s="2416" t="str">
        <f>COVER!T21</f>
        <v>(309) 267-3796</v>
      </c>
      <c r="H18" s="2417"/>
      <c r="I18" s="2417"/>
      <c r="J18" s="2417"/>
      <c r="K18" s="2416" t="str">
        <f>COVER!X21</f>
        <v>(309) 216-3796</v>
      </c>
      <c r="L18" s="242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8" t="str">
        <f>'Single Audit Cover'!A7</f>
        <v>Washington CHSD 308</v>
      </c>
      <c r="B1" s="2415"/>
      <c r="C1" s="2415"/>
      <c r="D1" s="2415"/>
    </row>
    <row r="2" spans="1:11" s="1212" customFormat="1" ht="12.75" x14ac:dyDescent="0.2">
      <c r="A2" s="2439">
        <f>'Single Audit Cover'!E7</f>
        <v>53090308016</v>
      </c>
      <c r="B2" s="2440"/>
      <c r="C2" s="2440"/>
      <c r="D2" s="2440"/>
    </row>
    <row r="3" spans="1:11" s="1212" customFormat="1" ht="12.75" x14ac:dyDescent="0.2">
      <c r="A3" s="2438" t="s">
        <v>1513</v>
      </c>
      <c r="B3" s="2415"/>
      <c r="C3" s="2415"/>
      <c r="D3" s="241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2" t="str">
        <f>'Single Audit Cover'!A7</f>
        <v>Washington CHSD 308</v>
      </c>
      <c r="B1" s="2442"/>
      <c r="C1" s="2442"/>
      <c r="D1" s="2442"/>
      <c r="E1" s="2442"/>
    </row>
    <row r="2" spans="1:5" x14ac:dyDescent="0.2">
      <c r="A2" s="2443">
        <f>'Single Audit Cover'!E7</f>
        <v>53090308016</v>
      </c>
      <c r="B2" s="2443"/>
      <c r="C2" s="2443"/>
      <c r="D2" s="2443"/>
      <c r="E2" s="2443"/>
    </row>
    <row r="3" spans="1:5" ht="4.5" customHeight="1" x14ac:dyDescent="0.2"/>
    <row r="4" spans="1:5" x14ac:dyDescent="0.2">
      <c r="A4" s="2442" t="s">
        <v>1245</v>
      </c>
      <c r="B4" s="2442"/>
      <c r="C4" s="2442"/>
      <c r="D4" s="2442"/>
      <c r="E4" s="2442"/>
    </row>
    <row r="5" spans="1:5" x14ac:dyDescent="0.2">
      <c r="A5" s="2445" t="str">
        <f>'Single Audit Cover'!A4</f>
        <v>Year Ending June 30, 2019</v>
      </c>
      <c r="B5" s="2445"/>
      <c r="C5" s="2445"/>
      <c r="D5" s="2445"/>
      <c r="E5" s="2445"/>
    </row>
    <row r="6" spans="1:5" x14ac:dyDescent="0.2">
      <c r="A6" s="2442" t="s">
        <v>1244</v>
      </c>
      <c r="B6" s="2442"/>
      <c r="C6" s="2442"/>
      <c r="D6" s="2442"/>
      <c r="E6" s="2442"/>
    </row>
    <row r="8" spans="1:5" x14ac:dyDescent="0.2">
      <c r="A8" s="1257" t="s">
        <v>1243</v>
      </c>
    </row>
    <row r="10" spans="1:5" x14ac:dyDescent="0.2">
      <c r="A10" s="1258" t="s">
        <v>1242</v>
      </c>
      <c r="B10" s="1259" t="s">
        <v>1241</v>
      </c>
      <c r="C10" s="1259"/>
      <c r="D10" s="1260">
        <f>SUM('Acct Summary 7-8'!C7:K7)</f>
        <v>356683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20556</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-3633</v>
      </c>
    </row>
    <row r="19" spans="1:4" ht="13.5" thickBot="1" x14ac:dyDescent="0.25">
      <c r="A19" s="1262" t="s">
        <v>1235</v>
      </c>
      <c r="D19" s="1263">
        <f>SUM(D10:D17)</f>
        <v>373606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4"/>
      <c r="B24" s="2444"/>
      <c r="D24" s="1265"/>
    </row>
    <row r="25" spans="1:4" x14ac:dyDescent="0.2">
      <c r="A25" s="2441"/>
      <c r="B25" s="2441"/>
      <c r="D25" s="1265"/>
    </row>
    <row r="26" spans="1:4" x14ac:dyDescent="0.2">
      <c r="A26" s="2441"/>
      <c r="B26" s="2441"/>
      <c r="D26" s="1265"/>
    </row>
    <row r="27" spans="1:4" x14ac:dyDescent="0.2">
      <c r="A27" s="2441"/>
      <c r="B27" s="2441"/>
      <c r="D27" s="1265"/>
    </row>
    <row r="28" spans="1:4" x14ac:dyDescent="0.2">
      <c r="A28" s="2441"/>
      <c r="B28" s="2441"/>
      <c r="D28" s="1265"/>
    </row>
    <row r="29" spans="1:4" x14ac:dyDescent="0.2">
      <c r="A29" s="2441"/>
      <c r="B29" s="2441"/>
      <c r="D29" s="1265"/>
    </row>
    <row r="30" spans="1:4" x14ac:dyDescent="0.2">
      <c r="A30" s="2441"/>
      <c r="B30" s="2441"/>
      <c r="D30" s="1265"/>
    </row>
    <row r="32" spans="1:4" x14ac:dyDescent="0.2">
      <c r="A32" s="1257" t="s">
        <v>1233</v>
      </c>
      <c r="D32" s="1260">
        <f>SUM(D19:D30)</f>
        <v>373606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41"/>
      <c r="B40" s="2441"/>
      <c r="D40" s="1265"/>
    </row>
    <row r="41" spans="1:4" x14ac:dyDescent="0.2">
      <c r="A41" s="2441"/>
      <c r="B41" s="2441"/>
      <c r="D41" s="1268"/>
    </row>
    <row r="42" spans="1:4" x14ac:dyDescent="0.2">
      <c r="A42" s="2441"/>
      <c r="B42" s="2441"/>
      <c r="D42" s="1268"/>
    </row>
    <row r="43" spans="1:4" x14ac:dyDescent="0.2">
      <c r="A43" s="2441"/>
      <c r="B43" s="2441"/>
      <c r="D43" s="1268"/>
    </row>
    <row r="44" spans="1:4" x14ac:dyDescent="0.2">
      <c r="A44" s="2441"/>
      <c r="B44" s="2441"/>
      <c r="D44" s="1268"/>
    </row>
    <row r="45" spans="1:4" x14ac:dyDescent="0.2">
      <c r="A45" s="2441"/>
      <c r="B45" s="2441"/>
      <c r="D45" s="1268"/>
    </row>
    <row r="47" spans="1:4" x14ac:dyDescent="0.2">
      <c r="B47" s="1269" t="s">
        <v>1227</v>
      </c>
      <c r="C47" s="1269"/>
      <c r="D47" s="1270">
        <f>SUM(D35:D45)</f>
        <v>0</v>
      </c>
    </row>
    <row r="49" spans="2:4" x14ac:dyDescent="0.2">
      <c r="B49" s="1269" t="s">
        <v>1226</v>
      </c>
      <c r="C49" s="1269"/>
      <c r="D49" s="1270">
        <f>D32-D47</f>
        <v>373606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5" t="str">
        <f>'Single Audit Cover'!A7</f>
        <v>Washington CHSD 308</v>
      </c>
      <c r="C1" s="2446"/>
      <c r="D1" s="2446"/>
      <c r="E1" s="2446"/>
      <c r="F1" s="2446"/>
      <c r="G1" s="2446"/>
      <c r="H1" s="2446"/>
      <c r="I1" s="2446"/>
      <c r="J1" s="2446"/>
      <c r="K1" s="2446"/>
      <c r="L1" s="2446"/>
      <c r="M1" s="2446"/>
    </row>
    <row r="2" spans="2:14" ht="15" x14ac:dyDescent="0.2">
      <c r="B2" s="2447">
        <f>'Single Audit Cover'!E7</f>
        <v>53090308016</v>
      </c>
      <c r="C2" s="2447"/>
      <c r="D2" s="2447"/>
      <c r="E2" s="2447"/>
      <c r="F2" s="2447"/>
      <c r="G2" s="2447"/>
      <c r="H2" s="2447"/>
      <c r="I2" s="2447"/>
      <c r="J2" s="2447"/>
      <c r="K2" s="2447"/>
      <c r="L2" s="2447"/>
      <c r="M2" s="2447"/>
      <c r="N2" s="1299"/>
    </row>
    <row r="3" spans="2:14" ht="15" x14ac:dyDescent="0.2">
      <c r="B3" s="2448" t="s">
        <v>1219</v>
      </c>
      <c r="C3" s="2448"/>
      <c r="D3" s="2448"/>
      <c r="E3" s="2448"/>
      <c r="F3" s="2448"/>
      <c r="G3" s="2448"/>
      <c r="H3" s="2448"/>
      <c r="I3" s="2448"/>
      <c r="J3" s="2448"/>
      <c r="K3" s="2448"/>
      <c r="L3" s="2448"/>
      <c r="M3" s="2448"/>
      <c r="N3" s="1299"/>
    </row>
    <row r="4" spans="2:14" ht="15" x14ac:dyDescent="0.2">
      <c r="B4" s="2449" t="str">
        <f>'Single Audit Cover'!A4</f>
        <v>Year Ending June 30, 2019</v>
      </c>
      <c r="C4" s="2449"/>
      <c r="D4" s="2449"/>
      <c r="E4" s="2449"/>
      <c r="F4" s="2449"/>
      <c r="G4" s="2449"/>
      <c r="H4" s="2449"/>
      <c r="I4" s="2449"/>
      <c r="J4" s="2449"/>
      <c r="K4" s="2449"/>
      <c r="L4" s="2449"/>
      <c r="M4" s="2449"/>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Washington CHSD 308</v>
      </c>
      <c r="B1" s="2459"/>
      <c r="C1" s="2459"/>
      <c r="D1" s="2459"/>
      <c r="E1" s="2459"/>
      <c r="F1" s="2459"/>
    </row>
    <row r="2" spans="1:7" ht="13.5" customHeight="1" x14ac:dyDescent="0.2">
      <c r="A2" s="2447">
        <f>'Single Audit Cover'!E7</f>
        <v>53090308016</v>
      </c>
      <c r="B2" s="2447"/>
      <c r="C2" s="2447"/>
      <c r="D2" s="2447"/>
      <c r="E2" s="2447"/>
      <c r="F2" s="2447"/>
      <c r="G2" s="1272"/>
    </row>
    <row r="3" spans="1:7" ht="15.75" customHeight="1" x14ac:dyDescent="0.2">
      <c r="A3" s="2460" t="s">
        <v>1271</v>
      </c>
      <c r="B3" s="2460"/>
      <c r="C3" s="2460"/>
      <c r="D3" s="2460"/>
      <c r="E3" s="2460"/>
      <c r="F3" s="2460"/>
    </row>
    <row r="4" spans="1:7" ht="13.5" customHeight="1" x14ac:dyDescent="0.2">
      <c r="A4" s="2461" t="str">
        <f>'Single Audit Cover'!A4</f>
        <v>Year Ending June 30, 2019</v>
      </c>
      <c r="B4" s="2461"/>
      <c r="C4" s="2461"/>
      <c r="D4" s="2461"/>
      <c r="E4" s="2461"/>
      <c r="F4" s="2461"/>
    </row>
    <row r="5" spans="1:7" ht="8.25" customHeight="1" x14ac:dyDescent="0.2">
      <c r="C5" s="317"/>
      <c r="D5" s="317"/>
    </row>
    <row r="6" spans="1:7" ht="13.5" customHeight="1" x14ac:dyDescent="0.2">
      <c r="A6" s="1273" t="s">
        <v>1728</v>
      </c>
      <c r="C6" s="317"/>
      <c r="D6" s="317"/>
    </row>
    <row r="7" spans="1:7" ht="60.95" customHeight="1" x14ac:dyDescent="0.2">
      <c r="A7" s="2458" t="s">
        <v>1729</v>
      </c>
      <c r="B7" s="2458"/>
      <c r="C7" s="2458"/>
      <c r="D7" s="2458"/>
      <c r="E7" s="2458"/>
      <c r="F7" s="245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8" t="s">
        <v>1731</v>
      </c>
      <c r="B13" s="2458"/>
      <c r="C13" s="2458"/>
      <c r="D13" s="2458"/>
      <c r="E13" s="2458"/>
      <c r="F13" s="2458"/>
    </row>
    <row r="14" spans="1:7" ht="9.75" customHeight="1" x14ac:dyDescent="0.2">
      <c r="C14" s="1257"/>
      <c r="D14" s="1257"/>
    </row>
    <row r="15" spans="1:7" ht="13.5" customHeight="1" x14ac:dyDescent="0.2">
      <c r="C15" s="1846" t="s">
        <v>1270</v>
      </c>
      <c r="D15" s="2456" t="s">
        <v>1269</v>
      </c>
      <c r="E15" s="2456"/>
      <c r="F15" s="2456"/>
    </row>
    <row r="16" spans="1:7" ht="13.5" customHeight="1" x14ac:dyDescent="0.2">
      <c r="A16" s="1279"/>
      <c r="B16" s="1273" t="s">
        <v>1268</v>
      </c>
      <c r="C16" s="1846" t="s">
        <v>1267</v>
      </c>
      <c r="D16" s="2457" t="s">
        <v>1588</v>
      </c>
      <c r="E16" s="2457"/>
      <c r="F16" s="2457"/>
    </row>
    <row r="17" spans="1:6" ht="20.45" customHeight="1" x14ac:dyDescent="0.2">
      <c r="A17" s="1280"/>
      <c r="B17" s="1281"/>
      <c r="C17" s="1282"/>
      <c r="D17" s="2451"/>
      <c r="E17" s="2451"/>
      <c r="F17" s="2451"/>
    </row>
    <row r="18" spans="1:6" ht="20.65" customHeight="1" x14ac:dyDescent="0.2">
      <c r="A18" s="1280"/>
      <c r="B18" s="1281"/>
      <c r="C18" s="1282"/>
      <c r="D18" s="2451"/>
      <c r="E18" s="2451"/>
      <c r="F18" s="2451"/>
    </row>
    <row r="19" spans="1:6" ht="20.65" customHeight="1" x14ac:dyDescent="0.2">
      <c r="A19" s="1280"/>
      <c r="B19" s="1281"/>
      <c r="C19" s="1282"/>
      <c r="D19" s="2451"/>
      <c r="E19" s="2451"/>
      <c r="F19" s="2451"/>
    </row>
    <row r="20" spans="1:6" ht="20.65" customHeight="1" x14ac:dyDescent="0.2">
      <c r="A20" s="1280"/>
      <c r="B20" s="1281"/>
      <c r="C20" s="1282"/>
      <c r="D20" s="2451"/>
      <c r="E20" s="2451"/>
      <c r="F20" s="2451"/>
    </row>
    <row r="21" spans="1:6" ht="20.65" customHeight="1" x14ac:dyDescent="0.2">
      <c r="A21" s="1280"/>
      <c r="B21" s="1281"/>
      <c r="C21" s="1282"/>
      <c r="D21" s="2451"/>
      <c r="E21" s="2451"/>
      <c r="F21" s="2451"/>
    </row>
    <row r="22" spans="1:6" ht="20.65" customHeight="1" x14ac:dyDescent="0.2">
      <c r="A22" s="1280"/>
      <c r="B22" s="1281"/>
      <c r="C22" s="1282"/>
      <c r="D22" s="2451"/>
      <c r="E22" s="2451"/>
      <c r="F22" s="2451"/>
    </row>
    <row r="23" spans="1:6" ht="20.65" customHeight="1" x14ac:dyDescent="0.2">
      <c r="A23" s="1280"/>
      <c r="B23" s="1281"/>
      <c r="C23" s="1282"/>
      <c r="D23" s="2451"/>
      <c r="E23" s="2451"/>
      <c r="F23" s="2451"/>
    </row>
    <row r="24" spans="1:6" ht="20.65" customHeight="1" x14ac:dyDescent="0.2">
      <c r="A24" s="1280"/>
      <c r="B24" s="1281"/>
      <c r="C24" s="1282"/>
      <c r="D24" s="2451"/>
      <c r="E24" s="2451"/>
      <c r="F24" s="2451"/>
    </row>
    <row r="25" spans="1:6" ht="20.65" customHeight="1" x14ac:dyDescent="0.2">
      <c r="A25" s="1280"/>
      <c r="B25" s="1281"/>
      <c r="C25" s="1282"/>
      <c r="D25" s="2451"/>
      <c r="E25" s="2451"/>
      <c r="F25" s="2451"/>
    </row>
    <row r="26" spans="1:6" ht="20.65" customHeight="1" x14ac:dyDescent="0.2">
      <c r="A26" s="1280"/>
      <c r="B26" s="1281"/>
      <c r="C26" s="1282"/>
      <c r="D26" s="2451"/>
      <c r="E26" s="2451"/>
      <c r="F26" s="2451"/>
    </row>
    <row r="27" spans="1:6" ht="20.65" customHeight="1" x14ac:dyDescent="0.2">
      <c r="A27" s="1280"/>
      <c r="B27" s="1281"/>
      <c r="C27" s="1282"/>
      <c r="D27" s="2451"/>
      <c r="E27" s="2451"/>
      <c r="F27" s="2451"/>
    </row>
    <row r="28" spans="1:6" ht="20.65" customHeight="1" x14ac:dyDescent="0.2">
      <c r="A28" s="1280"/>
      <c r="B28" s="1281"/>
      <c r="C28" s="1282"/>
      <c r="D28" s="2451"/>
      <c r="E28" s="2451"/>
      <c r="F28" s="2451"/>
    </row>
    <row r="29" spans="1:6" ht="20.65" customHeight="1" x14ac:dyDescent="0.2">
      <c r="A29" s="1280"/>
      <c r="B29" s="1281"/>
      <c r="C29" s="1282"/>
      <c r="D29" s="2451"/>
      <c r="E29" s="2451"/>
      <c r="F29" s="245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2" t="s">
        <v>1732</v>
      </c>
      <c r="B32" s="2452"/>
      <c r="C32" s="2452"/>
      <c r="D32" s="2452"/>
      <c r="E32" s="2452"/>
      <c r="F32" s="245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3">
        <f>+C33+C34</f>
        <v>0</v>
      </c>
      <c r="F34" s="245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5" t="s">
        <v>1590</v>
      </c>
      <c r="C49" s="2455"/>
      <c r="D49" s="2455"/>
      <c r="E49" s="1396"/>
    </row>
    <row r="50" spans="1:5" s="1297" customFormat="1" ht="3.75" customHeight="1" x14ac:dyDescent="0.2">
      <c r="A50" s="1296"/>
      <c r="B50" s="1845"/>
      <c r="C50" s="1845"/>
      <c r="D50" s="1845"/>
      <c r="E50" s="1396"/>
    </row>
    <row r="51" spans="1:5" s="1297" customFormat="1" ht="20.25" customHeight="1" x14ac:dyDescent="0.2">
      <c r="A51" s="1298">
        <v>6</v>
      </c>
      <c r="B51" s="2450" t="s">
        <v>1551</v>
      </c>
      <c r="C51" s="2450"/>
      <c r="D51" s="2450"/>
    </row>
    <row r="52" spans="1:5" ht="14.25" customHeight="1" x14ac:dyDescent="0.2">
      <c r="A52" s="1298"/>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3" colorId="8" zoomScale="110" zoomScaleNormal="110" workbookViewId="0">
      <selection activeCell="A35" sqref="A35:I3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7" t="s">
        <v>1168</v>
      </c>
      <c r="B2" s="2067"/>
      <c r="C2" s="2067"/>
      <c r="D2" s="2067"/>
      <c r="E2" s="2067"/>
      <c r="F2" s="2067"/>
      <c r="G2" s="2067"/>
      <c r="H2" s="2067"/>
      <c r="I2" s="2067"/>
      <c r="J2" s="206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1" t="s">
        <v>1633</v>
      </c>
      <c r="B35" s="2082"/>
      <c r="C35" s="2082"/>
      <c r="D35" s="2082"/>
      <c r="E35" s="2083"/>
      <c r="F35" s="2083"/>
      <c r="G35" s="2083"/>
      <c r="H35" s="2083"/>
      <c r="I35" s="208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1" t="s">
        <v>313</v>
      </c>
      <c r="B47" s="2084"/>
      <c r="C47" s="2084"/>
      <c r="D47" s="2084"/>
      <c r="E47" s="2085"/>
      <c r="F47" s="2085"/>
      <c r="G47" s="2085"/>
      <c r="H47" s="2085"/>
      <c r="I47" s="208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2065</v>
      </c>
      <c r="C53" s="179">
        <v>22</v>
      </c>
      <c r="D53" s="247" t="s">
        <v>1462</v>
      </c>
      <c r="E53" s="248"/>
      <c r="F53" s="249"/>
      <c r="G53" s="249" t="s">
        <v>1461</v>
      </c>
      <c r="H53" s="250">
        <v>36161</v>
      </c>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8" t="s">
        <v>2083</v>
      </c>
      <c r="C57" s="2089"/>
      <c r="D57" s="2089"/>
      <c r="E57" s="2089"/>
      <c r="F57" s="2089"/>
      <c r="G57" s="2089"/>
      <c r="H57" s="2089"/>
      <c r="I57" s="2089"/>
      <c r="J57" s="2090"/>
    </row>
    <row r="58" spans="1:10" s="181" customFormat="1" x14ac:dyDescent="0.2">
      <c r="A58" s="253"/>
      <c r="B58" s="2091"/>
      <c r="C58" s="2092"/>
      <c r="D58" s="2092"/>
      <c r="E58" s="2092"/>
      <c r="F58" s="2092"/>
      <c r="G58" s="2092"/>
      <c r="H58" s="2092"/>
      <c r="I58" s="2092"/>
      <c r="J58" s="2093"/>
    </row>
    <row r="59" spans="1:10" s="181" customFormat="1" x14ac:dyDescent="0.2">
      <c r="A59" s="253"/>
      <c r="B59" s="2091"/>
      <c r="C59" s="2092"/>
      <c r="D59" s="2092"/>
      <c r="E59" s="2092"/>
      <c r="F59" s="2092"/>
      <c r="G59" s="2092"/>
      <c r="H59" s="2092"/>
      <c r="I59" s="2092"/>
      <c r="J59" s="2093"/>
    </row>
    <row r="60" spans="1:10" s="181" customFormat="1" x14ac:dyDescent="0.2">
      <c r="A60" s="253"/>
      <c r="B60" s="2091"/>
      <c r="C60" s="2092"/>
      <c r="D60" s="2092"/>
      <c r="E60" s="2092"/>
      <c r="F60" s="2092"/>
      <c r="G60" s="2092"/>
      <c r="H60" s="2092"/>
      <c r="I60" s="2092"/>
      <c r="J60" s="2093"/>
    </row>
    <row r="61" spans="1:10" s="181" customFormat="1" x14ac:dyDescent="0.2">
      <c r="A61" s="253"/>
      <c r="B61" s="2091"/>
      <c r="C61" s="2092"/>
      <c r="D61" s="2092"/>
      <c r="E61" s="2092"/>
      <c r="F61" s="2092"/>
      <c r="G61" s="2092"/>
      <c r="H61" s="2092"/>
      <c r="I61" s="2092"/>
      <c r="J61" s="2093"/>
    </row>
    <row r="62" spans="1:10" s="181" customFormat="1" x14ac:dyDescent="0.2">
      <c r="A62" s="253"/>
      <c r="B62" s="2091"/>
      <c r="C62" s="2092"/>
      <c r="D62" s="2092"/>
      <c r="E62" s="2092"/>
      <c r="F62" s="2092"/>
      <c r="G62" s="2092"/>
      <c r="H62" s="2092"/>
      <c r="I62" s="2092"/>
      <c r="J62" s="2093"/>
    </row>
    <row r="63" spans="1:10" s="181" customFormat="1" x14ac:dyDescent="0.2">
      <c r="A63" s="253"/>
      <c r="B63" s="2091"/>
      <c r="C63" s="2092"/>
      <c r="D63" s="2092"/>
      <c r="E63" s="2092"/>
      <c r="F63" s="2092"/>
      <c r="G63" s="2092"/>
      <c r="H63" s="2092"/>
      <c r="I63" s="2092"/>
      <c r="J63" s="2093"/>
    </row>
    <row r="64" spans="1:10" s="181" customFormat="1" x14ac:dyDescent="0.2">
      <c r="A64" s="253"/>
      <c r="B64" s="2091"/>
      <c r="C64" s="2092"/>
      <c r="D64" s="2092"/>
      <c r="E64" s="2092"/>
      <c r="F64" s="2092"/>
      <c r="G64" s="2092"/>
      <c r="H64" s="2092"/>
      <c r="I64" s="2092"/>
      <c r="J64" s="2093"/>
    </row>
    <row r="65" spans="1:10" s="181" customFormat="1" x14ac:dyDescent="0.2">
      <c r="A65" s="253"/>
      <c r="B65" s="2091"/>
      <c r="C65" s="2092"/>
      <c r="D65" s="2092"/>
      <c r="E65" s="2092"/>
      <c r="F65" s="2092"/>
      <c r="G65" s="2092"/>
      <c r="H65" s="2092"/>
      <c r="I65" s="2092"/>
      <c r="J65" s="2093"/>
    </row>
    <row r="66" spans="1:10" s="181" customFormat="1" x14ac:dyDescent="0.2">
      <c r="A66" s="253"/>
      <c r="B66" s="2091"/>
      <c r="C66" s="2092"/>
      <c r="D66" s="2092"/>
      <c r="E66" s="2092"/>
      <c r="F66" s="2092"/>
      <c r="G66" s="2092"/>
      <c r="H66" s="2092"/>
      <c r="I66" s="2092"/>
      <c r="J66" s="2093"/>
    </row>
    <row r="67" spans="1:10" s="181" customFormat="1" ht="9" customHeight="1" x14ac:dyDescent="0.2">
      <c r="A67" s="254"/>
      <c r="B67" s="2094"/>
      <c r="C67" s="2095"/>
      <c r="D67" s="2095"/>
      <c r="E67" s="2095"/>
      <c r="F67" s="2095"/>
      <c r="G67" s="2095"/>
      <c r="H67" s="2095"/>
      <c r="I67" s="2095"/>
      <c r="J67" s="209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1" t="s">
        <v>1323</v>
      </c>
      <c r="B70" s="2084"/>
      <c r="C70" s="2084"/>
      <c r="D70" s="2084"/>
      <c r="E70" s="2085"/>
      <c r="F70" s="2085"/>
      <c r="G70" s="2085"/>
      <c r="H70" s="2085"/>
      <c r="I70" s="208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6" t="s">
        <v>1320</v>
      </c>
      <c r="B83" s="2086"/>
      <c r="C83" s="2086"/>
      <c r="D83" s="208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8"/>
      <c r="C102" s="2069"/>
      <c r="D102" s="2069"/>
      <c r="E102" s="2069"/>
      <c r="F102" s="2069"/>
      <c r="G102" s="2069"/>
      <c r="H102" s="2069"/>
      <c r="I102" s="2070"/>
    </row>
    <row r="103" spans="1:9" s="181" customFormat="1" ht="11.25" customHeight="1" x14ac:dyDescent="0.2">
      <c r="A103" s="316"/>
      <c r="B103" s="2071"/>
      <c r="C103" s="2072"/>
      <c r="D103" s="2072"/>
      <c r="E103" s="2072"/>
      <c r="F103" s="2072"/>
      <c r="G103" s="2072"/>
      <c r="H103" s="2072"/>
      <c r="I103" s="2073"/>
    </row>
    <row r="104" spans="1:9" s="181" customFormat="1" ht="11.25" customHeight="1" x14ac:dyDescent="0.2">
      <c r="A104" s="316"/>
      <c r="B104" s="2071"/>
      <c r="C104" s="2072"/>
      <c r="D104" s="2072"/>
      <c r="E104" s="2072"/>
      <c r="F104" s="2072"/>
      <c r="G104" s="2072"/>
      <c r="H104" s="2072"/>
      <c r="I104" s="2073"/>
    </row>
    <row r="105" spans="1:9" s="181" customFormat="1" x14ac:dyDescent="0.2">
      <c r="A105" s="316"/>
      <c r="B105" s="2071"/>
      <c r="C105" s="2072"/>
      <c r="D105" s="2072"/>
      <c r="E105" s="2072"/>
      <c r="F105" s="2072"/>
      <c r="G105" s="2072"/>
      <c r="H105" s="2072"/>
      <c r="I105" s="2073"/>
    </row>
    <row r="106" spans="1:9" s="181" customFormat="1" ht="11.25" customHeight="1" x14ac:dyDescent="0.2">
      <c r="A106" s="316"/>
      <c r="B106" s="2071"/>
      <c r="C106" s="2072"/>
      <c r="D106" s="2072"/>
      <c r="E106" s="2072"/>
      <c r="F106" s="2072"/>
      <c r="G106" s="2072"/>
      <c r="H106" s="2072"/>
      <c r="I106" s="2073"/>
    </row>
    <row r="107" spans="1:9" s="181" customFormat="1" ht="11.25" customHeight="1" x14ac:dyDescent="0.2">
      <c r="A107" s="316"/>
      <c r="B107" s="2071"/>
      <c r="C107" s="2072"/>
      <c r="D107" s="2072"/>
      <c r="E107" s="2072"/>
      <c r="F107" s="2072"/>
      <c r="G107" s="2072"/>
      <c r="H107" s="2072"/>
      <c r="I107" s="2073"/>
    </row>
    <row r="108" spans="1:9" s="181" customFormat="1" ht="11.25" customHeight="1" x14ac:dyDescent="0.2">
      <c r="A108" s="316"/>
      <c r="B108" s="2071"/>
      <c r="C108" s="2072"/>
      <c r="D108" s="2072"/>
      <c r="E108" s="2072"/>
      <c r="F108" s="2072"/>
      <c r="G108" s="2072"/>
      <c r="H108" s="2072"/>
      <c r="I108" s="2073"/>
    </row>
    <row r="109" spans="1:9" s="181" customFormat="1" ht="11.25" customHeight="1" x14ac:dyDescent="0.2">
      <c r="A109" s="316"/>
      <c r="B109" s="2071"/>
      <c r="C109" s="2072"/>
      <c r="D109" s="2072"/>
      <c r="E109" s="2072"/>
      <c r="F109" s="2072"/>
      <c r="G109" s="2072"/>
      <c r="H109" s="2072"/>
      <c r="I109" s="2073"/>
    </row>
    <row r="110" spans="1:9" s="181" customFormat="1" ht="11.25" customHeight="1" x14ac:dyDescent="0.2">
      <c r="A110" s="316"/>
      <c r="B110" s="2071"/>
      <c r="C110" s="2072"/>
      <c r="D110" s="2072"/>
      <c r="E110" s="2072"/>
      <c r="F110" s="2072"/>
      <c r="G110" s="2072"/>
      <c r="H110" s="2072"/>
      <c r="I110" s="2073"/>
    </row>
    <row r="111" spans="1:9" s="181" customFormat="1" ht="11.25" customHeight="1" x14ac:dyDescent="0.2">
      <c r="A111" s="316"/>
      <c r="B111" s="2071"/>
      <c r="C111" s="2072"/>
      <c r="D111" s="2072"/>
      <c r="E111" s="2072"/>
      <c r="F111" s="2072"/>
      <c r="G111" s="2072"/>
      <c r="H111" s="2072"/>
      <c r="I111" s="2073"/>
    </row>
    <row r="112" spans="1:9" s="181" customFormat="1" ht="11.25" customHeight="1" x14ac:dyDescent="0.2">
      <c r="A112" s="316"/>
      <c r="B112" s="2074"/>
      <c r="C112" s="2075"/>
      <c r="D112" s="2075"/>
      <c r="E112" s="2075"/>
      <c r="F112" s="2075"/>
      <c r="G112" s="2075"/>
      <c r="H112" s="2075"/>
      <c r="I112" s="207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7" t="s">
        <v>2075</v>
      </c>
      <c r="D114" s="207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8" t="s">
        <v>1330</v>
      </c>
      <c r="D117" s="2079"/>
      <c r="E117" s="2080"/>
      <c r="F117" s="2080"/>
      <c r="G117" s="2080"/>
      <c r="H117" s="2080"/>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Washington CHSD 308</v>
      </c>
      <c r="C1" s="2474"/>
      <c r="D1" s="2474"/>
      <c r="E1" s="2474"/>
      <c r="F1" s="2474"/>
      <c r="G1" s="2474"/>
      <c r="H1" s="2474"/>
      <c r="I1" s="2474"/>
      <c r="J1" s="1406"/>
    </row>
    <row r="2" spans="2:10" s="317" customFormat="1" ht="12.75" customHeight="1" x14ac:dyDescent="0.2">
      <c r="B2" s="2475">
        <f>'Single Audit Cover'!E7</f>
        <v>53090308016</v>
      </c>
      <c r="C2" s="2476"/>
      <c r="D2" s="2476"/>
      <c r="E2" s="2476"/>
      <c r="F2" s="2476"/>
      <c r="G2" s="2476"/>
      <c r="H2" s="2476"/>
      <c r="I2" s="2476"/>
      <c r="J2" s="1406"/>
    </row>
    <row r="3" spans="2:10" s="317" customFormat="1" ht="12.75" customHeight="1" x14ac:dyDescent="0.2">
      <c r="B3" s="2477" t="s">
        <v>1285</v>
      </c>
      <c r="C3" s="2478"/>
      <c r="D3" s="2478"/>
      <c r="E3" s="2478"/>
      <c r="F3" s="2478"/>
      <c r="G3" s="2478"/>
      <c r="H3" s="2478"/>
      <c r="I3" s="2478"/>
      <c r="J3" s="1407"/>
    </row>
    <row r="4" spans="2:10" s="317" customFormat="1" ht="12.75" customHeight="1" x14ac:dyDescent="0.2">
      <c r="B4" s="2477" t="str">
        <f>'Single Audit Cover'!A4</f>
        <v>Year Ending June 30, 2019</v>
      </c>
      <c r="C4" s="2478"/>
      <c r="D4" s="2478"/>
      <c r="E4" s="2478"/>
      <c r="F4" s="2478"/>
      <c r="G4" s="2478"/>
      <c r="H4" s="2478"/>
      <c r="I4" s="247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7" t="s">
        <v>1284</v>
      </c>
      <c r="C7" s="2478"/>
      <c r="D7" s="2478"/>
      <c r="E7" s="2478"/>
      <c r="F7" s="2478"/>
      <c r="G7" s="2478"/>
      <c r="H7" s="2478"/>
      <c r="I7" s="247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9"/>
      <c r="D11" s="247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80"/>
      <c r="E29" s="2480"/>
      <c r="F29" s="2480"/>
      <c r="G29" s="2480"/>
      <c r="H29" s="2480"/>
      <c r="I29" s="248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81" t="s">
        <v>1751</v>
      </c>
      <c r="D37" s="2482"/>
      <c r="E37" s="2482"/>
      <c r="F37" s="2483"/>
      <c r="G37" s="2481" t="s">
        <v>1592</v>
      </c>
      <c r="H37" s="2482"/>
      <c r="I37" s="2483"/>
    </row>
    <row r="38" spans="2:9" ht="16.5" customHeight="1" x14ac:dyDescent="0.2">
      <c r="B38" s="1428"/>
      <c r="C38" s="2469"/>
      <c r="D38" s="2470"/>
      <c r="E38" s="2470"/>
      <c r="F38" s="2471"/>
      <c r="G38" s="2484"/>
      <c r="H38" s="2485"/>
      <c r="I38" s="2486"/>
    </row>
    <row r="39" spans="2:9" ht="16.5" customHeight="1" x14ac:dyDescent="0.2">
      <c r="B39" s="1428"/>
      <c r="C39" s="2469"/>
      <c r="D39" s="2470"/>
      <c r="E39" s="2470"/>
      <c r="F39" s="2471"/>
      <c r="G39" s="2472"/>
      <c r="H39" s="2472"/>
      <c r="I39" s="2472"/>
    </row>
    <row r="40" spans="2:9" ht="16.5" customHeight="1" x14ac:dyDescent="0.2">
      <c r="B40" s="1428"/>
      <c r="C40" s="2469"/>
      <c r="D40" s="2470"/>
      <c r="E40" s="2470"/>
      <c r="F40" s="2471"/>
      <c r="G40" s="2472"/>
      <c r="H40" s="2472"/>
      <c r="I40" s="2472"/>
    </row>
    <row r="41" spans="2:9" ht="16.5" customHeight="1" x14ac:dyDescent="0.2">
      <c r="B41" s="1428"/>
      <c r="C41" s="2469"/>
      <c r="D41" s="2470"/>
      <c r="E41" s="2470"/>
      <c r="F41" s="2471"/>
      <c r="G41" s="2472"/>
      <c r="H41" s="2472"/>
      <c r="I41" s="2472"/>
    </row>
    <row r="42" spans="2:9" ht="16.5" customHeight="1" x14ac:dyDescent="0.2">
      <c r="B42" s="1428"/>
      <c r="C42" s="2469"/>
      <c r="D42" s="2470"/>
      <c r="E42" s="2470"/>
      <c r="F42" s="2471"/>
      <c r="G42" s="2472"/>
      <c r="H42" s="2472"/>
      <c r="I42" s="2472"/>
    </row>
    <row r="43" spans="2:9" ht="16.5" customHeight="1" x14ac:dyDescent="0.2">
      <c r="B43" s="1428"/>
      <c r="C43" s="2462" t="s">
        <v>1593</v>
      </c>
      <c r="D43" s="2463"/>
      <c r="E43" s="2463"/>
      <c r="F43" s="2464"/>
      <c r="G43" s="2465">
        <f>SUM(G38:I42)</f>
        <v>0</v>
      </c>
      <c r="H43" s="2465"/>
      <c r="I43" s="2465"/>
    </row>
    <row r="44" spans="2:9" ht="12.75" customHeight="1" x14ac:dyDescent="0.2"/>
    <row r="45" spans="2:9" ht="12.75" customHeight="1" x14ac:dyDescent="0.2">
      <c r="B45" s="1419" t="s">
        <v>2062</v>
      </c>
      <c r="D45" s="2466">
        <v>0</v>
      </c>
      <c r="E45" s="2467"/>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68"/>
      <c r="F49" s="2468"/>
      <c r="G49" s="2468"/>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5" sqref="B3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Washington CHSD 308</v>
      </c>
      <c r="C1" s="2473"/>
      <c r="D1" s="2473"/>
      <c r="E1" s="2473"/>
      <c r="F1" s="2473"/>
      <c r="G1" s="2473"/>
      <c r="H1" s="2473"/>
      <c r="I1" s="2473"/>
      <c r="J1" s="2473"/>
      <c r="K1" s="2473"/>
      <c r="L1" s="1371"/>
      <c r="M1" s="1371"/>
    </row>
    <row r="2" spans="1:13" ht="12" customHeight="1" x14ac:dyDescent="0.2">
      <c r="B2" s="2475">
        <f>'Single Audit Cover'!E7</f>
        <v>53090308016</v>
      </c>
      <c r="C2" s="2475"/>
      <c r="D2" s="2475"/>
      <c r="E2" s="2475"/>
      <c r="F2" s="2475"/>
      <c r="G2" s="2475"/>
      <c r="H2" s="2475"/>
      <c r="I2" s="2475"/>
      <c r="J2" s="2475"/>
      <c r="K2" s="2475"/>
      <c r="L2" s="1372"/>
      <c r="M2" s="1373"/>
    </row>
    <row r="3" spans="1:13" ht="10.35" customHeight="1" x14ac:dyDescent="0.2">
      <c r="B3" s="2489" t="s">
        <v>1285</v>
      </c>
      <c r="C3" s="2489"/>
      <c r="D3" s="2489"/>
      <c r="E3" s="2489"/>
      <c r="F3" s="2489"/>
      <c r="G3" s="2489"/>
      <c r="H3" s="2489"/>
      <c r="I3" s="2489"/>
      <c r="J3" s="2489"/>
      <c r="K3" s="2489"/>
      <c r="L3" s="1374"/>
      <c r="M3" s="1374"/>
    </row>
    <row r="4" spans="1:13" ht="14.25" customHeight="1" x14ac:dyDescent="0.2">
      <c r="B4" s="2490" t="str">
        <f>'Single Audit Cover'!A4</f>
        <v>Year Ending June 30, 2019</v>
      </c>
      <c r="C4" s="2490"/>
      <c r="D4" s="2490"/>
      <c r="E4" s="2490"/>
      <c r="F4" s="2490"/>
      <c r="G4" s="2490"/>
      <c r="H4" s="2490"/>
      <c r="I4" s="2490"/>
      <c r="J4" s="2490"/>
      <c r="K4" s="249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9.75" customHeight="1" x14ac:dyDescent="0.2">
      <c r="A7" s="1279"/>
      <c r="B7" s="2490" t="s">
        <v>1296</v>
      </c>
      <c r="C7" s="2490"/>
      <c r="D7" s="2491"/>
      <c r="E7" s="2491"/>
      <c r="F7" s="2491"/>
      <c r="G7" s="2491"/>
      <c r="H7" s="2491"/>
      <c r="I7" s="2491"/>
      <c r="J7" s="2491"/>
      <c r="K7" s="249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2016</v>
      </c>
      <c r="L11" s="1378"/>
    </row>
    <row r="12" spans="1:13" ht="5.2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17.25" customHeight="1" x14ac:dyDescent="0.2">
      <c r="B14" s="2488" t="s">
        <v>2160</v>
      </c>
      <c r="C14" s="2488"/>
      <c r="D14" s="2488"/>
      <c r="E14" s="2488"/>
      <c r="F14" s="2488"/>
      <c r="G14" s="2488"/>
      <c r="H14" s="2488"/>
      <c r="I14" s="2488"/>
      <c r="J14" s="2488"/>
      <c r="K14" s="248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93" customHeight="1" x14ac:dyDescent="0.2">
      <c r="B17" s="2488" t="s">
        <v>2176</v>
      </c>
      <c r="C17" s="2488"/>
      <c r="D17" s="2488"/>
      <c r="E17" s="2488"/>
      <c r="F17" s="2488"/>
      <c r="G17" s="2488"/>
      <c r="H17" s="2488"/>
      <c r="I17" s="2488"/>
      <c r="J17" s="2488"/>
      <c r="K17" s="248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18.75" customHeight="1" x14ac:dyDescent="0.2">
      <c r="B20" s="2492" t="s">
        <v>2162</v>
      </c>
      <c r="C20" s="2492"/>
      <c r="D20" s="2488"/>
      <c r="E20" s="2488"/>
      <c r="F20" s="2488"/>
      <c r="G20" s="2488"/>
      <c r="H20" s="2488"/>
      <c r="I20" s="2488"/>
      <c r="J20" s="2488"/>
      <c r="K20" s="248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14.25" customHeight="1" x14ac:dyDescent="0.2">
      <c r="B23" s="2488" t="s">
        <v>2163</v>
      </c>
      <c r="C23" s="2488"/>
      <c r="D23" s="2488"/>
      <c r="E23" s="2488"/>
      <c r="F23" s="2488"/>
      <c r="G23" s="2488"/>
      <c r="H23" s="2488"/>
      <c r="I23" s="2488"/>
      <c r="J23" s="2488"/>
      <c r="K23" s="248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2" customHeight="1" x14ac:dyDescent="0.2">
      <c r="B26" s="2488" t="s">
        <v>2177</v>
      </c>
      <c r="C26" s="2488"/>
      <c r="D26" s="2488"/>
      <c r="E26" s="2488"/>
      <c r="F26" s="2488"/>
      <c r="G26" s="2488"/>
      <c r="H26" s="2488"/>
      <c r="I26" s="2488"/>
      <c r="J26" s="2488"/>
      <c r="K26" s="248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122.25" customHeight="1" x14ac:dyDescent="0.2">
      <c r="B29" s="2487" t="s">
        <v>2164</v>
      </c>
      <c r="C29" s="2487"/>
      <c r="D29" s="2488"/>
      <c r="E29" s="2488"/>
      <c r="F29" s="2488"/>
      <c r="G29" s="2488"/>
      <c r="H29" s="2488"/>
      <c r="I29" s="2488"/>
      <c r="J29" s="2488"/>
      <c r="K29" s="248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90.75" customHeight="1" x14ac:dyDescent="0.2">
      <c r="B32" s="2487" t="s">
        <v>2167</v>
      </c>
      <c r="C32" s="2487"/>
      <c r="D32" s="2488"/>
      <c r="E32" s="2488"/>
      <c r="F32" s="2488"/>
      <c r="G32" s="2488"/>
      <c r="H32" s="2488"/>
      <c r="I32" s="2488"/>
      <c r="J32" s="2488"/>
      <c r="K32" s="248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36D37-E545-47E4-8178-D4F6B8D1F30C}">
  <dimension ref="A1:M46"/>
  <sheetViews>
    <sheetView showGridLines="0" topLeftCell="A14" zoomScale="110" zoomScaleNormal="110" workbookViewId="0">
      <selection activeCell="B35" sqref="B3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Washington CHSD 308</v>
      </c>
      <c r="C1" s="2473"/>
      <c r="D1" s="2473"/>
      <c r="E1" s="2473"/>
      <c r="F1" s="2473"/>
      <c r="G1" s="2473"/>
      <c r="H1" s="2473"/>
      <c r="I1" s="2473"/>
      <c r="J1" s="2473"/>
      <c r="K1" s="2473"/>
      <c r="L1" s="1371"/>
      <c r="M1" s="1371"/>
    </row>
    <row r="2" spans="1:13" ht="12" customHeight="1" x14ac:dyDescent="0.2">
      <c r="B2" s="2475">
        <f>'Single Audit Cover'!E7</f>
        <v>53090308016</v>
      </c>
      <c r="C2" s="2475"/>
      <c r="D2" s="2475"/>
      <c r="E2" s="2475"/>
      <c r="F2" s="2475"/>
      <c r="G2" s="2475"/>
      <c r="H2" s="2475"/>
      <c r="I2" s="2475"/>
      <c r="J2" s="2475"/>
      <c r="K2" s="2475"/>
      <c r="L2" s="1372"/>
      <c r="M2" s="1373"/>
    </row>
    <row r="3" spans="1:13" ht="10.35" customHeight="1" x14ac:dyDescent="0.2">
      <c r="B3" s="2489" t="s">
        <v>1285</v>
      </c>
      <c r="C3" s="2489"/>
      <c r="D3" s="2489"/>
      <c r="E3" s="2489"/>
      <c r="F3" s="2489"/>
      <c r="G3" s="2489"/>
      <c r="H3" s="2489"/>
      <c r="I3" s="2489"/>
      <c r="J3" s="2489"/>
      <c r="K3" s="2489"/>
      <c r="L3" s="1943"/>
      <c r="M3" s="1943"/>
    </row>
    <row r="4" spans="1:13" ht="14.25" customHeight="1" x14ac:dyDescent="0.2">
      <c r="B4" s="2490" t="str">
        <f>'Single Audit Cover'!A4</f>
        <v>Year Ending June 30, 2019</v>
      </c>
      <c r="C4" s="2490"/>
      <c r="D4" s="2490"/>
      <c r="E4" s="2490"/>
      <c r="F4" s="2490"/>
      <c r="G4" s="2490"/>
      <c r="H4" s="2490"/>
      <c r="I4" s="2490"/>
      <c r="J4" s="2490"/>
      <c r="K4" s="249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9.75" customHeight="1" x14ac:dyDescent="0.2">
      <c r="A7" s="1279"/>
      <c r="B7" s="2490" t="s">
        <v>1296</v>
      </c>
      <c r="C7" s="2490"/>
      <c r="D7" s="2491"/>
      <c r="E7" s="2491"/>
      <c r="F7" s="2491"/>
      <c r="G7" s="2491"/>
      <c r="H7" s="2491"/>
      <c r="I7" s="2491"/>
      <c r="J7" s="2491"/>
      <c r="K7" s="249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2</v>
      </c>
      <c r="E10" s="322"/>
      <c r="F10" s="1384" t="s">
        <v>1295</v>
      </c>
      <c r="G10" s="1385" t="s">
        <v>2065</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5.2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2.75" customHeight="1" x14ac:dyDescent="0.2">
      <c r="B14" s="2488" t="s">
        <v>2178</v>
      </c>
      <c r="C14" s="2488"/>
      <c r="D14" s="2488"/>
      <c r="E14" s="2488"/>
      <c r="F14" s="2488"/>
      <c r="G14" s="2488"/>
      <c r="H14" s="2488"/>
      <c r="I14" s="2488"/>
      <c r="J14" s="2488"/>
      <c r="K14" s="2488"/>
      <c r="L14" s="1394"/>
    </row>
    <row r="15" spans="1:13" ht="18.75" customHeight="1" x14ac:dyDescent="0.2">
      <c r="B15" s="1944"/>
      <c r="C15" s="1944"/>
      <c r="D15" s="1944"/>
      <c r="E15" s="1944"/>
      <c r="F15" s="1952" t="s">
        <v>2168</v>
      </c>
      <c r="G15" s="1944"/>
      <c r="H15" s="1944"/>
      <c r="I15" s="1944"/>
      <c r="J15" s="1952" t="s">
        <v>30</v>
      </c>
      <c r="K15" s="1944"/>
      <c r="L15" s="1394"/>
    </row>
    <row r="16" spans="1:13" ht="18.75" customHeight="1" x14ac:dyDescent="0.2">
      <c r="B16" s="1944" t="s">
        <v>64</v>
      </c>
      <c r="C16" s="1944"/>
      <c r="D16" s="1944"/>
      <c r="E16" s="1944"/>
      <c r="F16" s="1953">
        <v>14994190</v>
      </c>
      <c r="G16" s="1951"/>
      <c r="H16" s="1951"/>
      <c r="I16" s="1951"/>
      <c r="J16" s="1953">
        <v>14818574</v>
      </c>
      <c r="K16" s="1944"/>
      <c r="L16" s="1394"/>
    </row>
    <row r="17" spans="2:12" ht="18.75" customHeight="1" x14ac:dyDescent="0.2">
      <c r="B17" s="1950" t="s">
        <v>2169</v>
      </c>
      <c r="C17" s="1944"/>
      <c r="D17" s="1944"/>
      <c r="E17" s="1944"/>
      <c r="F17" s="1951">
        <v>461175</v>
      </c>
      <c r="G17" s="1951"/>
      <c r="H17" s="1951"/>
      <c r="I17" s="1951"/>
      <c r="J17" s="1951">
        <v>418856</v>
      </c>
      <c r="K17" s="1944"/>
      <c r="L17" s="1394"/>
    </row>
    <row r="18" spans="2:12" ht="18.75" customHeight="1" x14ac:dyDescent="0.2">
      <c r="B18" s="1944" t="s">
        <v>2170</v>
      </c>
      <c r="C18" s="1944"/>
      <c r="D18" s="1944"/>
      <c r="E18" s="1944"/>
      <c r="F18" s="1951">
        <v>3267908</v>
      </c>
      <c r="G18" s="1951"/>
      <c r="H18" s="1951"/>
      <c r="I18" s="1951"/>
      <c r="J18" s="1951">
        <v>3000000</v>
      </c>
      <c r="K18" s="1944"/>
      <c r="L18" s="1394"/>
    </row>
    <row r="19" spans="2:12" ht="9.75" customHeight="1" x14ac:dyDescent="0.2">
      <c r="B19" s="1944"/>
      <c r="C19" s="1944"/>
      <c r="D19" s="1944"/>
      <c r="E19" s="1944"/>
      <c r="F19" s="1944"/>
      <c r="G19" s="1944"/>
      <c r="H19" s="1944"/>
      <c r="I19" s="1944"/>
      <c r="J19" s="1944"/>
      <c r="K19" s="1944"/>
      <c r="L19" s="1394"/>
    </row>
    <row r="20" spans="2:12" ht="4.5" customHeight="1" x14ac:dyDescent="0.2">
      <c r="B20" s="1395"/>
      <c r="C20" s="1395"/>
      <c r="D20" s="1396"/>
      <c r="E20" s="1396"/>
      <c r="F20" s="1396"/>
      <c r="H20" s="1396"/>
      <c r="J20" s="1396"/>
      <c r="K20" s="1396"/>
      <c r="L20" s="1394"/>
    </row>
    <row r="21" spans="2:12" s="1279" customFormat="1" ht="13.5" customHeight="1" x14ac:dyDescent="0.2">
      <c r="B21" s="1390" t="s">
        <v>1290</v>
      </c>
      <c r="C21" s="1390"/>
      <c r="D21" s="1391"/>
      <c r="E21" s="1391"/>
      <c r="F21" s="1391"/>
      <c r="G21" s="1392"/>
      <c r="H21" s="1391"/>
      <c r="I21" s="1392"/>
      <c r="J21" s="1391"/>
      <c r="K21" s="1391"/>
      <c r="L21" s="1393"/>
    </row>
    <row r="22" spans="2:12" ht="17.25" customHeight="1" x14ac:dyDescent="0.2">
      <c r="B22" s="2488" t="s">
        <v>2171</v>
      </c>
      <c r="C22" s="2488"/>
      <c r="D22" s="2488"/>
      <c r="E22" s="2488"/>
      <c r="F22" s="2488"/>
      <c r="G22" s="2488"/>
      <c r="H22" s="2488"/>
      <c r="I22" s="2488"/>
      <c r="J22" s="2488"/>
      <c r="K22" s="2488"/>
      <c r="L22" s="1378"/>
    </row>
    <row r="23" spans="2:12" ht="4.5" customHeight="1" x14ac:dyDescent="0.2">
      <c r="B23" s="1395"/>
      <c r="C23" s="1395"/>
      <c r="L23" s="1378"/>
    </row>
    <row r="24" spans="2:12" s="1279" customFormat="1" ht="13.5" customHeight="1" x14ac:dyDescent="0.2">
      <c r="B24" s="1390" t="s">
        <v>1743</v>
      </c>
      <c r="C24" s="1390"/>
      <c r="D24" s="1391"/>
      <c r="E24" s="1391"/>
      <c r="F24" s="1391"/>
      <c r="G24" s="1392"/>
      <c r="H24" s="1391"/>
      <c r="I24" s="1392"/>
      <c r="J24" s="1391"/>
      <c r="K24" s="1391"/>
      <c r="L24" s="1393"/>
    </row>
    <row r="25" spans="2:12" ht="18.75" customHeight="1" x14ac:dyDescent="0.2">
      <c r="B25" s="2492" t="s">
        <v>2172</v>
      </c>
      <c r="C25" s="2492"/>
      <c r="D25" s="2488"/>
      <c r="E25" s="2488"/>
      <c r="F25" s="2488"/>
      <c r="G25" s="2488"/>
      <c r="H25" s="2488"/>
      <c r="I25" s="2488"/>
      <c r="J25" s="2488"/>
      <c r="K25" s="2488"/>
      <c r="L25" s="1378"/>
    </row>
    <row r="26" spans="2:12" ht="4.5" customHeight="1" x14ac:dyDescent="0.2">
      <c r="B26" s="1397"/>
      <c r="C26" s="1397"/>
      <c r="L26" s="1378"/>
    </row>
    <row r="27" spans="2:12" ht="13.5" customHeight="1" x14ac:dyDescent="0.2">
      <c r="B27" s="1390" t="s">
        <v>1289</v>
      </c>
      <c r="C27" s="1390"/>
      <c r="D27" s="1376"/>
      <c r="E27" s="1376"/>
      <c r="F27" s="1376"/>
      <c r="G27" s="1377"/>
      <c r="H27" s="1376"/>
      <c r="I27" s="1377"/>
      <c r="J27" s="1376"/>
      <c r="K27" s="1376"/>
      <c r="L27" s="1378"/>
    </row>
    <row r="28" spans="2:12" ht="14.25" customHeight="1" x14ac:dyDescent="0.2">
      <c r="B28" s="2488" t="s">
        <v>2173</v>
      </c>
      <c r="C28" s="2488"/>
      <c r="D28" s="2488"/>
      <c r="E28" s="2488"/>
      <c r="F28" s="2488"/>
      <c r="G28" s="2488"/>
      <c r="H28" s="2488"/>
      <c r="I28" s="2488"/>
      <c r="J28" s="2488"/>
      <c r="K28" s="2488"/>
      <c r="L28" s="1378"/>
    </row>
    <row r="29" spans="2:12" ht="4.5" customHeight="1" x14ac:dyDescent="0.2">
      <c r="B29" s="1395"/>
      <c r="C29" s="1395"/>
      <c r="L29" s="1378"/>
    </row>
    <row r="30" spans="2:12" ht="13.5" customHeight="1" x14ac:dyDescent="0.2">
      <c r="B30" s="1390" t="s">
        <v>1288</v>
      </c>
      <c r="C30" s="1390"/>
      <c r="D30" s="1376"/>
      <c r="E30" s="1376"/>
      <c r="F30" s="1376"/>
      <c r="G30" s="1377"/>
      <c r="H30" s="1376"/>
      <c r="I30" s="1377"/>
      <c r="J30" s="1376"/>
      <c r="K30" s="1376"/>
      <c r="L30" s="1378"/>
    </row>
    <row r="31" spans="2:12" ht="42" customHeight="1" x14ac:dyDescent="0.2">
      <c r="B31" s="2488" t="s">
        <v>2174</v>
      </c>
      <c r="C31" s="2488"/>
      <c r="D31" s="2488"/>
      <c r="E31" s="2488"/>
      <c r="F31" s="2488"/>
      <c r="G31" s="2488"/>
      <c r="H31" s="2488"/>
      <c r="I31" s="2488"/>
      <c r="J31" s="2488"/>
      <c r="K31" s="2488"/>
      <c r="L31" s="1378"/>
    </row>
    <row r="32" spans="2:12" ht="4.5" customHeight="1" x14ac:dyDescent="0.2">
      <c r="B32" s="1395"/>
      <c r="C32" s="1395"/>
      <c r="L32" s="1378"/>
    </row>
    <row r="33" spans="1:13" ht="13.5" customHeight="1" x14ac:dyDescent="0.2">
      <c r="B33" s="1398" t="s">
        <v>1287</v>
      </c>
      <c r="C33" s="1398"/>
      <c r="D33" s="1376"/>
      <c r="E33" s="1376"/>
      <c r="F33" s="1376"/>
      <c r="G33" s="1377"/>
      <c r="H33" s="1376"/>
      <c r="I33" s="1377"/>
      <c r="J33" s="1376"/>
      <c r="K33" s="1376"/>
      <c r="L33" s="1378"/>
    </row>
    <row r="34" spans="1:13" ht="36" customHeight="1" x14ac:dyDescent="0.2">
      <c r="B34" s="2487" t="s">
        <v>2179</v>
      </c>
      <c r="C34" s="2487"/>
      <c r="D34" s="2488"/>
      <c r="E34" s="2488"/>
      <c r="F34" s="2488"/>
      <c r="G34" s="2488"/>
      <c r="H34" s="2488"/>
      <c r="I34" s="2488"/>
      <c r="J34" s="2488"/>
      <c r="K34" s="2488"/>
      <c r="L34" s="1378"/>
    </row>
    <row r="35" spans="1:13" ht="4.5" customHeight="1" x14ac:dyDescent="0.2">
      <c r="B35" s="1399"/>
      <c r="C35" s="1399"/>
      <c r="D35" s="322"/>
      <c r="E35" s="322"/>
      <c r="F35" s="322"/>
      <c r="G35" s="1380"/>
      <c r="H35" s="322"/>
      <c r="I35" s="1380"/>
      <c r="J35" s="322"/>
      <c r="K35" s="322"/>
      <c r="L35" s="1378"/>
    </row>
    <row r="36" spans="1:13" s="322" customFormat="1" ht="13.5" customHeight="1" x14ac:dyDescent="0.2">
      <c r="B36" s="1400" t="s">
        <v>1744</v>
      </c>
      <c r="C36" s="1400"/>
      <c r="D36" s="1375"/>
      <c r="E36" s="1376"/>
      <c r="F36" s="1376"/>
      <c r="G36" s="1377"/>
      <c r="H36" s="1376"/>
      <c r="I36" s="1377"/>
      <c r="J36" s="1376"/>
      <c r="K36" s="1376"/>
      <c r="L36" s="1378"/>
    </row>
    <row r="37" spans="1:13" s="322" customFormat="1" ht="42" customHeight="1" x14ac:dyDescent="0.2">
      <c r="B37" s="2487" t="s">
        <v>2180</v>
      </c>
      <c r="C37" s="2487"/>
      <c r="D37" s="2488"/>
      <c r="E37" s="2488"/>
      <c r="F37" s="2488"/>
      <c r="G37" s="2488"/>
      <c r="H37" s="2488"/>
      <c r="I37" s="2488"/>
      <c r="J37" s="2488"/>
      <c r="K37" s="2488"/>
      <c r="L37" s="1378"/>
    </row>
    <row r="38" spans="1:13" s="322" customFormat="1" ht="4.5" customHeight="1" x14ac:dyDescent="0.2">
      <c r="B38" s="1399"/>
      <c r="C38" s="1399"/>
      <c r="G38" s="1380"/>
      <c r="I38" s="1380"/>
      <c r="L38" s="1378"/>
    </row>
    <row r="39" spans="1:13" s="322" customFormat="1" x14ac:dyDescent="0.2">
      <c r="A39" s="1294"/>
      <c r="B39" s="1401"/>
      <c r="C39" s="1401"/>
      <c r="D39" s="1401"/>
      <c r="E39" s="1401"/>
      <c r="F39" s="1401"/>
      <c r="G39" s="1402"/>
      <c r="H39" s="1401"/>
      <c r="I39" s="1402"/>
      <c r="J39" s="1401"/>
      <c r="K39" s="1401"/>
      <c r="L39" s="1378"/>
    </row>
    <row r="40" spans="1:13" ht="11.85" customHeight="1" x14ac:dyDescent="0.2">
      <c r="B40" s="1403" t="s">
        <v>1745</v>
      </c>
      <c r="C40" s="1403"/>
      <c r="D40" s="322"/>
      <c r="E40" s="322"/>
      <c r="F40" s="322"/>
      <c r="L40" s="1378"/>
    </row>
    <row r="41" spans="1:13" ht="9.6" customHeight="1" x14ac:dyDescent="0.2">
      <c r="B41" s="1297" t="s">
        <v>1841</v>
      </c>
      <c r="C41" s="1297"/>
      <c r="L41" s="1378"/>
    </row>
    <row r="42" spans="1:13" ht="9.6" customHeight="1" x14ac:dyDescent="0.2">
      <c r="B42" s="1297" t="s">
        <v>1842</v>
      </c>
      <c r="C42" s="1297"/>
    </row>
    <row r="43" spans="1:13" ht="11.85" customHeight="1" x14ac:dyDescent="0.2">
      <c r="B43" s="1404" t="s">
        <v>1746</v>
      </c>
      <c r="C43" s="1404"/>
    </row>
    <row r="44" spans="1:13" ht="9.6" customHeight="1" x14ac:dyDescent="0.2">
      <c r="B44" s="1297" t="s">
        <v>1286</v>
      </c>
      <c r="C44" s="1297"/>
      <c r="M44" s="1405"/>
    </row>
    <row r="45" spans="1:13" ht="12.6" customHeight="1" x14ac:dyDescent="0.2">
      <c r="B45" s="1404" t="s">
        <v>1747</v>
      </c>
      <c r="C45" s="1404"/>
      <c r="M45" s="1405"/>
    </row>
    <row r="46" spans="1:13" ht="9.6" customHeight="1" x14ac:dyDescent="0.2">
      <c r="B46" s="1297"/>
      <c r="C46" s="1297"/>
      <c r="M46" s="1405"/>
    </row>
  </sheetData>
  <mergeCells count="12">
    <mergeCell ref="B37:K37"/>
    <mergeCell ref="B1:K1"/>
    <mergeCell ref="B2:K2"/>
    <mergeCell ref="B3:K3"/>
    <mergeCell ref="B4:K4"/>
    <mergeCell ref="B7:K7"/>
    <mergeCell ref="B14:K14"/>
    <mergeCell ref="B22:K22"/>
    <mergeCell ref="B25:K25"/>
    <mergeCell ref="B28:K28"/>
    <mergeCell ref="B31:K31"/>
    <mergeCell ref="B34:K34"/>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Washington CHSD 308</v>
      </c>
      <c r="C1" s="2496"/>
      <c r="D1" s="2496"/>
      <c r="E1" s="2496"/>
      <c r="F1" s="2496"/>
      <c r="G1" s="2496"/>
      <c r="H1" s="2496"/>
      <c r="I1" s="2496"/>
      <c r="J1" s="2496"/>
      <c r="K1" s="2496"/>
      <c r="L1" s="1449"/>
    </row>
    <row r="2" spans="1:12" ht="12.75" customHeight="1" x14ac:dyDescent="0.2">
      <c r="B2" s="2497">
        <f>'Single Audit Cover'!E7</f>
        <v>53090308016</v>
      </c>
      <c r="C2" s="2497"/>
      <c r="D2" s="2497"/>
      <c r="E2" s="2497"/>
      <c r="F2" s="2497"/>
      <c r="G2" s="2497"/>
      <c r="H2" s="2497"/>
      <c r="I2" s="2497"/>
      <c r="J2" s="2497"/>
      <c r="K2" s="2497"/>
      <c r="L2" s="1450"/>
    </row>
    <row r="3" spans="1:12" ht="12.75" customHeight="1" x14ac:dyDescent="0.2">
      <c r="B3" s="2489" t="s">
        <v>1285</v>
      </c>
      <c r="C3" s="2489"/>
      <c r="D3" s="2489"/>
      <c r="E3" s="2489"/>
      <c r="F3" s="2489"/>
      <c r="G3" s="2489"/>
      <c r="H3" s="2489"/>
      <c r="I3" s="2489"/>
      <c r="J3" s="2489"/>
      <c r="K3" s="2489"/>
      <c r="L3" s="1374"/>
    </row>
    <row r="4" spans="1:12" ht="12.75" customHeight="1" x14ac:dyDescent="0.2">
      <c r="B4" s="2489" t="str">
        <f>'Single Audit Cover'!A4</f>
        <v>Year Ending June 30, 2019</v>
      </c>
      <c r="C4" s="2489"/>
      <c r="D4" s="2489"/>
      <c r="E4" s="2489"/>
      <c r="F4" s="2489"/>
      <c r="G4" s="2489"/>
      <c r="H4" s="2489"/>
      <c r="I4" s="2489"/>
      <c r="J4" s="2489"/>
      <c r="K4" s="2489"/>
      <c r="L4" s="1374"/>
    </row>
    <row r="5" spans="1:12" ht="5.25" customHeight="1" x14ac:dyDescent="0.2">
      <c r="B5" s="1257" t="s">
        <v>1169</v>
      </c>
      <c r="C5" s="1257"/>
      <c r="L5" s="322"/>
    </row>
    <row r="6" spans="1:12" ht="30.75" customHeight="1" x14ac:dyDescent="0.2">
      <c r="A6" s="322"/>
      <c r="B6" s="2498" t="s">
        <v>1308</v>
      </c>
      <c r="C6" s="2498"/>
      <c r="D6" s="2498"/>
      <c r="E6" s="2498"/>
      <c r="F6" s="2498"/>
      <c r="G6" s="2498"/>
      <c r="H6" s="2498"/>
      <c r="I6" s="2498"/>
      <c r="J6" s="2498"/>
      <c r="K6" s="249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80"/>
      <c r="G12" s="2480"/>
      <c r="H12" s="2480"/>
      <c r="I12" s="2480"/>
      <c r="J12" s="2480"/>
      <c r="K12" s="248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3"/>
      <c r="E14" s="2493"/>
      <c r="F14" s="2493"/>
      <c r="H14" s="1459" t="s">
        <v>1303</v>
      </c>
      <c r="I14" s="2494"/>
      <c r="J14" s="2494"/>
      <c r="K14" s="249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4"/>
      <c r="E16" s="2494"/>
      <c r="F16" s="2494"/>
      <c r="G16" s="2494"/>
      <c r="H16" s="2494"/>
      <c r="I16" s="2494"/>
      <c r="J16" s="2494"/>
      <c r="K16" s="2494"/>
      <c r="L16" s="322"/>
    </row>
    <row r="17" spans="2:12" ht="13.5" customHeight="1" x14ac:dyDescent="0.2">
      <c r="B17" s="1384" t="s">
        <v>1301</v>
      </c>
      <c r="C17" s="1384"/>
      <c r="D17" s="2495"/>
      <c r="E17" s="2495"/>
      <c r="F17" s="2495"/>
      <c r="G17" s="2495"/>
      <c r="H17" s="2495"/>
      <c r="I17" s="2495"/>
      <c r="J17" s="2495"/>
      <c r="K17" s="249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8"/>
      <c r="C20" s="2488"/>
      <c r="D20" s="2488"/>
      <c r="E20" s="2488"/>
      <c r="F20" s="2488"/>
      <c r="G20" s="2488"/>
      <c r="H20" s="2488"/>
      <c r="I20" s="2488"/>
      <c r="J20" s="2488"/>
      <c r="K20" s="248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8"/>
      <c r="C23" s="2488"/>
      <c r="D23" s="2488"/>
      <c r="E23" s="2488"/>
      <c r="F23" s="2488"/>
      <c r="G23" s="2488"/>
      <c r="H23" s="2488"/>
      <c r="I23" s="2488"/>
      <c r="J23" s="2488"/>
      <c r="K23" s="248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8"/>
      <c r="C26" s="2488"/>
      <c r="D26" s="2488"/>
      <c r="E26" s="2488"/>
      <c r="F26" s="2488"/>
      <c r="G26" s="2488"/>
      <c r="H26" s="2488"/>
      <c r="I26" s="2488"/>
      <c r="J26" s="2488"/>
      <c r="K26" s="248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8"/>
      <c r="C29" s="2488"/>
      <c r="D29" s="2488"/>
      <c r="E29" s="2488"/>
      <c r="F29" s="2488"/>
      <c r="G29" s="2488"/>
      <c r="H29" s="2488"/>
      <c r="I29" s="2488"/>
      <c r="J29" s="2488"/>
      <c r="K29" s="248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8"/>
      <c r="C32" s="2488"/>
      <c r="D32" s="2488"/>
      <c r="E32" s="2488"/>
      <c r="F32" s="2488"/>
      <c r="G32" s="2488"/>
      <c r="H32" s="2488"/>
      <c r="I32" s="2488"/>
      <c r="J32" s="2488"/>
      <c r="K32" s="248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8"/>
      <c r="C35" s="2488"/>
      <c r="D35" s="2488"/>
      <c r="E35" s="2488"/>
      <c r="F35" s="2488"/>
      <c r="G35" s="2488"/>
      <c r="H35" s="2488"/>
      <c r="I35" s="2488"/>
      <c r="J35" s="2488"/>
      <c r="K35" s="248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8"/>
      <c r="C38" s="2488"/>
      <c r="D38" s="2488"/>
      <c r="E38" s="2488"/>
      <c r="F38" s="2488"/>
      <c r="G38" s="2488"/>
      <c r="H38" s="2488"/>
      <c r="I38" s="2488"/>
      <c r="J38" s="2488"/>
      <c r="K38" s="248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8"/>
      <c r="C41" s="2488"/>
      <c r="D41" s="2488"/>
      <c r="E41" s="2488"/>
      <c r="F41" s="2488"/>
      <c r="G41" s="2488"/>
      <c r="H41" s="2488"/>
      <c r="I41" s="2488"/>
      <c r="J41" s="2488"/>
      <c r="K41" s="248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35" sqref="B3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3" t="str">
        <f>'Single Audit Cover'!A7</f>
        <v>Washington CHSD 308</v>
      </c>
      <c r="C1" s="2473"/>
      <c r="D1" s="2473"/>
      <c r="E1" s="1469"/>
    </row>
    <row r="2" spans="2:5" s="1279" customFormat="1" ht="12.75" customHeight="1" x14ac:dyDescent="0.2">
      <c r="B2" s="2475">
        <f>'Single Audit Cover'!E7</f>
        <v>53090308016</v>
      </c>
      <c r="C2" s="2475"/>
      <c r="D2" s="2475"/>
      <c r="E2" s="1470"/>
    </row>
    <row r="3" spans="2:5" ht="12.75" customHeight="1" x14ac:dyDescent="0.2">
      <c r="B3" s="2489" t="s">
        <v>1766</v>
      </c>
      <c r="C3" s="2489"/>
      <c r="D3" s="2489"/>
      <c r="E3" s="1271"/>
    </row>
    <row r="4" spans="2:5" s="1279" customFormat="1" ht="12.75" customHeight="1" x14ac:dyDescent="0.2">
      <c r="B4" s="2499" t="str">
        <f>'Single Audit Cover'!A4</f>
        <v>Year Ending June 30, 2019</v>
      </c>
      <c r="C4" s="2499"/>
      <c r="D4" s="2499"/>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2165</v>
      </c>
      <c r="C7" s="2487" t="s">
        <v>2161</v>
      </c>
      <c r="D7" s="324" t="s">
        <v>2166</v>
      </c>
      <c r="E7" s="324"/>
    </row>
    <row r="8" spans="2:5" ht="13.5" customHeight="1" x14ac:dyDescent="0.2">
      <c r="B8" s="1474"/>
      <c r="C8" s="2487"/>
      <c r="D8" s="324"/>
      <c r="E8" s="324"/>
    </row>
    <row r="9" spans="2:5" ht="13.5" customHeight="1" x14ac:dyDescent="0.2">
      <c r="B9" s="1475"/>
      <c r="C9" s="2487"/>
      <c r="D9" s="323"/>
      <c r="E9" s="323"/>
    </row>
    <row r="10" spans="2:5" ht="13.5" customHeight="1" x14ac:dyDescent="0.2">
      <c r="B10" s="1474"/>
      <c r="C10" s="2487"/>
      <c r="D10" s="323"/>
      <c r="E10" s="323"/>
    </row>
    <row r="11" spans="2:5" ht="13.5" customHeight="1" x14ac:dyDescent="0.2">
      <c r="B11" s="1474"/>
      <c r="C11" s="2487"/>
      <c r="D11" s="323"/>
      <c r="E11" s="323"/>
    </row>
    <row r="12" spans="2:5" ht="13.5" customHeight="1" x14ac:dyDescent="0.2">
      <c r="B12" s="1474"/>
      <c r="C12" s="2487"/>
      <c r="D12" s="323"/>
      <c r="E12" s="323"/>
    </row>
    <row r="13" spans="2:5" ht="13.5" customHeight="1" x14ac:dyDescent="0.2">
      <c r="B13" s="1474"/>
      <c r="C13" s="2487"/>
      <c r="D13" s="323"/>
      <c r="E13" s="323"/>
    </row>
    <row r="14" spans="2:5" ht="13.5" customHeight="1" x14ac:dyDescent="0.2">
      <c r="B14" s="1474"/>
      <c r="C14" s="2487"/>
      <c r="D14" s="323"/>
      <c r="E14" s="323"/>
    </row>
    <row r="15" spans="2:5" ht="13.5" customHeight="1" x14ac:dyDescent="0.2">
      <c r="B15" s="1474"/>
      <c r="C15" s="2487"/>
      <c r="D15" s="323"/>
      <c r="E15" s="323"/>
    </row>
    <row r="16" spans="2:5" ht="13.5" customHeight="1" x14ac:dyDescent="0.2">
      <c r="B16" s="1474"/>
      <c r="C16" s="2487"/>
      <c r="D16" s="323"/>
      <c r="E16" s="323"/>
    </row>
    <row r="17" spans="2:5" ht="13.5" customHeight="1" x14ac:dyDescent="0.2">
      <c r="B17" s="1474"/>
      <c r="C17" s="2487"/>
      <c r="D17" s="323"/>
      <c r="E17" s="323"/>
    </row>
    <row r="18" spans="2:5" ht="13.5" customHeight="1" x14ac:dyDescent="0.2">
      <c r="B18" s="1474"/>
      <c r="C18" s="2487"/>
      <c r="D18" s="323"/>
      <c r="E18" s="323"/>
    </row>
    <row r="19" spans="2:5" ht="13.5" customHeight="1" x14ac:dyDescent="0.2">
      <c r="B19" s="1474"/>
      <c r="C19" s="2487"/>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5">
    <mergeCell ref="B1:D1"/>
    <mergeCell ref="B2:D2"/>
    <mergeCell ref="B3:D3"/>
    <mergeCell ref="B4:D4"/>
    <mergeCell ref="C7:C19"/>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B35" sqref="B3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7" t="s">
        <v>386</v>
      </c>
      <c r="B1" s="2097"/>
      <c r="C1" s="2097"/>
      <c r="D1" s="2097"/>
      <c r="E1" s="2097"/>
      <c r="F1" s="2097"/>
      <c r="G1" s="2097"/>
      <c r="H1" s="2097"/>
      <c r="I1" s="2097"/>
      <c r="J1" s="2097"/>
      <c r="K1" s="2097"/>
      <c r="L1" s="2097"/>
      <c r="M1" s="209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509234024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1.8391000000000001E-2</v>
      </c>
      <c r="E10" s="356" t="s">
        <v>1005</v>
      </c>
      <c r="F10" s="355">
        <v>4.2589999999999998E-3</v>
      </c>
      <c r="G10" s="356" t="s">
        <v>1005</v>
      </c>
      <c r="H10" s="355">
        <v>1.065E-3</v>
      </c>
      <c r="I10" s="356" t="s">
        <v>1006</v>
      </c>
      <c r="J10" s="1732">
        <f>ROUND(D10+F10+H10,5)</f>
        <v>2.3720000000000001E-2</v>
      </c>
      <c r="K10" s="222"/>
      <c r="L10" s="355">
        <v>4.841E-4</v>
      </c>
      <c r="M10" s="222"/>
    </row>
    <row r="11" spans="1:14" ht="7.5" customHeight="1" x14ac:dyDescent="0.2">
      <c r="B11" s="222"/>
      <c r="C11" s="222"/>
      <c r="D11" s="2107" t="str">
        <f>IF(SUM(J10)&lt;=0.0999999,"","Enter the Tax Rates by moving the decimal two places to the left.")</f>
        <v/>
      </c>
      <c r="E11" s="2108"/>
      <c r="F11" s="2108"/>
      <c r="G11" s="2108"/>
      <c r="H11" s="2108"/>
      <c r="I11" s="2108"/>
      <c r="J11" s="210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17618265</v>
      </c>
      <c r="E16" s="356"/>
      <c r="F16" s="1733">
        <f>SUM('Acct Summary 7-8'!C17,'Acct Summary 7-8'!D17,'Acct Summary 7-8'!F17)</f>
        <v>16979659</v>
      </c>
      <c r="G16" s="356"/>
      <c r="H16" s="1733">
        <f>SUM(D16-F16)</f>
        <v>638606</v>
      </c>
      <c r="I16" s="222"/>
      <c r="J16" s="1733">
        <f>SUM('Acct Summary 7-8'!C81,'Acct Summary 7-8'!D81,'Acct Summary 7-8'!F81,'Acct Summary 7-8'!I81)</f>
        <v>11321697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35">
        <f>IF(B31="X",(J7*0.069),IF(B32="X",(J7*0.138),"Enter x in a.or b."))</f>
        <v>35137147.656000003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18235000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8"/>
      <c r="C54" s="2099"/>
      <c r="D54" s="2099"/>
      <c r="E54" s="2099"/>
      <c r="F54" s="2099"/>
      <c r="G54" s="2099"/>
      <c r="H54" s="2099"/>
      <c r="I54" s="2099"/>
      <c r="J54" s="2099"/>
      <c r="K54" s="2099"/>
      <c r="L54" s="2100"/>
      <c r="M54" s="380"/>
    </row>
    <row r="55" spans="1:13" ht="12.75" customHeight="1" x14ac:dyDescent="0.2">
      <c r="B55" s="2101"/>
      <c r="C55" s="2102"/>
      <c r="D55" s="2102"/>
      <c r="E55" s="2102"/>
      <c r="F55" s="2102"/>
      <c r="G55" s="2102"/>
      <c r="H55" s="2102"/>
      <c r="I55" s="2102"/>
      <c r="J55" s="2102"/>
      <c r="K55" s="2102"/>
      <c r="L55" s="2103"/>
      <c r="M55" s="380"/>
    </row>
    <row r="56" spans="1:13" ht="12.75" customHeight="1" x14ac:dyDescent="0.2">
      <c r="B56" s="2101"/>
      <c r="C56" s="2102"/>
      <c r="D56" s="2102"/>
      <c r="E56" s="2102"/>
      <c r="F56" s="2102"/>
      <c r="G56" s="2102"/>
      <c r="H56" s="2102"/>
      <c r="I56" s="2102"/>
      <c r="J56" s="2102"/>
      <c r="K56" s="2102"/>
      <c r="L56" s="2103"/>
      <c r="M56" s="222"/>
    </row>
    <row r="57" spans="1:13" ht="12.75" customHeight="1" x14ac:dyDescent="0.2">
      <c r="B57" s="2101"/>
      <c r="C57" s="2102"/>
      <c r="D57" s="2102"/>
      <c r="E57" s="2102"/>
      <c r="F57" s="2102"/>
      <c r="G57" s="2102"/>
      <c r="H57" s="2102"/>
      <c r="I57" s="2102"/>
      <c r="J57" s="2102"/>
      <c r="K57" s="2102"/>
      <c r="L57" s="2103"/>
      <c r="M57" s="222"/>
    </row>
    <row r="58" spans="1:13" x14ac:dyDescent="0.2">
      <c r="B58" s="2104"/>
      <c r="C58" s="2105"/>
      <c r="D58" s="2105"/>
      <c r="E58" s="2105"/>
      <c r="F58" s="2105"/>
      <c r="G58" s="2105"/>
      <c r="H58" s="2105"/>
      <c r="I58" s="2105"/>
      <c r="J58" s="2105"/>
      <c r="K58" s="2105"/>
      <c r="L58" s="210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9"/>
      <c r="D61" s="211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1" zoomScale="110" zoomScaleNormal="110" workbookViewId="0">
      <selection activeCell="B35" sqref="B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2"/>
      <c r="B1" s="2113"/>
      <c r="C1" s="2113"/>
      <c r="D1" s="384"/>
      <c r="E1" s="384"/>
      <c r="F1" s="384"/>
      <c r="G1" s="384"/>
      <c r="H1" s="384"/>
      <c r="I1" s="384"/>
      <c r="J1" s="384"/>
      <c r="K1" s="384"/>
      <c r="L1" s="384"/>
      <c r="M1" s="384"/>
      <c r="N1" s="384"/>
      <c r="O1" s="2112"/>
      <c r="P1" s="2113"/>
      <c r="Q1" s="2113"/>
    </row>
    <row r="2" spans="1:18" ht="15" x14ac:dyDescent="0.2">
      <c r="A2" s="2116" t="s">
        <v>556</v>
      </c>
      <c r="B2" s="2116"/>
      <c r="C2" s="2116"/>
      <c r="D2" s="2116"/>
      <c r="E2" s="2116"/>
      <c r="F2" s="2116"/>
      <c r="G2" s="2116"/>
      <c r="H2" s="2116"/>
      <c r="I2" s="2116"/>
      <c r="J2" s="2116"/>
      <c r="K2" s="2116"/>
      <c r="L2" s="2116"/>
      <c r="M2" s="2116"/>
      <c r="N2" s="2116"/>
      <c r="O2" s="2116"/>
      <c r="P2" s="2116"/>
      <c r="Q2" s="2116"/>
      <c r="R2" s="2116"/>
    </row>
    <row r="3" spans="1:18" ht="12.75" x14ac:dyDescent="0.2">
      <c r="A3" s="2117" t="s">
        <v>1413</v>
      </c>
      <c r="B3" s="2117"/>
      <c r="C3" s="2117"/>
      <c r="D3" s="2117"/>
      <c r="E3" s="2117"/>
      <c r="F3" s="2117"/>
      <c r="G3" s="2117"/>
      <c r="H3" s="2117"/>
      <c r="I3" s="2117"/>
      <c r="J3" s="2117"/>
      <c r="K3" s="2117"/>
      <c r="L3" s="2117"/>
      <c r="M3" s="2117"/>
      <c r="N3" s="2117"/>
      <c r="O3" s="2117"/>
      <c r="P3" s="2117"/>
      <c r="Q3" s="2117"/>
      <c r="R3" s="2117"/>
    </row>
    <row r="4" spans="1:18" x14ac:dyDescent="0.2">
      <c r="A4" s="2118" t="s">
        <v>1554</v>
      </c>
      <c r="B4" s="2118"/>
      <c r="C4" s="2118"/>
      <c r="D4" s="2118"/>
      <c r="E4" s="2118"/>
      <c r="F4" s="2118"/>
      <c r="G4" s="2118"/>
      <c r="H4" s="2118"/>
      <c r="I4" s="2118"/>
      <c r="J4" s="2118"/>
      <c r="K4" s="2118"/>
      <c r="L4" s="2118"/>
      <c r="M4" s="2118"/>
      <c r="N4" s="2118"/>
      <c r="O4" s="2118"/>
      <c r="P4" s="2118"/>
      <c r="Q4" s="2118"/>
      <c r="R4" s="211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Washington CHSD 308</v>
      </c>
      <c r="E7" s="391"/>
      <c r="G7" s="252"/>
      <c r="H7" s="387"/>
      <c r="I7" s="387"/>
      <c r="J7" s="387"/>
      <c r="K7" s="387"/>
      <c r="L7" s="329"/>
      <c r="M7" s="329"/>
      <c r="N7" s="329"/>
      <c r="O7" s="329"/>
      <c r="P7" s="329"/>
    </row>
    <row r="8" spans="1:18" ht="12.75" x14ac:dyDescent="0.2">
      <c r="A8" s="329"/>
      <c r="B8" s="329"/>
      <c r="C8" s="389" t="s">
        <v>1125</v>
      </c>
      <c r="D8" s="392">
        <f>COVER!A13</f>
        <v>53090308016</v>
      </c>
      <c r="E8" s="393"/>
      <c r="G8" s="329"/>
      <c r="H8" s="329"/>
      <c r="I8" s="329"/>
      <c r="J8" s="329"/>
      <c r="K8" s="329"/>
      <c r="L8" s="329"/>
      <c r="M8" s="329"/>
      <c r="N8" s="329"/>
      <c r="O8" s="329"/>
      <c r="P8" s="329"/>
    </row>
    <row r="9" spans="1:18" ht="12.75" x14ac:dyDescent="0.2">
      <c r="A9" s="329"/>
      <c r="B9" s="329"/>
      <c r="C9" s="389" t="s">
        <v>713</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11321697</v>
      </c>
      <c r="I12" s="404"/>
      <c r="J12" s="404"/>
      <c r="K12" s="405">
        <f>TRUNC((H12/H13*100000),5)/100000</f>
        <v>0.64261134679999998</v>
      </c>
      <c r="L12" s="406"/>
      <c r="M12" s="360" t="s">
        <v>1144</v>
      </c>
      <c r="N12" s="360"/>
      <c r="O12" s="407">
        <v>0.35</v>
      </c>
      <c r="P12" s="218"/>
      <c r="Q12" s="218"/>
    </row>
    <row r="13" spans="1:18" s="408" customFormat="1" ht="12.75" x14ac:dyDescent="0.2">
      <c r="A13" s="218"/>
      <c r="B13" s="401"/>
      <c r="C13" s="2114" t="s">
        <v>1324</v>
      </c>
      <c r="D13" s="2115"/>
      <c r="E13" s="218"/>
      <c r="F13" s="409" t="s">
        <v>793</v>
      </c>
      <c r="G13" s="402"/>
      <c r="H13" s="403">
        <f>SUM('Acct Summary 7-8'!C8+'Acct Summary 7-8'!D8+'Acct Summary 7-8'!F8+'Acct Summary 7-8'!I8)+H14</f>
        <v>17618265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16979659</v>
      </c>
      <c r="I17" s="404"/>
      <c r="J17" s="416"/>
      <c r="K17" s="405">
        <f>TRUNC((H17/H18*100000),5)/100000</f>
        <v>0.96375318450000003</v>
      </c>
      <c r="L17" s="406"/>
      <c r="M17" s="417" t="s">
        <v>1171</v>
      </c>
      <c r="O17" s="418" t="str">
        <f>IF(AND(O16="2", J20 &gt; 2),"1",IF(AND(O16 = "1", J20 &gt; 2),"2",IF(AND(O16="1", J20 &gt;1),"1","0")))</f>
        <v>0</v>
      </c>
      <c r="P17" s="218"/>
    </row>
    <row r="18" spans="1:18" s="408" customFormat="1" ht="11.25" x14ac:dyDescent="0.2">
      <c r="A18" s="218"/>
      <c r="B18" s="401"/>
      <c r="C18" s="2114" t="s">
        <v>1317</v>
      </c>
      <c r="D18" s="2115"/>
      <c r="E18" s="218"/>
      <c r="F18" s="419" t="s">
        <v>794</v>
      </c>
      <c r="G18" s="402"/>
      <c r="H18" s="403">
        <f>SUM('Acct Summary 7-8'!C8+'Acct Summary 7-8'!D8+'Acct Summary 7-8'!F8+'Acct Summary 7-8'!I8)+H19</f>
        <v>17618265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1" t="s">
        <v>1412</v>
      </c>
      <c r="D24" s="2111"/>
      <c r="E24" s="218"/>
      <c r="F24" s="218" t="s">
        <v>445</v>
      </c>
      <c r="G24" s="402"/>
      <c r="H24" s="403">
        <f>SUM('Assets-Liab 5-6'!C4+'Assets-Liab 5-6'!D4+'Assets-Liab 5-6'!F4+'Assets-Liab 5-6'!I4+'Assets-Liab 5-6'!C5+'Assets-Liab 5-6'!D5+'Assets-Liab 5-6'!F5+'Assets-Liab 5-6'!I5)</f>
        <v>11321697</v>
      </c>
      <c r="I24" s="422"/>
      <c r="J24" s="422"/>
      <c r="K24" s="423">
        <f>TRUNC(((H24/H25*100000)/100000),2)</f>
        <v>240.04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47165.719440000001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10267176.391890001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18235000</v>
      </c>
      <c r="I32" s="420"/>
      <c r="J32" s="420"/>
      <c r="K32" s="423">
        <f>TRUNC(100-((((H32/H33*100))*100)/100),2)</f>
        <v>48.1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35137147.656000003</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E1" colorId="8" zoomScaleNormal="100" workbookViewId="0">
      <pane ySplit="2" topLeftCell="A10" activePane="bottomLeft" state="frozen"/>
      <selection activeCell="B35" sqref="B35"/>
      <selection pane="bottomLeft" activeCell="B35" sqref="B3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1" t="s">
        <v>973</v>
      </c>
      <c r="B3" s="2122"/>
      <c r="C3" s="1559"/>
      <c r="D3" s="1560"/>
      <c r="E3" s="1560"/>
      <c r="F3" s="1560"/>
      <c r="G3" s="1560"/>
      <c r="H3" s="1560"/>
      <c r="I3" s="1560"/>
      <c r="J3" s="1560"/>
      <c r="K3" s="1560"/>
      <c r="L3" s="1560"/>
      <c r="M3" s="1561"/>
      <c r="N3" s="1562"/>
    </row>
    <row r="4" spans="1:14" ht="13.5" customHeight="1" x14ac:dyDescent="0.2">
      <c r="A4" s="463" t="s">
        <v>1651</v>
      </c>
      <c r="B4" s="464"/>
      <c r="C4" s="465">
        <v>556892</v>
      </c>
      <c r="D4" s="466">
        <v>3069996</v>
      </c>
      <c r="E4" s="466">
        <v>30860</v>
      </c>
      <c r="F4" s="466">
        <v>930831</v>
      </c>
      <c r="G4" s="466">
        <v>222270</v>
      </c>
      <c r="H4" s="466">
        <v>738602</v>
      </c>
      <c r="I4" s="466">
        <v>213917</v>
      </c>
      <c r="J4" s="467">
        <v>78981</v>
      </c>
      <c r="K4" s="466">
        <v>136580</v>
      </c>
      <c r="L4" s="466">
        <v>1657771</v>
      </c>
      <c r="M4" s="468"/>
      <c r="N4" s="469"/>
    </row>
    <row r="5" spans="1:14" x14ac:dyDescent="0.2">
      <c r="A5" s="463" t="s">
        <v>992</v>
      </c>
      <c r="B5" s="470">
        <v>120</v>
      </c>
      <c r="C5" s="465">
        <v>2403141</v>
      </c>
      <c r="D5" s="466">
        <v>2881021</v>
      </c>
      <c r="E5" s="466">
        <v>14555</v>
      </c>
      <c r="F5" s="466">
        <v>70962</v>
      </c>
      <c r="G5" s="466">
        <v>7018</v>
      </c>
      <c r="H5" s="466"/>
      <c r="I5" s="466">
        <v>1194937</v>
      </c>
      <c r="J5" s="467"/>
      <c r="K5" s="471">
        <v>53</v>
      </c>
      <c r="L5" s="472">
        <v>47831</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2960033</v>
      </c>
      <c r="D13" s="1737">
        <f t="shared" ref="D13:L13" si="0">SUM(D4:D12)</f>
        <v>5951017</v>
      </c>
      <c r="E13" s="1737">
        <f t="shared" si="0"/>
        <v>45415</v>
      </c>
      <c r="F13" s="1737">
        <f t="shared" si="0"/>
        <v>1001793</v>
      </c>
      <c r="G13" s="1737">
        <f t="shared" si="0"/>
        <v>229288</v>
      </c>
      <c r="H13" s="1737">
        <f t="shared" si="0"/>
        <v>738602</v>
      </c>
      <c r="I13" s="1737">
        <f t="shared" si="0"/>
        <v>1408854</v>
      </c>
      <c r="J13" s="1737">
        <f t="shared" si="0"/>
        <v>78981</v>
      </c>
      <c r="K13" s="1737">
        <f t="shared" si="0"/>
        <v>136633</v>
      </c>
      <c r="L13" s="1737">
        <f t="shared" si="0"/>
        <v>1705602</v>
      </c>
      <c r="M13" s="468"/>
      <c r="N13" s="469"/>
    </row>
    <row r="14" spans="1:14" ht="18" customHeight="1" thickTop="1" x14ac:dyDescent="0.2">
      <c r="A14" s="2123" t="s">
        <v>147</v>
      </c>
      <c r="B14" s="212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434584</v>
      </c>
      <c r="N16" s="484"/>
    </row>
    <row r="17" spans="1:14" s="485" customFormat="1" ht="12.75" customHeight="1" x14ac:dyDescent="0.2">
      <c r="A17" s="482" t="s">
        <v>1403</v>
      </c>
      <c r="B17" s="483">
        <v>230</v>
      </c>
      <c r="C17" s="477"/>
      <c r="D17" s="477"/>
      <c r="E17" s="477"/>
      <c r="F17" s="477"/>
      <c r="G17" s="477"/>
      <c r="H17" s="477"/>
      <c r="I17" s="477"/>
      <c r="J17" s="477"/>
      <c r="K17" s="477"/>
      <c r="L17" s="477"/>
      <c r="M17" s="467">
        <v>31943746</v>
      </c>
      <c r="N17" s="484"/>
    </row>
    <row r="18" spans="1:14" s="485" customFormat="1" ht="12.75" customHeight="1" x14ac:dyDescent="0.2">
      <c r="A18" s="482" t="s">
        <v>1404</v>
      </c>
      <c r="B18" s="483">
        <v>240</v>
      </c>
      <c r="C18" s="477"/>
      <c r="D18" s="477"/>
      <c r="E18" s="477"/>
      <c r="F18" s="477"/>
      <c r="G18" s="477"/>
      <c r="H18" s="477"/>
      <c r="I18" s="477"/>
      <c r="J18" s="477"/>
      <c r="K18" s="477"/>
      <c r="L18" s="477"/>
      <c r="M18" s="467">
        <v>236754</v>
      </c>
      <c r="N18" s="484"/>
    </row>
    <row r="19" spans="1:14" s="485" customFormat="1" ht="12.75" customHeight="1" x14ac:dyDescent="0.2">
      <c r="A19" s="482" t="s">
        <v>1405</v>
      </c>
      <c r="B19" s="483">
        <v>250</v>
      </c>
      <c r="C19" s="477"/>
      <c r="D19" s="477"/>
      <c r="E19" s="477"/>
      <c r="F19" s="477"/>
      <c r="G19" s="477"/>
      <c r="H19" s="477"/>
      <c r="I19" s="477"/>
      <c r="J19" s="477"/>
      <c r="K19" s="477"/>
      <c r="L19" s="477"/>
      <c r="M19" s="467">
        <v>2881827</v>
      </c>
      <c r="N19" s="484"/>
    </row>
    <row r="20" spans="1:14" s="485" customFormat="1" ht="12.75" customHeight="1" x14ac:dyDescent="0.2">
      <c r="A20" s="482" t="s">
        <v>1406</v>
      </c>
      <c r="B20" s="483">
        <v>260</v>
      </c>
      <c r="C20" s="477"/>
      <c r="D20" s="477"/>
      <c r="E20" s="477"/>
      <c r="F20" s="477"/>
      <c r="G20" s="477"/>
      <c r="H20" s="477"/>
      <c r="I20" s="477"/>
      <c r="J20" s="477"/>
      <c r="K20" s="477"/>
      <c r="L20" s="477"/>
      <c r="M20" s="467">
        <v>2548850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45415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18189585</v>
      </c>
    </row>
    <row r="23" spans="1:14" ht="13.5" customHeight="1" thickBot="1" x14ac:dyDescent="0.25">
      <c r="A23" s="1736" t="s">
        <v>643</v>
      </c>
      <c r="B23" s="1741"/>
      <c r="C23" s="468"/>
      <c r="D23" s="468"/>
      <c r="E23" s="468"/>
      <c r="F23" s="468"/>
      <c r="G23" s="468"/>
      <c r="H23" s="468"/>
      <c r="I23" s="468"/>
      <c r="J23" s="468"/>
      <c r="K23" s="468"/>
      <c r="L23" s="468"/>
      <c r="M23" s="1688">
        <f>SUM(M15:M22)</f>
        <v>38045761</v>
      </c>
      <c r="N23" s="1688">
        <f>SUM(N21:N22)</f>
        <v>18235000</v>
      </c>
    </row>
    <row r="24" spans="1:14" ht="18" customHeight="1" thickTop="1" x14ac:dyDescent="0.2">
      <c r="A24" s="2125" t="s">
        <v>598</v>
      </c>
      <c r="B24" s="212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546556</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546556</v>
      </c>
      <c r="M34" s="468"/>
      <c r="N34" s="480"/>
    </row>
    <row r="35" spans="1:14" ht="18" customHeight="1" thickTop="1" x14ac:dyDescent="0.2">
      <c r="A35" s="2127" t="s">
        <v>529</v>
      </c>
      <c r="B35" s="212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18235000</v>
      </c>
    </row>
    <row r="37" spans="1:14" ht="13.5" thickBot="1" x14ac:dyDescent="0.25">
      <c r="A37" s="1736" t="s">
        <v>653</v>
      </c>
      <c r="B37" s="1741"/>
      <c r="C37" s="477"/>
      <c r="D37" s="477"/>
      <c r="E37" s="477"/>
      <c r="F37" s="477"/>
      <c r="G37" s="477"/>
      <c r="H37" s="477"/>
      <c r="I37" s="477"/>
      <c r="J37" s="477"/>
      <c r="K37" s="477"/>
      <c r="L37" s="480"/>
      <c r="M37" s="468"/>
      <c r="N37" s="1688">
        <f>SUM(N36:N36)</f>
        <v>18235000</v>
      </c>
    </row>
    <row r="38" spans="1:14" s="329" customFormat="1" ht="13.5" customHeight="1" thickTop="1" x14ac:dyDescent="0.2">
      <c r="A38" s="496" t="s">
        <v>420</v>
      </c>
      <c r="B38" s="483">
        <v>714</v>
      </c>
      <c r="C38" s="466"/>
      <c r="D38" s="466"/>
      <c r="E38" s="466"/>
      <c r="F38" s="466"/>
      <c r="G38" s="466">
        <v>86625</v>
      </c>
      <c r="H38" s="466"/>
      <c r="I38" s="466"/>
      <c r="J38" s="467"/>
      <c r="K38" s="466"/>
      <c r="L38" s="481">
        <v>1159046</v>
      </c>
      <c r="M38" s="497"/>
      <c r="N38" s="497"/>
    </row>
    <row r="39" spans="1:14" s="329" customFormat="1" ht="13.5" customHeight="1" x14ac:dyDescent="0.2">
      <c r="A39" s="496" t="s">
        <v>342</v>
      </c>
      <c r="B39" s="483">
        <v>730</v>
      </c>
      <c r="C39" s="466">
        <v>2960033</v>
      </c>
      <c r="D39" s="466">
        <v>5951017</v>
      </c>
      <c r="E39" s="466">
        <v>45415</v>
      </c>
      <c r="F39" s="466">
        <v>1001793</v>
      </c>
      <c r="G39" s="466">
        <v>142663</v>
      </c>
      <c r="H39" s="466">
        <v>738602</v>
      </c>
      <c r="I39" s="466">
        <v>1408854</v>
      </c>
      <c r="J39" s="467">
        <v>78981</v>
      </c>
      <c r="K39" s="466">
        <v>136633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38045761</v>
      </c>
      <c r="N40" s="497"/>
    </row>
    <row r="41" spans="1:14" ht="13.5" customHeight="1" thickBot="1" x14ac:dyDescent="0.25">
      <c r="A41" s="1736" t="s">
        <v>655</v>
      </c>
      <c r="B41" s="1706"/>
      <c r="C41" s="1688">
        <f>(SUM(C34,C37,C38,C39))</f>
        <v>2960033</v>
      </c>
      <c r="D41" s="1688">
        <f t="shared" ref="D41:L41" si="2">SUM(D34,D37,D38:D39)</f>
        <v>5951017</v>
      </c>
      <c r="E41" s="1688">
        <f t="shared" si="2"/>
        <v>45415</v>
      </c>
      <c r="F41" s="1688">
        <f t="shared" si="2"/>
        <v>1001793</v>
      </c>
      <c r="G41" s="1688">
        <f t="shared" si="2"/>
        <v>229288</v>
      </c>
      <c r="H41" s="1688">
        <f t="shared" si="2"/>
        <v>738602</v>
      </c>
      <c r="I41" s="1688">
        <f t="shared" si="2"/>
        <v>1408854</v>
      </c>
      <c r="J41" s="1688">
        <f t="shared" si="2"/>
        <v>78981</v>
      </c>
      <c r="K41" s="1688">
        <f t="shared" si="2"/>
        <v>136633</v>
      </c>
      <c r="L41" s="1688">
        <f t="shared" si="2"/>
        <v>1705602</v>
      </c>
      <c r="M41" s="1688">
        <f>SUM(M40)</f>
        <v>38045761</v>
      </c>
      <c r="N41" s="1688">
        <f>SUM(N37)</f>
        <v>18235000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68" activePane="bottomLeft" state="frozen"/>
      <selection activeCell="B35" sqref="B35"/>
      <selection pane="bottomLeft" activeCell="B35" sqref="B3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9" t="s">
        <v>1175</v>
      </c>
      <c r="B3" s="2150"/>
      <c r="C3" s="1573"/>
      <c r="D3" s="1574"/>
      <c r="E3" s="1574"/>
      <c r="F3" s="1574"/>
      <c r="G3" s="1574"/>
      <c r="H3" s="1574"/>
      <c r="I3" s="1574"/>
      <c r="J3" s="1574"/>
      <c r="K3" s="1575"/>
      <c r="L3" s="506"/>
    </row>
    <row r="4" spans="1:13" ht="15.75" customHeight="1" x14ac:dyDescent="0.2">
      <c r="A4" s="1928" t="s">
        <v>1499</v>
      </c>
      <c r="B4" s="1929">
        <v>1000</v>
      </c>
      <c r="C4" s="1742">
        <f>'Revenues 9-14'!C109</f>
        <v>10850255</v>
      </c>
      <c r="D4" s="1742">
        <f>'Revenues 9-14'!D109</f>
        <v>2302848</v>
      </c>
      <c r="E4" s="1742">
        <f>'Revenues 9-14'!E109</f>
        <v>1284878</v>
      </c>
      <c r="F4" s="1742">
        <f>'Revenues 9-14'!F109</f>
        <v>577558</v>
      </c>
      <c r="G4" s="1742">
        <f>'Revenues 9-14'!G109</f>
        <v>357714</v>
      </c>
      <c r="H4" s="1742">
        <f>'Revenues 9-14'!H109</f>
        <v>6510</v>
      </c>
      <c r="I4" s="1742">
        <f>'Revenues 9-14'!I109</f>
        <v>278476</v>
      </c>
      <c r="J4" s="1742">
        <f>'Revenues 9-14'!J109</f>
        <v>85411</v>
      </c>
      <c r="K4" s="1742">
        <f>'Revenues 9-14'!K109</f>
        <v>12055</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3138583</v>
      </c>
      <c r="D6" s="1743">
        <f>'Revenues 9-14'!D170</f>
        <v>0</v>
      </c>
      <c r="E6" s="1743">
        <f>'Revenues 9-14'!E170</f>
        <v>0</v>
      </c>
      <c r="F6" s="1743">
        <f>'Revenues 9-14'!F170</f>
        <v>113862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356683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14345521</v>
      </c>
      <c r="D8" s="1688">
        <f t="shared" ref="D8:K8" si="0">SUM(D4:D7)</f>
        <v>2302848</v>
      </c>
      <c r="E8" s="1688">
        <f t="shared" si="0"/>
        <v>1284878</v>
      </c>
      <c r="F8" s="1688">
        <f t="shared" si="0"/>
        <v>691420</v>
      </c>
      <c r="G8" s="1688">
        <f t="shared" si="0"/>
        <v>357714</v>
      </c>
      <c r="H8" s="1688">
        <f t="shared" si="0"/>
        <v>6510</v>
      </c>
      <c r="I8" s="1688">
        <f t="shared" si="0"/>
        <v>278476</v>
      </c>
      <c r="J8" s="1688">
        <f t="shared" si="0"/>
        <v>85411</v>
      </c>
      <c r="K8" s="1688">
        <f t="shared" si="0"/>
        <v>12055</v>
      </c>
      <c r="L8" s="347"/>
    </row>
    <row r="9" spans="1:13" ht="15.75" thickTop="1" x14ac:dyDescent="0.2">
      <c r="A9" s="514" t="s">
        <v>1653</v>
      </c>
      <c r="B9" s="515">
        <v>3998</v>
      </c>
      <c r="C9" s="481">
        <v>6096217</v>
      </c>
      <c r="D9" s="516"/>
      <c r="E9" s="481"/>
      <c r="F9" s="481"/>
      <c r="G9" s="517"/>
      <c r="H9" s="481"/>
      <c r="I9" s="509" t="s">
        <v>1169</v>
      </c>
      <c r="J9" s="478"/>
      <c r="K9" s="481"/>
      <c r="L9" s="347"/>
    </row>
    <row r="10" spans="1:13" s="519" customFormat="1" ht="13.5" thickBot="1" x14ac:dyDescent="0.25">
      <c r="A10" s="1736" t="s">
        <v>1173</v>
      </c>
      <c r="B10" s="1709"/>
      <c r="C10" s="1688">
        <f>SUM(C8:C9)</f>
        <v>20441738</v>
      </c>
      <c r="D10" s="1688">
        <f t="shared" ref="D10:K10" si="1">SUM(D8:D9)</f>
        <v>2302848</v>
      </c>
      <c r="E10" s="1688">
        <f t="shared" si="1"/>
        <v>1284878</v>
      </c>
      <c r="F10" s="1688">
        <f t="shared" si="1"/>
        <v>691420</v>
      </c>
      <c r="G10" s="1688">
        <f t="shared" si="1"/>
        <v>357714</v>
      </c>
      <c r="H10" s="1688">
        <f t="shared" si="1"/>
        <v>6510</v>
      </c>
      <c r="I10" s="1688">
        <f t="shared" si="1"/>
        <v>278476</v>
      </c>
      <c r="J10" s="1688">
        <f t="shared" si="1"/>
        <v>85411</v>
      </c>
      <c r="K10" s="1688">
        <f t="shared" si="1"/>
        <v>12055</v>
      </c>
      <c r="L10" s="518"/>
    </row>
    <row r="11" spans="1:13" s="519" customFormat="1" ht="16.7" customHeight="1" thickTop="1" x14ac:dyDescent="0.2">
      <c r="A11" s="2123" t="s">
        <v>1176</v>
      </c>
      <c r="B11" s="2124"/>
      <c r="C11" s="1570"/>
      <c r="D11" s="1571"/>
      <c r="E11" s="1571"/>
      <c r="F11" s="1571"/>
      <c r="G11" s="1571"/>
      <c r="H11" s="1571"/>
      <c r="I11" s="1571"/>
      <c r="J11" s="1571"/>
      <c r="K11" s="1572"/>
      <c r="L11" s="518"/>
    </row>
    <row r="12" spans="1:13" ht="15.75" customHeight="1" x14ac:dyDescent="0.2">
      <c r="A12" s="1576" t="s">
        <v>456</v>
      </c>
      <c r="B12" s="1578">
        <v>1000</v>
      </c>
      <c r="C12" s="1742">
        <f>'Expenditures 15-22'!K33</f>
        <v>10822032</v>
      </c>
      <c r="D12" s="520" t="s">
        <v>1169</v>
      </c>
      <c r="E12" s="468" t="s">
        <v>1169</v>
      </c>
      <c r="F12" s="468" t="s">
        <v>1169</v>
      </c>
      <c r="G12" s="1742">
        <f>'Expenditures 15-22'!K229</f>
        <v>197787</v>
      </c>
      <c r="H12" s="521"/>
      <c r="I12" s="468" t="s">
        <v>1169</v>
      </c>
      <c r="J12" s="468" t="s">
        <v>1169</v>
      </c>
      <c r="K12" s="521" t="s">
        <v>1169</v>
      </c>
      <c r="L12" s="347"/>
    </row>
    <row r="13" spans="1:13" ht="15.75" customHeight="1" x14ac:dyDescent="0.2">
      <c r="A13" s="1576" t="s">
        <v>457</v>
      </c>
      <c r="B13" s="1578">
        <v>2000</v>
      </c>
      <c r="C13" s="1743">
        <f>'Expenditures 15-22'!K74</f>
        <v>3891135</v>
      </c>
      <c r="D13" s="1743">
        <f>'Expenditures 15-22'!K129</f>
        <v>1312007</v>
      </c>
      <c r="E13" s="469" t="s">
        <v>1169</v>
      </c>
      <c r="F13" s="1743">
        <f>'Expenditures 15-22'!K184</f>
        <v>673462</v>
      </c>
      <c r="G13" s="1743">
        <f>'Expenditures 15-22'!K279</f>
        <v>263388</v>
      </c>
      <c r="H13" s="1743">
        <f>'Expenditures 15-22'!K303</f>
        <v>3267908</v>
      </c>
      <c r="I13" s="468" t="s">
        <v>1169</v>
      </c>
      <c r="J13" s="1743">
        <f>'Expenditures 15-22'!K330</f>
        <v>34362</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281023</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1270565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14994190</v>
      </c>
      <c r="D17" s="1688">
        <f t="shared" si="2"/>
        <v>1312007</v>
      </c>
      <c r="E17" s="1688">
        <f t="shared" si="2"/>
        <v>1270565</v>
      </c>
      <c r="F17" s="1688">
        <f t="shared" si="2"/>
        <v>673462</v>
      </c>
      <c r="G17" s="1688">
        <f t="shared" si="2"/>
        <v>461175</v>
      </c>
      <c r="H17" s="1688">
        <f t="shared" si="2"/>
        <v>3267908</v>
      </c>
      <c r="I17" s="468"/>
      <c r="J17" s="1688">
        <f>SUM(J12:J16)</f>
        <v>34362</v>
      </c>
      <c r="K17" s="1688">
        <f>SUM(K12:K16)</f>
        <v>0</v>
      </c>
      <c r="L17" s="347"/>
    </row>
    <row r="18" spans="1:12" ht="15" customHeight="1" thickTop="1" x14ac:dyDescent="0.2">
      <c r="A18" s="1744" t="s">
        <v>1654</v>
      </c>
      <c r="B18" s="1745">
        <v>4180</v>
      </c>
      <c r="C18" s="1742">
        <f t="shared" ref="C18:H18" si="3">C9</f>
        <v>6096217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21090407</v>
      </c>
      <c r="D19" s="1688">
        <f t="shared" si="4"/>
        <v>1312007</v>
      </c>
      <c r="E19" s="1688">
        <f t="shared" si="4"/>
        <v>1270565</v>
      </c>
      <c r="F19" s="1688">
        <f t="shared" si="4"/>
        <v>673462</v>
      </c>
      <c r="G19" s="1688">
        <f t="shared" si="4"/>
        <v>461175</v>
      </c>
      <c r="H19" s="1688">
        <f t="shared" si="4"/>
        <v>3267908</v>
      </c>
      <c r="I19" s="468"/>
      <c r="J19" s="1688">
        <f>SUM(J17:J18)</f>
        <v>34362</v>
      </c>
      <c r="K19" s="1688">
        <f>SUM(K17:K18)</f>
        <v>0</v>
      </c>
      <c r="L19" s="347"/>
    </row>
    <row r="20" spans="1:12" ht="16.5" thickTop="1" thickBot="1" x14ac:dyDescent="0.25">
      <c r="A20" s="2139" t="s">
        <v>1655</v>
      </c>
      <c r="B20" s="2140"/>
      <c r="C20" s="1746">
        <f>C8-C17</f>
        <v>-648669</v>
      </c>
      <c r="D20" s="1746">
        <f t="shared" ref="D20:K20" si="5">D8-D17</f>
        <v>990841</v>
      </c>
      <c r="E20" s="1746">
        <f t="shared" si="5"/>
        <v>14313</v>
      </c>
      <c r="F20" s="1746">
        <f t="shared" si="5"/>
        <v>17958</v>
      </c>
      <c r="G20" s="1746">
        <f t="shared" si="5"/>
        <v>-103461</v>
      </c>
      <c r="H20" s="1746">
        <f t="shared" si="5"/>
        <v>-3261398</v>
      </c>
      <c r="I20" s="1746">
        <f t="shared" si="5"/>
        <v>278476</v>
      </c>
      <c r="J20" s="1746">
        <f t="shared" si="5"/>
        <v>51049</v>
      </c>
      <c r="K20" s="1746">
        <f t="shared" si="5"/>
        <v>12055</v>
      </c>
      <c r="L20" s="347"/>
    </row>
    <row r="21" spans="1:12" ht="16.7" customHeight="1" thickTop="1" x14ac:dyDescent="0.2">
      <c r="A21" s="2151" t="s">
        <v>595</v>
      </c>
      <c r="B21" s="2152"/>
      <c r="C21" s="1570"/>
      <c r="D21" s="1571"/>
      <c r="E21" s="1571"/>
      <c r="F21" s="1571"/>
      <c r="G21" s="1571"/>
      <c r="H21" s="1571"/>
      <c r="I21" s="1571"/>
      <c r="J21" s="1571"/>
      <c r="K21" s="1572"/>
      <c r="L21" s="524"/>
    </row>
    <row r="22" spans="1:12" ht="15.75" customHeight="1" collapsed="1" x14ac:dyDescent="0.2">
      <c r="A22" s="2147" t="s">
        <v>596</v>
      </c>
      <c r="B22" s="2148"/>
      <c r="C22" s="477"/>
      <c r="D22" s="477"/>
      <c r="E22" s="477"/>
      <c r="F22" s="477"/>
      <c r="G22" s="477"/>
      <c r="H22" s="477"/>
      <c r="I22" s="477"/>
      <c r="J22" s="477"/>
      <c r="K22" s="477"/>
      <c r="L22" s="347"/>
    </row>
    <row r="23" spans="1:12" s="485" customFormat="1" ht="15.75" customHeight="1" x14ac:dyDescent="0.2">
      <c r="A23" s="2143" t="s">
        <v>293</v>
      </c>
      <c r="B23" s="214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v>3500000</v>
      </c>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45" t="s">
        <v>981</v>
      </c>
      <c r="B32" s="214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v>1200</v>
      </c>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500000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53" t="s">
        <v>374</v>
      </c>
      <c r="B44" s="2154"/>
      <c r="C44" s="1703">
        <f>SUM(C24:C43)</f>
        <v>0</v>
      </c>
      <c r="D44" s="1703">
        <f t="shared" ref="D44:K44" si="6">SUM(D24:D43)</f>
        <v>0</v>
      </c>
      <c r="E44" s="1703">
        <f t="shared" si="6"/>
        <v>0</v>
      </c>
      <c r="F44" s="1703">
        <f t="shared" si="6"/>
        <v>1200</v>
      </c>
      <c r="G44" s="1703">
        <f t="shared" si="6"/>
        <v>0</v>
      </c>
      <c r="H44" s="1703">
        <f t="shared" si="6"/>
        <v>4000000</v>
      </c>
      <c r="I44" s="1703">
        <f t="shared" si="6"/>
        <v>0</v>
      </c>
      <c r="J44" s="1703">
        <f t="shared" si="6"/>
        <v>0</v>
      </c>
      <c r="K44" s="1703">
        <f t="shared" si="6"/>
        <v>0</v>
      </c>
      <c r="L44" s="524"/>
    </row>
    <row r="45" spans="1:12" ht="15.75" customHeight="1" thickTop="1" x14ac:dyDescent="0.2">
      <c r="A45" s="2147" t="s">
        <v>108</v>
      </c>
      <c r="B45" s="2148"/>
      <c r="C45" s="528"/>
      <c r="D45" s="528"/>
      <c r="E45" s="528"/>
      <c r="F45" s="528"/>
      <c r="G45" s="528"/>
      <c r="H45" s="528"/>
      <c r="I45" s="528"/>
      <c r="J45" s="528"/>
      <c r="K45" s="528"/>
      <c r="L45" s="347"/>
    </row>
    <row r="46" spans="1:12" s="485" customFormat="1" ht="15.75" customHeight="1" x14ac:dyDescent="0.2">
      <c r="A46" s="2155" t="s">
        <v>109</v>
      </c>
      <c r="B46" s="215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3500000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v>500000</v>
      </c>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9" t="s">
        <v>440</v>
      </c>
      <c r="B76" s="2130"/>
      <c r="C76" s="1703">
        <f t="shared" ref="C76:K76" si="7">SUM(C47:C75)</f>
        <v>0</v>
      </c>
      <c r="D76" s="1703">
        <f t="shared" si="7"/>
        <v>500000</v>
      </c>
      <c r="E76" s="1703">
        <f t="shared" si="7"/>
        <v>0</v>
      </c>
      <c r="F76" s="1703">
        <f t="shared" si="7"/>
        <v>0</v>
      </c>
      <c r="G76" s="1703">
        <f t="shared" si="7"/>
        <v>0</v>
      </c>
      <c r="H76" s="1703">
        <f t="shared" si="7"/>
        <v>0</v>
      </c>
      <c r="I76" s="1703">
        <f t="shared" si="7"/>
        <v>3500000</v>
      </c>
      <c r="J76" s="1703">
        <f t="shared" si="7"/>
        <v>0</v>
      </c>
      <c r="K76" s="1703">
        <f t="shared" si="7"/>
        <v>0</v>
      </c>
      <c r="L76" s="524"/>
    </row>
    <row r="77" spans="1:12" ht="14.25" thickTop="1" thickBot="1" x14ac:dyDescent="0.25">
      <c r="A77" s="2131" t="s">
        <v>1177</v>
      </c>
      <c r="B77" s="2132"/>
      <c r="C77" s="1703">
        <f t="shared" ref="C77:K77" si="8">C44-C76</f>
        <v>0</v>
      </c>
      <c r="D77" s="1703">
        <f t="shared" si="8"/>
        <v>-500000</v>
      </c>
      <c r="E77" s="1703">
        <f t="shared" si="8"/>
        <v>0</v>
      </c>
      <c r="F77" s="1703">
        <f t="shared" si="8"/>
        <v>1200</v>
      </c>
      <c r="G77" s="1703">
        <f t="shared" si="8"/>
        <v>0</v>
      </c>
      <c r="H77" s="1703">
        <f t="shared" si="8"/>
        <v>4000000</v>
      </c>
      <c r="I77" s="1703">
        <f t="shared" si="8"/>
        <v>-3500000</v>
      </c>
      <c r="J77" s="1703">
        <f t="shared" si="8"/>
        <v>0</v>
      </c>
      <c r="K77" s="1703">
        <f t="shared" si="8"/>
        <v>0</v>
      </c>
      <c r="L77" s="347"/>
    </row>
    <row r="78" spans="1:12" ht="21.75" customHeight="1" thickTop="1" thickBot="1" x14ac:dyDescent="0.25">
      <c r="A78" s="2135" t="s">
        <v>597</v>
      </c>
      <c r="B78" s="2136"/>
      <c r="C78" s="1702">
        <f t="shared" ref="C78:K78" si="9">C20+C77</f>
        <v>-648669</v>
      </c>
      <c r="D78" s="1702">
        <f t="shared" si="9"/>
        <v>490841</v>
      </c>
      <c r="E78" s="1702">
        <f t="shared" si="9"/>
        <v>14313</v>
      </c>
      <c r="F78" s="1702">
        <f t="shared" si="9"/>
        <v>19158</v>
      </c>
      <c r="G78" s="1702">
        <f t="shared" si="9"/>
        <v>-103461</v>
      </c>
      <c r="H78" s="1702">
        <f t="shared" si="9"/>
        <v>738602</v>
      </c>
      <c r="I78" s="1702">
        <f t="shared" si="9"/>
        <v>-3221524</v>
      </c>
      <c r="J78" s="1702">
        <f t="shared" si="9"/>
        <v>51049</v>
      </c>
      <c r="K78" s="1702">
        <f t="shared" si="9"/>
        <v>12055</v>
      </c>
      <c r="L78" s="533"/>
    </row>
    <row r="79" spans="1:12" ht="13.5" thickTop="1" x14ac:dyDescent="0.2">
      <c r="A79" s="1494" t="s">
        <v>1947</v>
      </c>
      <c r="B79" s="534"/>
      <c r="C79" s="478">
        <v>3608702</v>
      </c>
      <c r="D79" s="535">
        <v>5460176</v>
      </c>
      <c r="E79" s="535">
        <v>31102</v>
      </c>
      <c r="F79" s="535">
        <v>982635</v>
      </c>
      <c r="G79" s="535">
        <v>332749</v>
      </c>
      <c r="H79" s="535">
        <v>0</v>
      </c>
      <c r="I79" s="535">
        <v>4630378</v>
      </c>
      <c r="J79" s="535">
        <v>27932</v>
      </c>
      <c r="K79" s="535">
        <v>124578</v>
      </c>
      <c r="L79" s="347"/>
    </row>
    <row r="80" spans="1:12" x14ac:dyDescent="0.2">
      <c r="A80" s="2141" t="s">
        <v>1795</v>
      </c>
      <c r="B80" s="2142"/>
      <c r="C80" s="467"/>
      <c r="D80" s="467"/>
      <c r="E80" s="467"/>
      <c r="F80" s="467"/>
      <c r="G80" s="467"/>
      <c r="H80" s="467"/>
      <c r="I80" s="467"/>
      <c r="J80" s="467"/>
      <c r="K80" s="467"/>
      <c r="L80" s="347"/>
    </row>
    <row r="81" spans="1:12" ht="13.5" thickBot="1" x14ac:dyDescent="0.25">
      <c r="A81" s="2133" t="s">
        <v>1948</v>
      </c>
      <c r="B81" s="2134"/>
      <c r="C81" s="1688">
        <f>(SUM(C78:C80))</f>
        <v>2960033</v>
      </c>
      <c r="D81" s="1688">
        <f>SUM(D78:D80)</f>
        <v>5951017</v>
      </c>
      <c r="E81" s="1688">
        <f t="shared" ref="E81:K81" si="10">SUM(E78:E80)</f>
        <v>45415</v>
      </c>
      <c r="F81" s="1688">
        <f t="shared" si="10"/>
        <v>1001793</v>
      </c>
      <c r="G81" s="1688">
        <f t="shared" si="10"/>
        <v>229288</v>
      </c>
      <c r="H81" s="1688">
        <f t="shared" si="10"/>
        <v>738602</v>
      </c>
      <c r="I81" s="1688">
        <f t="shared" si="10"/>
        <v>1408854</v>
      </c>
      <c r="J81" s="1688">
        <f t="shared" si="10"/>
        <v>78981</v>
      </c>
      <c r="K81" s="1688">
        <f t="shared" si="10"/>
        <v>136633</v>
      </c>
      <c r="L81" s="347"/>
    </row>
    <row r="82" spans="1:12" ht="0.75" customHeight="1" thickTop="1" thickBot="1" x14ac:dyDescent="0.25">
      <c r="A82" s="536" t="s">
        <v>343</v>
      </c>
      <c r="B82" s="537"/>
      <c r="C82" s="538">
        <f>(C81-C79)</f>
        <v>-648669</v>
      </c>
      <c r="D82" s="538">
        <f t="shared" ref="D82:K82" si="11">(D81-D79)</f>
        <v>490841</v>
      </c>
      <c r="E82" s="538">
        <f t="shared" si="11"/>
        <v>14313</v>
      </c>
      <c r="F82" s="538">
        <f t="shared" si="11"/>
        <v>19158</v>
      </c>
      <c r="G82" s="538">
        <f t="shared" si="11"/>
        <v>-103461</v>
      </c>
      <c r="H82" s="538">
        <f t="shared" si="11"/>
        <v>738602</v>
      </c>
      <c r="I82" s="538">
        <f t="shared" si="11"/>
        <v>-3221524</v>
      </c>
      <c r="J82" s="538">
        <f t="shared" si="11"/>
        <v>51049</v>
      </c>
      <c r="K82" s="538">
        <f t="shared" si="11"/>
        <v>12055</v>
      </c>
    </row>
    <row r="83" spans="1:12" ht="14.25" hidden="1" thickTop="1" thickBot="1" x14ac:dyDescent="0.25">
      <c r="A83" s="539" t="s">
        <v>344</v>
      </c>
      <c r="B83" s="464"/>
      <c r="C83" s="540">
        <f>C82/C81</f>
        <v>-0.21914248928981536</v>
      </c>
      <c r="D83" s="540">
        <f t="shared" ref="D83:K83" si="12">D82/D81</f>
        <v>8.248018784016245E-2</v>
      </c>
      <c r="E83" s="540">
        <f t="shared" si="12"/>
        <v>0.31516018936474732</v>
      </c>
      <c r="F83" s="540">
        <f t="shared" si="12"/>
        <v>1.9123711185843783E-2</v>
      </c>
      <c r="G83" s="540">
        <f t="shared" si="12"/>
        <v>-0.45122727748508429</v>
      </c>
      <c r="H83" s="540">
        <f t="shared" si="12"/>
        <v>1</v>
      </c>
      <c r="I83" s="540">
        <f t="shared" si="12"/>
        <v>-2.2866272871425997</v>
      </c>
      <c r="J83" s="540">
        <f t="shared" si="12"/>
        <v>0.64634532355883056</v>
      </c>
      <c r="K83" s="540">
        <f t="shared" si="12"/>
        <v>8.8229051546844461E-2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81" activePane="bottomLeft" state="frozen"/>
      <selection activeCell="B35" sqref="B35"/>
      <selection pane="bottomLeft" activeCell="C200" sqref="C20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7" t="s">
        <v>1802</v>
      </c>
      <c r="B1" s="452"/>
      <c r="C1" s="453" t="s">
        <v>425</v>
      </c>
      <c r="D1" s="453" t="s">
        <v>426</v>
      </c>
      <c r="E1" s="453" t="s">
        <v>427</v>
      </c>
      <c r="F1" s="453" t="s">
        <v>428</v>
      </c>
      <c r="G1" s="453" t="s">
        <v>429</v>
      </c>
      <c r="H1" s="453" t="s">
        <v>430</v>
      </c>
      <c r="I1" s="453" t="s">
        <v>431</v>
      </c>
      <c r="J1" s="453" t="s">
        <v>432</v>
      </c>
      <c r="K1" s="453" t="s">
        <v>756</v>
      </c>
    </row>
    <row r="2" spans="1:12" ht="36" x14ac:dyDescent="0.2">
      <c r="A2" s="213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9101664</v>
      </c>
      <c r="D5" s="481">
        <v>2077646</v>
      </c>
      <c r="E5" s="466">
        <v>1277353</v>
      </c>
      <c r="F5" s="548">
        <v>559036</v>
      </c>
      <c r="G5" s="466">
        <v>158373</v>
      </c>
      <c r="H5" s="466"/>
      <c r="I5" s="466">
        <v>197901</v>
      </c>
      <c r="J5" s="467">
        <v>84096</v>
      </c>
      <c r="K5" s="466">
        <v>9916</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128651</v>
      </c>
      <c r="D7" s="466"/>
      <c r="E7" s="468"/>
      <c r="F7" s="467"/>
      <c r="G7" s="467"/>
      <c r="H7" s="467"/>
      <c r="I7" s="468"/>
      <c r="J7" s="468"/>
      <c r="K7" s="468"/>
    </row>
    <row r="8" spans="1:12" x14ac:dyDescent="0.2">
      <c r="A8" s="463" t="s">
        <v>413</v>
      </c>
      <c r="B8" s="470">
        <v>1150</v>
      </c>
      <c r="C8" s="475"/>
      <c r="D8" s="475"/>
      <c r="E8" s="477"/>
      <c r="F8" s="477"/>
      <c r="G8" s="481">
        <v>178109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9230315</v>
      </c>
      <c r="D12" s="1707">
        <f t="shared" si="0"/>
        <v>2077646</v>
      </c>
      <c r="E12" s="1707">
        <f t="shared" si="0"/>
        <v>1277353</v>
      </c>
      <c r="F12" s="1707">
        <f t="shared" si="0"/>
        <v>559036</v>
      </c>
      <c r="G12" s="1707">
        <f t="shared" si="0"/>
        <v>336482</v>
      </c>
      <c r="H12" s="1707">
        <f t="shared" si="0"/>
        <v>0</v>
      </c>
      <c r="I12" s="1707">
        <f t="shared" si="0"/>
        <v>197901</v>
      </c>
      <c r="J12" s="1707">
        <f t="shared" si="0"/>
        <v>84096</v>
      </c>
      <c r="K12" s="1688">
        <f t="shared" si="0"/>
        <v>9916</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89757</v>
      </c>
      <c r="D16" s="466">
        <v>44879</v>
      </c>
      <c r="E16" s="466"/>
      <c r="F16" s="466"/>
      <c r="G16" s="466">
        <v>14960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89757</v>
      </c>
      <c r="D18" s="1710">
        <f t="shared" ref="D18:K18" si="1">SUM(D14:D17)</f>
        <v>44879</v>
      </c>
      <c r="E18" s="1710">
        <f t="shared" si="1"/>
        <v>0</v>
      </c>
      <c r="F18" s="1710">
        <f t="shared" si="1"/>
        <v>0</v>
      </c>
      <c r="G18" s="1710">
        <f t="shared" si="1"/>
        <v>14960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17850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17850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98697</v>
      </c>
      <c r="D65" s="466">
        <v>113181</v>
      </c>
      <c r="E65" s="466">
        <v>7525</v>
      </c>
      <c r="F65" s="467">
        <v>18522</v>
      </c>
      <c r="G65" s="466">
        <v>6272</v>
      </c>
      <c r="H65" s="466">
        <v>6510</v>
      </c>
      <c r="I65" s="466">
        <v>80575</v>
      </c>
      <c r="J65" s="467">
        <v>1315</v>
      </c>
      <c r="K65" s="466">
        <v>2139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98697</v>
      </c>
      <c r="D67" s="1688">
        <f t="shared" ref="D67:K67" si="2">SUM(D65:D66)</f>
        <v>113181</v>
      </c>
      <c r="E67" s="1688">
        <f t="shared" si="2"/>
        <v>7525</v>
      </c>
      <c r="F67" s="1688">
        <f t="shared" si="2"/>
        <v>18522</v>
      </c>
      <c r="G67" s="1688">
        <f t="shared" si="2"/>
        <v>6272</v>
      </c>
      <c r="H67" s="1688">
        <f t="shared" si="2"/>
        <v>6510</v>
      </c>
      <c r="I67" s="1688">
        <f t="shared" si="2"/>
        <v>80575</v>
      </c>
      <c r="J67" s="1688">
        <f t="shared" si="2"/>
        <v>1315</v>
      </c>
      <c r="K67" s="1688">
        <f t="shared" si="2"/>
        <v>2139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60751</v>
      </c>
      <c r="D69" s="468"/>
      <c r="E69" s="468"/>
      <c r="F69" s="468"/>
      <c r="G69" s="468"/>
      <c r="H69" s="468"/>
      <c r="I69" s="468"/>
      <c r="J69" s="468"/>
      <c r="K69" s="468"/>
    </row>
    <row r="70" spans="1:11" ht="12.75" customHeight="1" x14ac:dyDescent="0.2">
      <c r="A70" s="463" t="s">
        <v>997</v>
      </c>
      <c r="B70" s="470">
        <v>1612</v>
      </c>
      <c r="C70" s="551">
        <v>2214</v>
      </c>
      <c r="D70" s="468"/>
      <c r="E70" s="468"/>
      <c r="F70" s="468"/>
      <c r="G70" s="468"/>
      <c r="H70" s="468"/>
      <c r="I70" s="468"/>
      <c r="J70" s="468"/>
      <c r="K70" s="468"/>
    </row>
    <row r="71" spans="1:11" ht="12.75" customHeight="1" x14ac:dyDescent="0.2">
      <c r="A71" s="463" t="s">
        <v>273</v>
      </c>
      <c r="B71" s="470">
        <v>1613</v>
      </c>
      <c r="C71" s="551">
        <v>502598</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4919</v>
      </c>
      <c r="D73" s="468"/>
      <c r="E73" s="468"/>
      <c r="F73" s="468"/>
      <c r="G73" s="468"/>
      <c r="H73" s="468"/>
      <c r="I73" s="468"/>
      <c r="J73" s="468"/>
      <c r="K73" s="468"/>
    </row>
    <row r="74" spans="1:11" ht="12.75" customHeight="1" x14ac:dyDescent="0.2">
      <c r="A74" s="463" t="s">
        <v>25</v>
      </c>
      <c r="B74" s="470">
        <v>1690</v>
      </c>
      <c r="C74" s="551">
        <v>3118</v>
      </c>
      <c r="D74" s="468"/>
      <c r="E74" s="468"/>
      <c r="F74" s="468"/>
      <c r="G74" s="468"/>
      <c r="H74" s="468"/>
      <c r="I74" s="468"/>
      <c r="J74" s="468"/>
      <c r="K74" s="468"/>
    </row>
    <row r="75" spans="1:11" ht="12.75" customHeight="1" thickBot="1" x14ac:dyDescent="0.25">
      <c r="A75" s="1708" t="s">
        <v>548</v>
      </c>
      <c r="B75" s="1709"/>
      <c r="C75" s="1688">
        <f>SUM(C69:C74)</f>
        <v>573600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47805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21529</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69334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107133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109</v>
      </c>
      <c r="D92" s="468"/>
      <c r="E92" s="468"/>
      <c r="F92" s="468"/>
      <c r="G92" s="468"/>
      <c r="H92" s="468"/>
      <c r="I92" s="468"/>
      <c r="J92" s="468"/>
      <c r="K92" s="468"/>
    </row>
    <row r="93" spans="1:11" ht="12.75" customHeight="1" thickBot="1" x14ac:dyDescent="0.25">
      <c r="A93" s="1708" t="s">
        <v>243</v>
      </c>
      <c r="B93" s="1709"/>
      <c r="C93" s="1688">
        <f>SUM(C84:C92)</f>
        <v>107242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560843</v>
      </c>
      <c r="D98" s="466"/>
      <c r="E98" s="512"/>
      <c r="F98" s="466"/>
      <c r="G98" s="512"/>
      <c r="H98" s="512"/>
      <c r="I98" s="510"/>
      <c r="J98" s="512"/>
      <c r="K98" s="512"/>
    </row>
    <row r="99" spans="1:12" ht="12.75" customHeight="1" x14ac:dyDescent="0.2">
      <c r="A99" s="463" t="s">
        <v>821</v>
      </c>
      <c r="B99" s="470">
        <v>1950</v>
      </c>
      <c r="C99" s="489">
        <v>51495</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15100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34685</v>
      </c>
      <c r="D106" s="489"/>
      <c r="E106" s="467"/>
      <c r="F106" s="467"/>
      <c r="G106" s="467"/>
      <c r="H106" s="467"/>
      <c r="I106" s="521"/>
      <c r="J106" s="467"/>
      <c r="K106" s="467"/>
    </row>
    <row r="107" spans="1:12" ht="12.75" customHeight="1" x14ac:dyDescent="0.2">
      <c r="A107" s="463" t="s">
        <v>78</v>
      </c>
      <c r="B107" s="470">
        <v>1999</v>
      </c>
      <c r="C107" s="551">
        <v>1337</v>
      </c>
      <c r="D107" s="466">
        <v>67142</v>
      </c>
      <c r="E107" s="466"/>
      <c r="F107" s="466"/>
      <c r="G107" s="466"/>
      <c r="H107" s="466"/>
      <c r="I107" s="466"/>
      <c r="J107" s="467"/>
      <c r="K107" s="466"/>
    </row>
    <row r="108" spans="1:12" ht="12.75" customHeight="1" thickBot="1" x14ac:dyDescent="0.25">
      <c r="A108" s="1708" t="s">
        <v>487</v>
      </c>
      <c r="B108" s="1712"/>
      <c r="C108" s="1707">
        <f>SUM(C95:C107)</f>
        <v>663460</v>
      </c>
      <c r="D108" s="1707">
        <f t="shared" ref="D108:K108" si="3">SUM(D95:D107)</f>
        <v>67142</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10850255</v>
      </c>
      <c r="D109" s="1715">
        <f t="shared" si="4"/>
        <v>2302848</v>
      </c>
      <c r="E109" s="1715">
        <f t="shared" si="4"/>
        <v>1284878</v>
      </c>
      <c r="F109" s="1715">
        <f t="shared" si="4"/>
        <v>577558</v>
      </c>
      <c r="G109" s="1715">
        <f t="shared" si="4"/>
        <v>357714</v>
      </c>
      <c r="H109" s="1715">
        <f t="shared" si="4"/>
        <v>6510</v>
      </c>
      <c r="I109" s="1715">
        <f t="shared" si="4"/>
        <v>278476</v>
      </c>
      <c r="J109" s="1715">
        <f t="shared" si="4"/>
        <v>85411</v>
      </c>
      <c r="K109" s="1702">
        <f t="shared" si="4"/>
        <v>12055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2971195</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2971195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29709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29709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40980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40980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1942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70264</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9803</v>
      </c>
      <c r="G152" s="467"/>
      <c r="H152" s="468"/>
      <c r="I152" s="468"/>
      <c r="J152" s="468"/>
      <c r="K152" s="468"/>
    </row>
    <row r="153" spans="1:11" ht="12.75" customHeight="1" x14ac:dyDescent="0.2">
      <c r="A153" s="463" t="s">
        <v>1057</v>
      </c>
      <c r="B153" s="562">
        <v>3510</v>
      </c>
      <c r="C153" s="551"/>
      <c r="D153" s="466"/>
      <c r="E153" s="561"/>
      <c r="F153" s="466">
        <v>104059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113862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24493</v>
      </c>
      <c r="D168" s="580"/>
      <c r="E168" s="580"/>
      <c r="F168" s="580"/>
      <c r="G168" s="581"/>
      <c r="H168" s="582"/>
      <c r="I168" s="581"/>
      <c r="J168" s="581"/>
      <c r="K168" s="582"/>
    </row>
    <row r="169" spans="1:11" ht="12.75" customHeight="1" thickTop="1" thickBot="1" x14ac:dyDescent="0.25">
      <c r="A169" s="2157" t="s">
        <v>398</v>
      </c>
      <c r="B169" s="2158"/>
      <c r="C169" s="1722">
        <f t="shared" ref="C169:K169" si="6">SUM(C132,C141,C145,C146:C150,C155,C156:C167,C168)</f>
        <v>167388</v>
      </c>
      <c r="D169" s="1722">
        <f t="shared" si="6"/>
        <v>0</v>
      </c>
      <c r="E169" s="1722">
        <f t="shared" si="6"/>
        <v>0</v>
      </c>
      <c r="F169" s="1722">
        <f t="shared" si="6"/>
        <v>113862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3138583</v>
      </c>
      <c r="D170" s="1715">
        <f t="shared" si="7"/>
        <v>0</v>
      </c>
      <c r="E170" s="1715">
        <f t="shared" si="7"/>
        <v>0</v>
      </c>
      <c r="F170" s="1715">
        <f t="shared" si="7"/>
        <v>113862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9" t="s">
        <v>1492</v>
      </c>
      <c r="B172" s="216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3" t="s">
        <v>1665</v>
      </c>
      <c r="B175" s="216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7" t="s">
        <v>1664</v>
      </c>
      <c r="B176" s="216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5" t="s">
        <v>785</v>
      </c>
      <c r="B181" s="216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61" t="s">
        <v>1803</v>
      </c>
      <c r="B182" s="216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100192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15168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115360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100572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100572</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92592</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92592</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18650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25876</v>
      </c>
      <c r="D263" s="576"/>
      <c r="E263" s="468"/>
      <c r="F263" s="576"/>
      <c r="G263" s="576"/>
      <c r="H263" s="468"/>
      <c r="I263" s="468"/>
      <c r="J263" s="468"/>
      <c r="K263" s="468"/>
    </row>
    <row r="264" spans="1:11" ht="12.75" customHeight="1" thickTop="1" thickBot="1" x14ac:dyDescent="0.25">
      <c r="A264" s="463" t="s">
        <v>377</v>
      </c>
      <c r="B264" s="470">
        <v>4992</v>
      </c>
      <c r="C264" s="575">
        <v>3633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356683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356683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14345521</v>
      </c>
      <c r="D268" s="1715">
        <f t="shared" si="12"/>
        <v>2302848</v>
      </c>
      <c r="E268" s="1715">
        <f t="shared" si="12"/>
        <v>1284878</v>
      </c>
      <c r="F268" s="1715">
        <f t="shared" si="12"/>
        <v>691420</v>
      </c>
      <c r="G268" s="1715">
        <f t="shared" si="12"/>
        <v>357714</v>
      </c>
      <c r="H268" s="1715">
        <f t="shared" si="12"/>
        <v>6510</v>
      </c>
      <c r="I268" s="1715">
        <f t="shared" si="12"/>
        <v>278476</v>
      </c>
      <c r="J268" s="1715">
        <f t="shared" si="12"/>
        <v>85411</v>
      </c>
      <c r="K268" s="1702">
        <f t="shared" si="12"/>
        <v>12055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58" activePane="bottomLeft" state="frozen"/>
      <selection activeCell="B35" sqref="B35"/>
      <selection pane="bottomLeft" activeCell="B35" sqref="B3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5" t="s">
        <v>297</v>
      </c>
      <c r="B3" s="217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5325514</v>
      </c>
      <c r="D5" s="466">
        <v>1496307</v>
      </c>
      <c r="E5" s="466">
        <v>103796</v>
      </c>
      <c r="F5" s="466">
        <v>190522</v>
      </c>
      <c r="G5" s="466">
        <v>22019</v>
      </c>
      <c r="H5" s="466"/>
      <c r="I5" s="467"/>
      <c r="J5" s="467"/>
      <c r="K5" s="1671">
        <f>SUM(C5:J5)</f>
        <v>7138158</v>
      </c>
      <c r="L5" s="466">
        <v>7222770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1650989</v>
      </c>
      <c r="D8" s="466">
        <v>597513</v>
      </c>
      <c r="E8" s="466">
        <v>21396</v>
      </c>
      <c r="F8" s="466">
        <v>15959</v>
      </c>
      <c r="G8" s="466">
        <v>3086</v>
      </c>
      <c r="H8" s="466">
        <v>2081</v>
      </c>
      <c r="I8" s="467"/>
      <c r="J8" s="467"/>
      <c r="K8" s="1671">
        <f t="shared" si="0"/>
        <v>2291024</v>
      </c>
      <c r="L8" s="466">
        <v>2186862</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36551</v>
      </c>
      <c r="D10" s="466">
        <v>10529</v>
      </c>
      <c r="E10" s="466">
        <v>3750</v>
      </c>
      <c r="F10" s="466">
        <v>6254</v>
      </c>
      <c r="G10" s="466"/>
      <c r="H10" s="466"/>
      <c r="I10" s="467"/>
      <c r="J10" s="467"/>
      <c r="K10" s="1671">
        <f t="shared" si="0"/>
        <v>57084</v>
      </c>
      <c r="L10" s="466">
        <v>59913</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426861</v>
      </c>
      <c r="D14" s="466">
        <v>55528</v>
      </c>
      <c r="E14" s="466">
        <v>81925</v>
      </c>
      <c r="F14" s="466">
        <v>46593</v>
      </c>
      <c r="G14" s="466">
        <v>33718</v>
      </c>
      <c r="H14" s="466">
        <v>18022</v>
      </c>
      <c r="I14" s="467"/>
      <c r="J14" s="467"/>
      <c r="K14" s="1671">
        <f t="shared" si="0"/>
        <v>662647</v>
      </c>
      <c r="L14" s="466">
        <v>607538</v>
      </c>
    </row>
    <row r="15" spans="1:14" x14ac:dyDescent="0.2">
      <c r="A15" s="1504" t="s">
        <v>964</v>
      </c>
      <c r="B15" s="614">
        <v>1600</v>
      </c>
      <c r="C15" s="466">
        <v>24614</v>
      </c>
      <c r="D15" s="466">
        <v>2208</v>
      </c>
      <c r="E15" s="466"/>
      <c r="F15" s="466">
        <v>12</v>
      </c>
      <c r="G15" s="466"/>
      <c r="H15" s="466"/>
      <c r="I15" s="467"/>
      <c r="J15" s="467"/>
      <c r="K15" s="1671">
        <f t="shared" si="0"/>
        <v>26834</v>
      </c>
      <c r="L15" s="466">
        <v>31700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238010</v>
      </c>
      <c r="D17" s="467">
        <v>47090</v>
      </c>
      <c r="E17" s="467">
        <v>9557</v>
      </c>
      <c r="F17" s="467">
        <v>3929</v>
      </c>
      <c r="G17" s="467"/>
      <c r="H17" s="467"/>
      <c r="I17" s="467"/>
      <c r="J17" s="467"/>
      <c r="K17" s="1671">
        <f t="shared" si="0"/>
        <v>298586</v>
      </c>
      <c r="L17" s="466">
        <v>306400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v>95000</v>
      </c>
    </row>
    <row r="22" spans="1:12" x14ac:dyDescent="0.2">
      <c r="A22" s="1505" t="s">
        <v>740</v>
      </c>
      <c r="B22" s="602" t="s">
        <v>727</v>
      </c>
      <c r="C22" s="477"/>
      <c r="D22" s="477"/>
      <c r="E22" s="477"/>
      <c r="F22" s="477"/>
      <c r="G22" s="477"/>
      <c r="H22" s="474">
        <v>347699</v>
      </c>
      <c r="I22" s="616"/>
      <c r="J22" s="477"/>
      <c r="K22" s="1671">
        <f t="shared" si="0"/>
        <v>347699</v>
      </c>
      <c r="L22" s="471">
        <v>20000</v>
      </c>
    </row>
    <row r="23" spans="1:12" x14ac:dyDescent="0.2">
      <c r="A23" s="1505" t="s">
        <v>741</v>
      </c>
      <c r="B23" s="602" t="s">
        <v>728</v>
      </c>
      <c r="C23" s="477"/>
      <c r="D23" s="477"/>
      <c r="E23" s="477"/>
      <c r="F23" s="477"/>
      <c r="G23" s="477"/>
      <c r="H23" s="474"/>
      <c r="I23" s="616"/>
      <c r="J23" s="477"/>
      <c r="K23" s="1671">
        <f t="shared" si="0"/>
        <v>0</v>
      </c>
      <c r="L23" s="471">
        <v>30000</v>
      </c>
    </row>
    <row r="24" spans="1:12" ht="12.75" customHeight="1" x14ac:dyDescent="0.2">
      <c r="A24" s="1505" t="s">
        <v>742</v>
      </c>
      <c r="B24" s="602" t="s">
        <v>729</v>
      </c>
      <c r="C24" s="477"/>
      <c r="D24" s="477"/>
      <c r="E24" s="477"/>
      <c r="F24" s="477"/>
      <c r="G24" s="477"/>
      <c r="H24" s="474"/>
      <c r="I24" s="616"/>
      <c r="J24" s="477"/>
      <c r="K24" s="1671">
        <f t="shared" si="0"/>
        <v>0</v>
      </c>
      <c r="L24" s="471">
        <v>20000</v>
      </c>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7702539</v>
      </c>
      <c r="D33" s="1670">
        <f t="shared" ref="D33:L33" si="1">SUM(D5:D32)</f>
        <v>2209175</v>
      </c>
      <c r="E33" s="1670">
        <f t="shared" si="1"/>
        <v>220424</v>
      </c>
      <c r="F33" s="1670">
        <f t="shared" si="1"/>
        <v>263269</v>
      </c>
      <c r="G33" s="1670">
        <f t="shared" si="1"/>
        <v>58823</v>
      </c>
      <c r="H33" s="1670">
        <f t="shared" si="1"/>
        <v>367802</v>
      </c>
      <c r="I33" s="1670">
        <f t="shared" si="1"/>
        <v>0</v>
      </c>
      <c r="J33" s="1670">
        <f t="shared" si="1"/>
        <v>0</v>
      </c>
      <c r="K33" s="1670">
        <f t="shared" si="1"/>
        <v>10822032</v>
      </c>
      <c r="L33" s="1670">
        <f t="shared" si="1"/>
        <v>10580183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304291</v>
      </c>
      <c r="D36" s="481">
        <v>73297</v>
      </c>
      <c r="E36" s="481">
        <v>220</v>
      </c>
      <c r="F36" s="481">
        <v>1787</v>
      </c>
      <c r="G36" s="481"/>
      <c r="H36" s="481">
        <v>1182</v>
      </c>
      <c r="I36" s="467"/>
      <c r="J36" s="467"/>
      <c r="K36" s="1671">
        <f t="shared" ref="K36:K41" si="2">SUM(C36:J36)</f>
        <v>380777</v>
      </c>
      <c r="L36" s="466">
        <v>297479</v>
      </c>
    </row>
    <row r="37" spans="1:14" x14ac:dyDescent="0.2">
      <c r="A37" s="1504" t="s">
        <v>1090</v>
      </c>
      <c r="B37" s="614">
        <v>2120</v>
      </c>
      <c r="C37" s="466">
        <v>321817</v>
      </c>
      <c r="D37" s="466">
        <v>66242</v>
      </c>
      <c r="E37" s="466">
        <v>91</v>
      </c>
      <c r="F37" s="466">
        <v>57832</v>
      </c>
      <c r="G37" s="466"/>
      <c r="H37" s="466">
        <v>20</v>
      </c>
      <c r="I37" s="467"/>
      <c r="J37" s="467"/>
      <c r="K37" s="1671">
        <f t="shared" si="2"/>
        <v>446002</v>
      </c>
      <c r="L37" s="466">
        <v>458269</v>
      </c>
    </row>
    <row r="38" spans="1:14" x14ac:dyDescent="0.2">
      <c r="A38" s="1504" t="s">
        <v>198</v>
      </c>
      <c r="B38" s="614">
        <v>2130</v>
      </c>
      <c r="C38" s="466">
        <v>70303</v>
      </c>
      <c r="D38" s="466">
        <v>21102</v>
      </c>
      <c r="E38" s="466"/>
      <c r="F38" s="466">
        <v>2833</v>
      </c>
      <c r="G38" s="466"/>
      <c r="H38" s="466"/>
      <c r="I38" s="467"/>
      <c r="J38" s="467"/>
      <c r="K38" s="1671">
        <f t="shared" si="2"/>
        <v>94238</v>
      </c>
      <c r="L38" s="466">
        <v>85907</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696411</v>
      </c>
      <c r="D42" s="1670">
        <f t="shared" ref="D42:L42" si="3">SUM(D36:D41)</f>
        <v>160641</v>
      </c>
      <c r="E42" s="1670">
        <f t="shared" si="3"/>
        <v>311</v>
      </c>
      <c r="F42" s="1670">
        <f t="shared" si="3"/>
        <v>62452</v>
      </c>
      <c r="G42" s="1670">
        <f t="shared" si="3"/>
        <v>0</v>
      </c>
      <c r="H42" s="1670">
        <f t="shared" si="3"/>
        <v>1202</v>
      </c>
      <c r="I42" s="1670">
        <f t="shared" si="3"/>
        <v>0</v>
      </c>
      <c r="J42" s="1670">
        <f t="shared" si="3"/>
        <v>0</v>
      </c>
      <c r="K42" s="1670">
        <f t="shared" si="3"/>
        <v>921017</v>
      </c>
      <c r="L42" s="1670">
        <f t="shared" si="3"/>
        <v>841655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21181</v>
      </c>
      <c r="D44" s="481">
        <v>46164</v>
      </c>
      <c r="E44" s="481">
        <v>59089</v>
      </c>
      <c r="F44" s="481">
        <v>3462</v>
      </c>
      <c r="G44" s="481"/>
      <c r="H44" s="481"/>
      <c r="I44" s="467"/>
      <c r="J44" s="467"/>
      <c r="K44" s="1672">
        <f>SUM(C44:J44)</f>
        <v>129896</v>
      </c>
      <c r="L44" s="481">
        <v>80049</v>
      </c>
    </row>
    <row r="45" spans="1:14" x14ac:dyDescent="0.2">
      <c r="A45" s="1504" t="s">
        <v>815</v>
      </c>
      <c r="B45" s="614">
        <v>2220</v>
      </c>
      <c r="C45" s="466">
        <v>104347</v>
      </c>
      <c r="D45" s="466">
        <v>27867</v>
      </c>
      <c r="E45" s="466">
        <v>614</v>
      </c>
      <c r="F45" s="466">
        <v>21468</v>
      </c>
      <c r="G45" s="466"/>
      <c r="H45" s="466">
        <v>808</v>
      </c>
      <c r="I45" s="467"/>
      <c r="J45" s="467"/>
      <c r="K45" s="1672">
        <f>SUM(C45:J45)</f>
        <v>155104</v>
      </c>
      <c r="L45" s="466">
        <v>153895</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125528</v>
      </c>
      <c r="D47" s="1670">
        <f t="shared" ref="D47:K47" si="4">SUM(D44:D46)</f>
        <v>74031</v>
      </c>
      <c r="E47" s="1670">
        <f t="shared" si="4"/>
        <v>59703</v>
      </c>
      <c r="F47" s="1670">
        <f t="shared" si="4"/>
        <v>24930</v>
      </c>
      <c r="G47" s="1670">
        <f t="shared" si="4"/>
        <v>0</v>
      </c>
      <c r="H47" s="1670">
        <f t="shared" si="4"/>
        <v>808</v>
      </c>
      <c r="I47" s="1670">
        <f t="shared" si="4"/>
        <v>0</v>
      </c>
      <c r="J47" s="1670">
        <f t="shared" si="4"/>
        <v>0</v>
      </c>
      <c r="K47" s="1670">
        <f t="shared" si="4"/>
        <v>285000</v>
      </c>
      <c r="L47" s="1670">
        <f>SUM(L44:L46)</f>
        <v>233944</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3069</v>
      </c>
      <c r="D49" s="481">
        <v>3609</v>
      </c>
      <c r="E49" s="481">
        <v>75683</v>
      </c>
      <c r="F49" s="481">
        <v>9336</v>
      </c>
      <c r="G49" s="481"/>
      <c r="H49" s="481">
        <v>23098</v>
      </c>
      <c r="I49" s="467"/>
      <c r="J49" s="467"/>
      <c r="K49" s="1672">
        <f>SUM(C49:J49)</f>
        <v>114795</v>
      </c>
      <c r="L49" s="481">
        <v>130582</v>
      </c>
    </row>
    <row r="50" spans="1:14" x14ac:dyDescent="0.2">
      <c r="A50" s="1504" t="s">
        <v>818</v>
      </c>
      <c r="B50" s="614">
        <v>2320</v>
      </c>
      <c r="C50" s="466">
        <v>244575</v>
      </c>
      <c r="D50" s="466">
        <v>83996</v>
      </c>
      <c r="E50" s="466">
        <v>2615</v>
      </c>
      <c r="F50" s="466">
        <v>2486</v>
      </c>
      <c r="G50" s="466"/>
      <c r="H50" s="466">
        <v>3738</v>
      </c>
      <c r="I50" s="467"/>
      <c r="J50" s="467"/>
      <c r="K50" s="1672">
        <f>SUM(C50:J50)</f>
        <v>337410</v>
      </c>
      <c r="L50" s="466">
        <v>336054</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247644</v>
      </c>
      <c r="D53" s="1670">
        <f t="shared" ref="D53:L53" si="5">SUM(D49:D52)</f>
        <v>87605</v>
      </c>
      <c r="E53" s="1670">
        <f t="shared" si="5"/>
        <v>78298</v>
      </c>
      <c r="F53" s="1670">
        <f t="shared" si="5"/>
        <v>11822</v>
      </c>
      <c r="G53" s="1670">
        <f t="shared" si="5"/>
        <v>0</v>
      </c>
      <c r="H53" s="1670">
        <f t="shared" si="5"/>
        <v>26836</v>
      </c>
      <c r="I53" s="1670">
        <f t="shared" si="5"/>
        <v>0</v>
      </c>
      <c r="J53" s="1670">
        <f t="shared" si="5"/>
        <v>0</v>
      </c>
      <c r="K53" s="1670">
        <f t="shared" si="5"/>
        <v>452205</v>
      </c>
      <c r="L53" s="1670">
        <f t="shared" si="5"/>
        <v>466636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172435</v>
      </c>
      <c r="D55" s="481">
        <v>45109</v>
      </c>
      <c r="E55" s="481">
        <v>406</v>
      </c>
      <c r="F55" s="481">
        <v>2123</v>
      </c>
      <c r="G55" s="481"/>
      <c r="H55" s="481">
        <v>395</v>
      </c>
      <c r="I55" s="467"/>
      <c r="J55" s="467"/>
      <c r="K55" s="1672">
        <f>SUM(C55:J55)</f>
        <v>220468</v>
      </c>
      <c r="L55" s="481">
        <v>213301</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172435</v>
      </c>
      <c r="D57" s="1674">
        <f t="shared" ref="D57:K57" si="6">SUM(D55:D56)</f>
        <v>45109</v>
      </c>
      <c r="E57" s="1674">
        <f t="shared" si="6"/>
        <v>406</v>
      </c>
      <c r="F57" s="1674">
        <f t="shared" si="6"/>
        <v>2123</v>
      </c>
      <c r="G57" s="1674">
        <f t="shared" si="6"/>
        <v>0</v>
      </c>
      <c r="H57" s="1674">
        <f t="shared" si="6"/>
        <v>395</v>
      </c>
      <c r="I57" s="1674">
        <f t="shared" si="6"/>
        <v>0</v>
      </c>
      <c r="J57" s="1674">
        <f t="shared" si="6"/>
        <v>0</v>
      </c>
      <c r="K57" s="1674">
        <f t="shared" si="6"/>
        <v>220468</v>
      </c>
      <c r="L57" s="1670">
        <f>SUM(L55:L56)</f>
        <v>213301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75465</v>
      </c>
      <c r="D59" s="481">
        <v>23085</v>
      </c>
      <c r="E59" s="481">
        <v>1198</v>
      </c>
      <c r="F59" s="481">
        <v>2023</v>
      </c>
      <c r="G59" s="481"/>
      <c r="H59" s="481">
        <v>3365</v>
      </c>
      <c r="I59" s="467"/>
      <c r="J59" s="467"/>
      <c r="K59" s="1672">
        <f t="shared" ref="K59:K64" si="7">SUM(C59:J59)</f>
        <v>105136</v>
      </c>
      <c r="L59" s="481">
        <v>109025</v>
      </c>
      <c r="M59" s="609"/>
      <c r="N59" s="609"/>
    </row>
    <row r="60" spans="1:14" s="343" customFormat="1" x14ac:dyDescent="0.2">
      <c r="A60" s="1504" t="s">
        <v>463</v>
      </c>
      <c r="B60" s="614">
        <v>2520</v>
      </c>
      <c r="C60" s="466">
        <v>99415</v>
      </c>
      <c r="D60" s="466">
        <v>14772</v>
      </c>
      <c r="E60" s="466">
        <v>20</v>
      </c>
      <c r="F60" s="466"/>
      <c r="G60" s="466"/>
      <c r="H60" s="466"/>
      <c r="I60" s="467"/>
      <c r="J60" s="467"/>
      <c r="K60" s="1672">
        <f t="shared" si="7"/>
        <v>114207</v>
      </c>
      <c r="L60" s="466">
        <v>126958</v>
      </c>
      <c r="M60" s="609"/>
      <c r="N60" s="609"/>
    </row>
    <row r="61" spans="1:14" s="343" customFormat="1" x14ac:dyDescent="0.2">
      <c r="A61" s="1504" t="s">
        <v>197</v>
      </c>
      <c r="B61" s="614">
        <v>2540</v>
      </c>
      <c r="C61" s="466">
        <v>381746</v>
      </c>
      <c r="D61" s="466">
        <v>104900</v>
      </c>
      <c r="E61" s="466">
        <v>35833</v>
      </c>
      <c r="F61" s="466"/>
      <c r="G61" s="466"/>
      <c r="H61" s="466"/>
      <c r="I61" s="467"/>
      <c r="J61" s="467"/>
      <c r="K61" s="1672">
        <f t="shared" si="7"/>
        <v>522479</v>
      </c>
      <c r="L61" s="466">
        <v>511866</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192041</v>
      </c>
      <c r="D63" s="466">
        <v>50219</v>
      </c>
      <c r="E63" s="466">
        <v>751</v>
      </c>
      <c r="F63" s="466">
        <v>371715</v>
      </c>
      <c r="G63" s="466">
        <v>2220</v>
      </c>
      <c r="H63" s="466">
        <v>1125</v>
      </c>
      <c r="I63" s="467"/>
      <c r="J63" s="467"/>
      <c r="K63" s="1672">
        <f t="shared" si="7"/>
        <v>618071</v>
      </c>
      <c r="L63" s="466">
        <v>581925</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748667</v>
      </c>
      <c r="D65" s="1670">
        <f t="shared" ref="D65:L65" si="8">SUM(D59:D64)</f>
        <v>192976</v>
      </c>
      <c r="E65" s="1670">
        <f t="shared" si="8"/>
        <v>37802</v>
      </c>
      <c r="F65" s="1670">
        <f t="shared" si="8"/>
        <v>373738</v>
      </c>
      <c r="G65" s="1670">
        <f t="shared" si="8"/>
        <v>2220</v>
      </c>
      <c r="H65" s="1670">
        <f t="shared" si="8"/>
        <v>4490</v>
      </c>
      <c r="I65" s="1670">
        <f t="shared" si="8"/>
        <v>0</v>
      </c>
      <c r="J65" s="1670">
        <f t="shared" si="8"/>
        <v>0</v>
      </c>
      <c r="K65" s="1670">
        <f t="shared" si="8"/>
        <v>1359893</v>
      </c>
      <c r="L65" s="1670">
        <f t="shared" si="8"/>
        <v>1329774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191597</v>
      </c>
      <c r="D71" s="466">
        <v>49304</v>
      </c>
      <c r="E71" s="466">
        <v>118962</v>
      </c>
      <c r="F71" s="466">
        <v>13779</v>
      </c>
      <c r="G71" s="466">
        <v>239545</v>
      </c>
      <c r="H71" s="466"/>
      <c r="I71" s="467"/>
      <c r="J71" s="467"/>
      <c r="K71" s="1672">
        <f>SUM(C71:J71)</f>
        <v>613187</v>
      </c>
      <c r="L71" s="466">
        <v>485000</v>
      </c>
      <c r="M71" s="609"/>
      <c r="N71" s="609"/>
    </row>
    <row r="72" spans="1:14" s="343" customFormat="1" ht="12.75" customHeight="1" thickBot="1" x14ac:dyDescent="0.25">
      <c r="A72" s="1668" t="s">
        <v>37</v>
      </c>
      <c r="B72" s="1675" t="s">
        <v>36</v>
      </c>
      <c r="C72" s="1670">
        <f>SUM(C67:C71)</f>
        <v>191597</v>
      </c>
      <c r="D72" s="1670">
        <f t="shared" ref="D72:K72" si="9">SUM(D67:D71)</f>
        <v>49304</v>
      </c>
      <c r="E72" s="1670">
        <f t="shared" si="9"/>
        <v>118962</v>
      </c>
      <c r="F72" s="1670">
        <f t="shared" si="9"/>
        <v>13779</v>
      </c>
      <c r="G72" s="1670">
        <f t="shared" si="9"/>
        <v>239545</v>
      </c>
      <c r="H72" s="1670">
        <f t="shared" si="9"/>
        <v>0</v>
      </c>
      <c r="I72" s="1670">
        <f t="shared" si="9"/>
        <v>0</v>
      </c>
      <c r="J72" s="1670">
        <f t="shared" si="9"/>
        <v>0</v>
      </c>
      <c r="K72" s="1670">
        <f t="shared" si="9"/>
        <v>613187</v>
      </c>
      <c r="L72" s="1670">
        <f>SUM(L67:L71)</f>
        <v>485000</v>
      </c>
      <c r="M72" s="609"/>
      <c r="N72" s="609"/>
    </row>
    <row r="73" spans="1:14" s="343" customFormat="1" ht="14.25" thickTop="1" thickBot="1" x14ac:dyDescent="0.25">
      <c r="A73" s="1510" t="s">
        <v>980</v>
      </c>
      <c r="B73" s="632" t="s">
        <v>574</v>
      </c>
      <c r="C73" s="573"/>
      <c r="D73" s="573"/>
      <c r="E73" s="573">
        <v>14754</v>
      </c>
      <c r="F73" s="573">
        <v>24611</v>
      </c>
      <c r="G73" s="573"/>
      <c r="H73" s="573"/>
      <c r="I73" s="531"/>
      <c r="J73" s="531"/>
      <c r="K73" s="1670">
        <f>SUM(C73:J73)</f>
        <v>39365</v>
      </c>
      <c r="L73" s="576">
        <v>49300</v>
      </c>
      <c r="M73" s="609"/>
      <c r="N73" s="609"/>
    </row>
    <row r="74" spans="1:14" ht="12.75" customHeight="1" thickTop="1" thickBot="1" x14ac:dyDescent="0.25">
      <c r="A74" s="1668" t="s">
        <v>811</v>
      </c>
      <c r="B74" s="1676">
        <v>2000</v>
      </c>
      <c r="C74" s="1677">
        <f>SUM(C42,C47,C53,C57,C65,C72,C73)</f>
        <v>2182282</v>
      </c>
      <c r="D74" s="1677">
        <f t="shared" ref="D74:K74" si="10">SUM(D42,D47,D53,D57,D65,D72,D73)</f>
        <v>609666</v>
      </c>
      <c r="E74" s="1677">
        <f t="shared" si="10"/>
        <v>310236</v>
      </c>
      <c r="F74" s="1677">
        <f t="shared" si="10"/>
        <v>513455</v>
      </c>
      <c r="G74" s="1677">
        <f t="shared" si="10"/>
        <v>241765</v>
      </c>
      <c r="H74" s="1677">
        <f t="shared" si="10"/>
        <v>33731</v>
      </c>
      <c r="I74" s="1677">
        <f t="shared" si="10"/>
        <v>0</v>
      </c>
      <c r="J74" s="1677">
        <f t="shared" si="10"/>
        <v>0</v>
      </c>
      <c r="K74" s="1677">
        <f t="shared" si="10"/>
        <v>3891135</v>
      </c>
      <c r="L74" s="1677">
        <f>SUM(L42,L47,L53,L57,L65,L72,L73)</f>
        <v>3619610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75884</v>
      </c>
      <c r="F78" s="616"/>
      <c r="G78" s="616"/>
      <c r="H78" s="634"/>
      <c r="I78" s="477"/>
      <c r="J78" s="477"/>
      <c r="K78" s="1671">
        <f t="shared" ref="K78:K83" si="11">SUM(C78:J78)</f>
        <v>75884</v>
      </c>
      <c r="L78" s="481">
        <v>75884</v>
      </c>
    </row>
    <row r="79" spans="1:14" x14ac:dyDescent="0.2">
      <c r="A79" s="1504" t="s">
        <v>304</v>
      </c>
      <c r="B79" s="614">
        <v>4120</v>
      </c>
      <c r="C79" s="616"/>
      <c r="D79" s="616"/>
      <c r="E79" s="466">
        <v>65495</v>
      </c>
      <c r="F79" s="616"/>
      <c r="G79" s="616"/>
      <c r="H79" s="466">
        <v>39421</v>
      </c>
      <c r="I79" s="477"/>
      <c r="J79" s="477"/>
      <c r="K79" s="1671">
        <f t="shared" si="11"/>
        <v>104916</v>
      </c>
      <c r="L79" s="466">
        <v>155597</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141379</v>
      </c>
      <c r="F84" s="616"/>
      <c r="G84" s="616"/>
      <c r="H84" s="1670">
        <f>SUM(H78:H83)</f>
        <v>39421</v>
      </c>
      <c r="I84" s="477"/>
      <c r="J84" s="477"/>
      <c r="K84" s="1670">
        <f>SUM(K78:K83)</f>
        <v>180800</v>
      </c>
      <c r="L84" s="1670">
        <f>SUM(L78:L83)</f>
        <v>231481</v>
      </c>
    </row>
    <row r="85" spans="1:12" ht="12.75" customHeight="1" thickTop="1" thickBot="1" x14ac:dyDescent="0.25">
      <c r="A85" s="1511" t="s">
        <v>255</v>
      </c>
      <c r="B85" s="635">
        <v>4210</v>
      </c>
      <c r="C85" s="616"/>
      <c r="D85" s="616"/>
      <c r="E85" s="636"/>
      <c r="F85" s="616"/>
      <c r="G85" s="616"/>
      <c r="H85" s="535">
        <v>615</v>
      </c>
      <c r="I85" s="477"/>
      <c r="J85" s="477"/>
      <c r="K85" s="1677">
        <f>H85</f>
        <v>615</v>
      </c>
      <c r="L85" s="530">
        <v>2300</v>
      </c>
    </row>
    <row r="86" spans="1:12" ht="12.75" customHeight="1" thickTop="1" thickBot="1" x14ac:dyDescent="0.25">
      <c r="A86" s="1512" t="s">
        <v>699</v>
      </c>
      <c r="B86" s="637">
        <v>4220</v>
      </c>
      <c r="C86" s="616"/>
      <c r="D86" s="616"/>
      <c r="E86" s="638"/>
      <c r="F86" s="616"/>
      <c r="G86" s="616"/>
      <c r="H86" s="467">
        <v>99608</v>
      </c>
      <c r="I86" s="477"/>
      <c r="J86" s="477"/>
      <c r="K86" s="1677">
        <f t="shared" ref="K86:K98" si="12">H86</f>
        <v>99608</v>
      </c>
      <c r="L86" s="530">
        <v>135000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100223</v>
      </c>
      <c r="I92" s="477"/>
      <c r="J92" s="477"/>
      <c r="K92" s="1677">
        <f t="shared" si="12"/>
        <v>100223</v>
      </c>
      <c r="L92" s="1670">
        <f>SUM(L85:L91)</f>
        <v>137300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141379</v>
      </c>
      <c r="F102" s="616"/>
      <c r="G102" s="616"/>
      <c r="H102" s="1677">
        <f>SUM(H84,H92,H100,H101)</f>
        <v>139644</v>
      </c>
      <c r="I102" s="477"/>
      <c r="J102" s="477"/>
      <c r="K102" s="1677">
        <f>SUM(K84,K92,K100,K101)</f>
        <v>281023</v>
      </c>
      <c r="L102" s="1677">
        <f>SUM(L84,L92,L100,L101)</f>
        <v>368781</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250000</v>
      </c>
      <c r="M113" s="613"/>
      <c r="N113" s="613"/>
    </row>
    <row r="114" spans="1:14" ht="12.75" customHeight="1" thickTop="1" thickBot="1" x14ac:dyDescent="0.25">
      <c r="A114" s="1668" t="s">
        <v>48</v>
      </c>
      <c r="B114" s="1682"/>
      <c r="C114" s="1670">
        <f>SUM(C33,C74,C75,C102,C112,C113)</f>
        <v>9884821</v>
      </c>
      <c r="D114" s="1670">
        <f t="shared" ref="D114:K114" si="13">SUM(D33,D74,D75,D102,D112,D113)</f>
        <v>2818841</v>
      </c>
      <c r="E114" s="1670">
        <f t="shared" si="13"/>
        <v>672039</v>
      </c>
      <c r="F114" s="1670">
        <f t="shared" si="13"/>
        <v>776724</v>
      </c>
      <c r="G114" s="1670">
        <f t="shared" si="13"/>
        <v>300588</v>
      </c>
      <c r="H114" s="1670">
        <f>SUM(H33,H74,H75,H102,H112,H113)</f>
        <v>541177</v>
      </c>
      <c r="I114" s="1670">
        <f t="shared" si="13"/>
        <v>0</v>
      </c>
      <c r="J114" s="1670">
        <f t="shared" si="13"/>
        <v>0</v>
      </c>
      <c r="K114" s="1670">
        <f t="shared" si="13"/>
        <v>14994190</v>
      </c>
      <c r="L114" s="1670">
        <f>SUM(L33,L74,L75,L102,L112,L113)</f>
        <v>14818574</v>
      </c>
    </row>
    <row r="115" spans="1:14" ht="13.5" thickTop="1" x14ac:dyDescent="0.2">
      <c r="A115" s="2194" t="s">
        <v>996</v>
      </c>
      <c r="B115" s="2195"/>
      <c r="C115" s="618"/>
      <c r="D115" s="618"/>
      <c r="E115" s="618"/>
      <c r="F115" s="618"/>
      <c r="G115" s="618"/>
      <c r="H115" s="618"/>
      <c r="I115" s="618"/>
      <c r="J115" s="618"/>
      <c r="K115" s="1684">
        <f>'Revenues 9-14'!C268-'Expenditures 15-22'!K114</f>
        <v>-648669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2" t="s">
        <v>296</v>
      </c>
      <c r="B117" s="217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14067</v>
      </c>
      <c r="F123" s="466"/>
      <c r="G123" s="466">
        <v>360659</v>
      </c>
      <c r="H123" s="466"/>
      <c r="I123" s="467"/>
      <c r="J123" s="467"/>
      <c r="K123" s="1670">
        <f>SUM(C123:J123)</f>
        <v>374726</v>
      </c>
      <c r="L123" s="466">
        <v>485000</v>
      </c>
    </row>
    <row r="124" spans="1:14" ht="14.25" thickTop="1" thickBot="1" x14ac:dyDescent="0.25">
      <c r="A124" s="1504" t="s">
        <v>197</v>
      </c>
      <c r="B124" s="614">
        <v>2540</v>
      </c>
      <c r="C124" s="466">
        <v>48099</v>
      </c>
      <c r="D124" s="466"/>
      <c r="E124" s="466">
        <v>530619</v>
      </c>
      <c r="F124" s="466">
        <v>313996</v>
      </c>
      <c r="G124" s="466">
        <v>44567</v>
      </c>
      <c r="H124" s="466"/>
      <c r="I124" s="467"/>
      <c r="J124" s="467"/>
      <c r="K124" s="1670">
        <f>SUM(C124:J124)</f>
        <v>937281</v>
      </c>
      <c r="L124" s="466">
        <v>1030391</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48099</v>
      </c>
      <c r="D127" s="1670">
        <f t="shared" ref="D127:L127" si="14">SUM(D122:D126)</f>
        <v>0</v>
      </c>
      <c r="E127" s="1670">
        <f t="shared" si="14"/>
        <v>544686</v>
      </c>
      <c r="F127" s="1670">
        <f t="shared" si="14"/>
        <v>313996</v>
      </c>
      <c r="G127" s="1670">
        <f t="shared" si="14"/>
        <v>405226</v>
      </c>
      <c r="H127" s="1670">
        <f t="shared" si="14"/>
        <v>0</v>
      </c>
      <c r="I127" s="1670">
        <f t="shared" si="14"/>
        <v>0</v>
      </c>
      <c r="J127" s="1670">
        <f t="shared" si="14"/>
        <v>0</v>
      </c>
      <c r="K127" s="1670">
        <f t="shared" si="14"/>
        <v>1312007</v>
      </c>
      <c r="L127" s="1670">
        <f t="shared" si="14"/>
        <v>1515391</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48099</v>
      </c>
      <c r="D129" s="1677">
        <f t="shared" ref="D129:L129" si="15">SUM(D120,D127,D128)</f>
        <v>0</v>
      </c>
      <c r="E129" s="1677">
        <f t="shared" si="15"/>
        <v>544686</v>
      </c>
      <c r="F129" s="1677">
        <f t="shared" si="15"/>
        <v>313996</v>
      </c>
      <c r="G129" s="1677">
        <f t="shared" si="15"/>
        <v>405226</v>
      </c>
      <c r="H129" s="1677">
        <f t="shared" si="15"/>
        <v>0</v>
      </c>
      <c r="I129" s="1677">
        <f t="shared" si="15"/>
        <v>0</v>
      </c>
      <c r="J129" s="1677">
        <f t="shared" si="15"/>
        <v>0</v>
      </c>
      <c r="K129" s="1677">
        <f t="shared" si="15"/>
        <v>1312007</v>
      </c>
      <c r="L129" s="1677">
        <f t="shared" si="15"/>
        <v>1515391</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577000</v>
      </c>
    </row>
    <row r="151" spans="1:14" ht="12.75" customHeight="1" thickTop="1" thickBot="1" x14ac:dyDescent="0.25">
      <c r="A151" s="2184" t="s">
        <v>620</v>
      </c>
      <c r="B151" s="2166"/>
      <c r="C151" s="1670">
        <f>SUM(C129,C130,C139,C149,C150)</f>
        <v>48099</v>
      </c>
      <c r="D151" s="1670">
        <f t="shared" ref="D151:K151" si="16">SUM(D129,D130,D139,D149,D150)</f>
        <v>0</v>
      </c>
      <c r="E151" s="1670">
        <f t="shared" si="16"/>
        <v>544686</v>
      </c>
      <c r="F151" s="1670">
        <f t="shared" si="16"/>
        <v>313996</v>
      </c>
      <c r="G151" s="1670">
        <f t="shared" si="16"/>
        <v>405226</v>
      </c>
      <c r="H151" s="1670">
        <f t="shared" si="16"/>
        <v>0</v>
      </c>
      <c r="I151" s="1670">
        <f t="shared" si="16"/>
        <v>0</v>
      </c>
      <c r="J151" s="1670">
        <f t="shared" si="16"/>
        <v>0</v>
      </c>
      <c r="K151" s="1670">
        <f t="shared" si="16"/>
        <v>1312007</v>
      </c>
      <c r="L151" s="1670">
        <f>SUM(L129,L130,L139,L149,L150)</f>
        <v>2092391</v>
      </c>
    </row>
    <row r="152" spans="1:14" ht="12.75" customHeight="1" thickTop="1" x14ac:dyDescent="0.2">
      <c r="A152" s="2187" t="s">
        <v>1178</v>
      </c>
      <c r="B152" s="2188"/>
      <c r="C152" s="618"/>
      <c r="D152" s="618"/>
      <c r="E152" s="618"/>
      <c r="F152" s="618"/>
      <c r="G152" s="618"/>
      <c r="H152" s="618"/>
      <c r="I152" s="618"/>
      <c r="J152" s="616"/>
      <c r="K152" s="1684">
        <f>'Revenues 9-14'!D268-'Expenditures 15-22'!K151</f>
        <v>990841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2" t="s">
        <v>621</v>
      </c>
      <c r="B154" s="217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578565</v>
      </c>
      <c r="I169" s="616"/>
      <c r="J169" s="616"/>
      <c r="K169" s="1671">
        <f>SUM(C169:H169)</f>
        <v>578565</v>
      </c>
      <c r="L169" s="656">
        <v>578699</v>
      </c>
    </row>
    <row r="170" spans="1:14" ht="33.75" customHeight="1" x14ac:dyDescent="0.2">
      <c r="A170" s="669" t="s">
        <v>1670</v>
      </c>
      <c r="B170" s="671" t="s">
        <v>31</v>
      </c>
      <c r="C170" s="616"/>
      <c r="D170" s="616"/>
      <c r="E170" s="616"/>
      <c r="F170" s="616"/>
      <c r="G170" s="616"/>
      <c r="H170" s="569">
        <v>690000</v>
      </c>
      <c r="I170" s="616"/>
      <c r="J170" s="616"/>
      <c r="K170" s="1671">
        <f>SUM(C170:J170)</f>
        <v>690000</v>
      </c>
      <c r="L170" s="569">
        <v>690000</v>
      </c>
    </row>
    <row r="171" spans="1:14" ht="15.75" customHeight="1" x14ac:dyDescent="0.2">
      <c r="A171" s="621" t="s">
        <v>766</v>
      </c>
      <c r="B171" s="672" t="s">
        <v>84</v>
      </c>
      <c r="C171" s="616"/>
      <c r="D171" s="616"/>
      <c r="E171" s="466">
        <v>2000</v>
      </c>
      <c r="F171" s="616"/>
      <c r="G171" s="616"/>
      <c r="H171" s="569"/>
      <c r="I171" s="477"/>
      <c r="J171" s="616"/>
      <c r="K171" s="1671">
        <f>SUM(C171:J171)</f>
        <v>2000</v>
      </c>
      <c r="L171" s="569">
        <v>3000</v>
      </c>
    </row>
    <row r="172" spans="1:14" ht="12.75" customHeight="1" thickBot="1" x14ac:dyDescent="0.25">
      <c r="A172" s="1668" t="s">
        <v>638</v>
      </c>
      <c r="B172" s="1669" t="s">
        <v>492</v>
      </c>
      <c r="C172" s="616"/>
      <c r="D172" s="616"/>
      <c r="E172" s="1677">
        <f>SUM(E168,E169,E170,E171)</f>
        <v>2000</v>
      </c>
      <c r="F172" s="616"/>
      <c r="G172" s="616"/>
      <c r="H172" s="1677">
        <f>SUM(H168,H169,H170,H171)</f>
        <v>1268565</v>
      </c>
      <c r="I172" s="638"/>
      <c r="J172" s="616"/>
      <c r="K172" s="1677">
        <f>SUM(K168,K169,K170,K171)</f>
        <v>1270565</v>
      </c>
      <c r="L172" s="1677">
        <f>SUM(L168,L169,L170,L171)</f>
        <v>1271699</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2000</v>
      </c>
      <c r="F174" s="616"/>
      <c r="G174" s="616"/>
      <c r="H174" s="1677">
        <f>SUM(H160,H172,H173)</f>
        <v>1268565</v>
      </c>
      <c r="I174" s="638"/>
      <c r="J174" s="616"/>
      <c r="K174" s="1677">
        <f>SUM(K160,K172,K173)</f>
        <v>1270565</v>
      </c>
      <c r="L174" s="1677">
        <f>SUM(L160,L172,L173)</f>
        <v>1271699</v>
      </c>
    </row>
    <row r="175" spans="1:14" ht="13.5" thickTop="1" x14ac:dyDescent="0.2">
      <c r="A175" s="2194" t="s">
        <v>996</v>
      </c>
      <c r="B175" s="2195"/>
      <c r="C175" s="616"/>
      <c r="D175" s="616"/>
      <c r="E175" s="616"/>
      <c r="F175" s="616"/>
      <c r="G175" s="616"/>
      <c r="H175" s="618"/>
      <c r="I175" s="616"/>
      <c r="J175" s="616"/>
      <c r="K175" s="1684">
        <f>'Revenues 9-14'!E268-'Expenditures 15-22'!K174</f>
        <v>14313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174425</v>
      </c>
      <c r="D182" s="466">
        <v>20371</v>
      </c>
      <c r="E182" s="466">
        <v>412874</v>
      </c>
      <c r="F182" s="466">
        <v>40388</v>
      </c>
      <c r="G182" s="466">
        <v>24989</v>
      </c>
      <c r="H182" s="466">
        <v>415</v>
      </c>
      <c r="I182" s="467"/>
      <c r="J182" s="467"/>
      <c r="K182" s="1671">
        <f>SUM(C182:J182)</f>
        <v>673462</v>
      </c>
      <c r="L182" s="466">
        <v>630193</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174425</v>
      </c>
      <c r="D184" s="1677">
        <f t="shared" ref="D184:J184" si="17">SUM(D180,D182,D183)</f>
        <v>20371</v>
      </c>
      <c r="E184" s="1677">
        <f t="shared" si="17"/>
        <v>412874</v>
      </c>
      <c r="F184" s="1677">
        <f t="shared" si="17"/>
        <v>40388</v>
      </c>
      <c r="G184" s="1677">
        <f t="shared" si="17"/>
        <v>24989</v>
      </c>
      <c r="H184" s="1677">
        <f t="shared" si="17"/>
        <v>415</v>
      </c>
      <c r="I184" s="1677">
        <f t="shared" si="17"/>
        <v>0</v>
      </c>
      <c r="J184" s="1677">
        <f t="shared" si="17"/>
        <v>0</v>
      </c>
      <c r="K184" s="1677">
        <f>SUM(K180,K182,K183)</f>
        <v>673462</v>
      </c>
      <c r="L184" s="1677">
        <f>SUM(L180, L182:L183)</f>
        <v>630193</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80907</v>
      </c>
    </row>
    <row r="210" spans="1:14" ht="12.75" customHeight="1" thickTop="1" thickBot="1" x14ac:dyDescent="0.25">
      <c r="A210" s="1692" t="s">
        <v>277</v>
      </c>
      <c r="B210" s="1693"/>
      <c r="C210" s="1670">
        <f>SUM(C184,C185)</f>
        <v>174425</v>
      </c>
      <c r="D210" s="1670">
        <f>SUM(D184,D185)</f>
        <v>20371</v>
      </c>
      <c r="E210" s="1670">
        <f>SUM(E184,E185,E196)</f>
        <v>412874</v>
      </c>
      <c r="F210" s="1670">
        <f>SUM(F184,F185)</f>
        <v>40388</v>
      </c>
      <c r="G210" s="1670">
        <f>SUM(G184,G185)</f>
        <v>24989</v>
      </c>
      <c r="H210" s="1670">
        <f>SUM(H184,H185,H196,H208,H209)</f>
        <v>415</v>
      </c>
      <c r="I210" s="1670">
        <f>SUM(I184,I185)</f>
        <v>0</v>
      </c>
      <c r="J210" s="1670">
        <f>SUM(J184,J185)</f>
        <v>0</v>
      </c>
      <c r="K210" s="1671">
        <f>SUM(K184,K185,K196,K208,K209)</f>
        <v>673462</v>
      </c>
      <c r="L210" s="1670">
        <f>SUM(L184,L185,L196,L208,L209)</f>
        <v>711100</v>
      </c>
    </row>
    <row r="211" spans="1:14" ht="13.5" thickTop="1" x14ac:dyDescent="0.2">
      <c r="A211" s="2194" t="s">
        <v>996</v>
      </c>
      <c r="B211" s="2195"/>
      <c r="C211" s="618"/>
      <c r="D211" s="618"/>
      <c r="E211" s="618"/>
      <c r="F211" s="618"/>
      <c r="G211" s="618"/>
      <c r="H211" s="618"/>
      <c r="I211" s="616"/>
      <c r="J211" s="616"/>
      <c r="K211" s="1684">
        <f>'Revenues 9-14'!F268-'Expenditures 15-22'!K210</f>
        <v>17958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9" t="s">
        <v>965</v>
      </c>
      <c r="B213" s="219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102065</v>
      </c>
      <c r="E215" s="616"/>
      <c r="F215" s="616"/>
      <c r="G215" s="616"/>
      <c r="H215" s="616"/>
      <c r="I215" s="616"/>
      <c r="J215" s="616"/>
      <c r="K215" s="1671">
        <f>D215</f>
        <v>102065</v>
      </c>
      <c r="L215" s="466"/>
    </row>
    <row r="216" spans="1:14" x14ac:dyDescent="0.2">
      <c r="A216" s="1504" t="s">
        <v>163</v>
      </c>
      <c r="B216" s="614" t="s">
        <v>967</v>
      </c>
      <c r="C216" s="616"/>
      <c r="D216" s="467"/>
      <c r="E216" s="616"/>
      <c r="F216" s="616"/>
      <c r="G216" s="616"/>
      <c r="H216" s="616"/>
      <c r="I216" s="616"/>
      <c r="J216" s="616"/>
      <c r="K216" s="1671">
        <f t="shared" ref="K216:K228" si="19">D216</f>
        <v>0</v>
      </c>
      <c r="L216" s="466">
        <v>134738</v>
      </c>
    </row>
    <row r="217" spans="1:14" x14ac:dyDescent="0.2">
      <c r="A217" s="1504" t="s">
        <v>164</v>
      </c>
      <c r="B217" s="614">
        <v>1200</v>
      </c>
      <c r="C217" s="616"/>
      <c r="D217" s="466">
        <v>75871</v>
      </c>
      <c r="E217" s="616"/>
      <c r="F217" s="616"/>
      <c r="G217" s="616"/>
      <c r="H217" s="616"/>
      <c r="I217" s="616"/>
      <c r="J217" s="616"/>
      <c r="K217" s="1671">
        <f t="shared" si="19"/>
        <v>75871</v>
      </c>
      <c r="L217" s="466">
        <v>47848</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v>600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16616</v>
      </c>
      <c r="E223" s="616"/>
      <c r="F223" s="616"/>
      <c r="G223" s="616"/>
      <c r="H223" s="616"/>
      <c r="I223" s="616"/>
      <c r="J223" s="616"/>
      <c r="K223" s="1671">
        <f t="shared" si="19"/>
        <v>16616</v>
      </c>
      <c r="L223" s="466">
        <v>13440</v>
      </c>
    </row>
    <row r="224" spans="1:14" x14ac:dyDescent="0.2">
      <c r="A224" s="1504" t="s">
        <v>964</v>
      </c>
      <c r="B224" s="614">
        <v>1600</v>
      </c>
      <c r="C224" s="616"/>
      <c r="D224" s="466">
        <v>894</v>
      </c>
      <c r="E224" s="616"/>
      <c r="F224" s="616"/>
      <c r="G224" s="616"/>
      <c r="H224" s="616"/>
      <c r="I224" s="616"/>
      <c r="J224" s="616"/>
      <c r="K224" s="1671">
        <f t="shared" si="19"/>
        <v>894</v>
      </c>
      <c r="L224" s="466">
        <v>160</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2341</v>
      </c>
      <c r="E226" s="616"/>
      <c r="F226" s="616"/>
      <c r="G226" s="616"/>
      <c r="H226" s="616"/>
      <c r="I226" s="616"/>
      <c r="J226" s="616"/>
      <c r="K226" s="1671">
        <f t="shared" si="19"/>
        <v>2341</v>
      </c>
      <c r="L226" s="466">
        <v>3100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197787</v>
      </c>
      <c r="E229" s="616"/>
      <c r="F229" s="616"/>
      <c r="G229" s="616"/>
      <c r="H229" s="616"/>
      <c r="I229" s="616"/>
      <c r="J229" s="616"/>
      <c r="K229" s="1670">
        <f>SUM(K215:K228)</f>
        <v>197787</v>
      </c>
      <c r="L229" s="1670">
        <f>SUM(L215:L228)</f>
        <v>199886</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26352</v>
      </c>
      <c r="E232" s="616"/>
      <c r="F232" s="616"/>
      <c r="G232" s="616"/>
      <c r="H232" s="616"/>
      <c r="I232" s="616"/>
      <c r="J232" s="616"/>
      <c r="K232" s="1671">
        <f t="shared" ref="K232:K237" si="20">D232</f>
        <v>26352</v>
      </c>
      <c r="L232" s="466">
        <v>15220</v>
      </c>
    </row>
    <row r="233" spans="1:12" x14ac:dyDescent="0.2">
      <c r="A233" s="1504" t="s">
        <v>1090</v>
      </c>
      <c r="B233" s="614">
        <v>2120</v>
      </c>
      <c r="C233" s="616"/>
      <c r="D233" s="466">
        <v>18355</v>
      </c>
      <c r="E233" s="616"/>
      <c r="F233" s="616"/>
      <c r="G233" s="616"/>
      <c r="H233" s="616"/>
      <c r="I233" s="616"/>
      <c r="J233" s="616"/>
      <c r="K233" s="1671">
        <f t="shared" si="20"/>
        <v>18355</v>
      </c>
      <c r="L233" s="466">
        <v>19740</v>
      </c>
    </row>
    <row r="234" spans="1:12" x14ac:dyDescent="0.2">
      <c r="A234" s="1504" t="s">
        <v>198</v>
      </c>
      <c r="B234" s="614">
        <v>2130</v>
      </c>
      <c r="C234" s="616"/>
      <c r="D234" s="466">
        <v>12452</v>
      </c>
      <c r="E234" s="616"/>
      <c r="F234" s="616"/>
      <c r="G234" s="616"/>
      <c r="H234" s="616"/>
      <c r="I234" s="616"/>
      <c r="J234" s="616"/>
      <c r="K234" s="1671">
        <f t="shared" si="20"/>
        <v>12452</v>
      </c>
      <c r="L234" s="466">
        <v>7225</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57159</v>
      </c>
      <c r="E238" s="616"/>
      <c r="F238" s="616"/>
      <c r="G238" s="616"/>
      <c r="H238" s="616"/>
      <c r="I238" s="616"/>
      <c r="J238" s="616"/>
      <c r="K238" s="1670">
        <f>SUM(K232:K237)</f>
        <v>57159</v>
      </c>
      <c r="L238" s="1670">
        <f>SUM(L232:L237)</f>
        <v>42185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6390</v>
      </c>
      <c r="E241" s="616"/>
      <c r="F241" s="616"/>
      <c r="G241" s="616"/>
      <c r="H241" s="616"/>
      <c r="I241" s="616"/>
      <c r="J241" s="616"/>
      <c r="K241" s="1672">
        <f>D241</f>
        <v>6390</v>
      </c>
      <c r="L241" s="466">
        <v>6335</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6390</v>
      </c>
      <c r="E243" s="616"/>
      <c r="F243" s="616"/>
      <c r="G243" s="616"/>
      <c r="H243" s="616"/>
      <c r="I243" s="616"/>
      <c r="J243" s="616"/>
      <c r="K243" s="1670">
        <f>SUM(K240:K242)</f>
        <v>6390</v>
      </c>
      <c r="L243" s="1670">
        <f>SUM(L240:L242)</f>
        <v>6335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960</v>
      </c>
      <c r="E245" s="616"/>
      <c r="F245" s="616"/>
      <c r="G245" s="616"/>
      <c r="H245" s="616"/>
      <c r="I245" s="616"/>
      <c r="J245" s="616"/>
      <c r="K245" s="1672">
        <f>D245</f>
        <v>960</v>
      </c>
      <c r="L245" s="481">
        <v>1060</v>
      </c>
    </row>
    <row r="246" spans="1:12" x14ac:dyDescent="0.2">
      <c r="A246" s="1504" t="s">
        <v>818</v>
      </c>
      <c r="B246" s="614">
        <v>2320</v>
      </c>
      <c r="C246" s="616"/>
      <c r="D246" s="466">
        <v>17575</v>
      </c>
      <c r="E246" s="616"/>
      <c r="F246" s="616"/>
      <c r="G246" s="616"/>
      <c r="H246" s="616"/>
      <c r="I246" s="616"/>
      <c r="J246" s="616"/>
      <c r="K246" s="1672">
        <f t="shared" ref="K246:K256" si="21">D246</f>
        <v>17575</v>
      </c>
      <c r="L246" s="466">
        <v>18555</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18535</v>
      </c>
      <c r="E257" s="616"/>
      <c r="F257" s="616"/>
      <c r="G257" s="616"/>
      <c r="H257" s="616"/>
      <c r="I257" s="616"/>
      <c r="J257" s="616"/>
      <c r="K257" s="1670">
        <f>SUM(K245:K256)</f>
        <v>18535</v>
      </c>
      <c r="L257" s="1670">
        <f>SUM(L245:L256)</f>
        <v>19615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13217</v>
      </c>
      <c r="E259" s="616"/>
      <c r="F259" s="616"/>
      <c r="G259" s="616"/>
      <c r="H259" s="616"/>
      <c r="I259" s="616"/>
      <c r="J259" s="616"/>
      <c r="K259" s="1672">
        <f>D259</f>
        <v>13217</v>
      </c>
      <c r="L259" s="481">
        <v>16745</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13217</v>
      </c>
      <c r="E261" s="616"/>
      <c r="F261" s="616"/>
      <c r="G261" s="616"/>
      <c r="H261" s="616"/>
      <c r="I261" s="616"/>
      <c r="J261" s="616"/>
      <c r="K261" s="1670">
        <f>SUM(K259:K260)</f>
        <v>13217</v>
      </c>
      <c r="L261" s="1670">
        <f>SUM(L259:L260)</f>
        <v>16745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1074</v>
      </c>
      <c r="E263" s="616"/>
      <c r="F263" s="616"/>
      <c r="G263" s="616"/>
      <c r="H263" s="616"/>
      <c r="I263" s="616"/>
      <c r="J263" s="616"/>
      <c r="K263" s="1672">
        <f>D263</f>
        <v>1074</v>
      </c>
      <c r="L263" s="481">
        <v>1125</v>
      </c>
    </row>
    <row r="264" spans="1:14" x14ac:dyDescent="0.2">
      <c r="A264" s="1504" t="s">
        <v>463</v>
      </c>
      <c r="B264" s="685">
        <v>2520</v>
      </c>
      <c r="C264" s="616"/>
      <c r="D264" s="466">
        <v>17815</v>
      </c>
      <c r="E264" s="616"/>
      <c r="F264" s="616"/>
      <c r="G264" s="616"/>
      <c r="H264" s="616"/>
      <c r="I264" s="616"/>
      <c r="J264" s="616"/>
      <c r="K264" s="1672">
        <f t="shared" ref="K264:K269" si="22">D264</f>
        <v>17815</v>
      </c>
      <c r="L264" s="466">
        <v>16345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71884</v>
      </c>
      <c r="E266" s="616"/>
      <c r="F266" s="616"/>
      <c r="G266" s="616"/>
      <c r="H266" s="616"/>
      <c r="I266" s="616"/>
      <c r="J266" s="616"/>
      <c r="K266" s="1672">
        <f t="shared" si="22"/>
        <v>71884</v>
      </c>
      <c r="L266" s="466">
        <v>55700</v>
      </c>
    </row>
    <row r="267" spans="1:14" x14ac:dyDescent="0.2">
      <c r="A267" s="1504" t="s">
        <v>953</v>
      </c>
      <c r="B267" s="614">
        <v>2550</v>
      </c>
      <c r="C267" s="616"/>
      <c r="D267" s="466">
        <v>26798</v>
      </c>
      <c r="E267" s="616"/>
      <c r="F267" s="616"/>
      <c r="G267" s="616"/>
      <c r="H267" s="616"/>
      <c r="I267" s="616"/>
      <c r="J267" s="616"/>
      <c r="K267" s="1672">
        <f t="shared" si="22"/>
        <v>26798</v>
      </c>
      <c r="L267" s="466">
        <v>26775</v>
      </c>
    </row>
    <row r="268" spans="1:14" x14ac:dyDescent="0.2">
      <c r="A268" s="1504" t="s">
        <v>100</v>
      </c>
      <c r="B268" s="614">
        <v>2560</v>
      </c>
      <c r="C268" s="616"/>
      <c r="D268" s="466">
        <v>30628</v>
      </c>
      <c r="E268" s="616"/>
      <c r="F268" s="616"/>
      <c r="G268" s="616"/>
      <c r="H268" s="616"/>
      <c r="I268" s="616"/>
      <c r="J268" s="616"/>
      <c r="K268" s="1672">
        <f t="shared" si="22"/>
        <v>30628</v>
      </c>
      <c r="L268" s="466">
        <v>34145</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148199</v>
      </c>
      <c r="E270" s="616"/>
      <c r="F270" s="616"/>
      <c r="G270" s="616"/>
      <c r="H270" s="616"/>
      <c r="I270" s="616"/>
      <c r="J270" s="616"/>
      <c r="K270" s="1670">
        <f>SUM(K263:K269)</f>
        <v>148199</v>
      </c>
      <c r="L270" s="1670">
        <f>SUM(L263:L269)</f>
        <v>134090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19888</v>
      </c>
      <c r="E276" s="616"/>
      <c r="F276" s="616"/>
      <c r="G276" s="616"/>
      <c r="H276" s="616"/>
      <c r="I276" s="616"/>
      <c r="J276" s="616"/>
      <c r="K276" s="1672">
        <f>D276</f>
        <v>19888</v>
      </c>
      <c r="L276" s="466"/>
    </row>
    <row r="277" spans="1:12" ht="12.75" customHeight="1" thickBot="1" x14ac:dyDescent="0.25">
      <c r="A277" s="1691" t="s">
        <v>37</v>
      </c>
      <c r="B277" s="1669" t="s">
        <v>36</v>
      </c>
      <c r="C277" s="616"/>
      <c r="D277" s="1670">
        <f>SUM(D272:D276)</f>
        <v>19888</v>
      </c>
      <c r="E277" s="616"/>
      <c r="F277" s="616"/>
      <c r="G277" s="616"/>
      <c r="H277" s="616"/>
      <c r="I277" s="616"/>
      <c r="J277" s="616"/>
      <c r="K277" s="1670">
        <f>SUM(K272:K276)</f>
        <v>19888</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263388</v>
      </c>
      <c r="E279" s="616"/>
      <c r="F279" s="616"/>
      <c r="G279" s="616"/>
      <c r="H279" s="616"/>
      <c r="I279" s="616"/>
      <c r="J279" s="616"/>
      <c r="K279" s="1677">
        <f>SUM(K238,K243,K257,K261,K270,K277,K278)</f>
        <v>263388</v>
      </c>
      <c r="L279" s="1677">
        <f>SUM(L238,L243,L257,L261,L270,L277,L278)</f>
        <v>218970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5" t="s">
        <v>505</v>
      </c>
      <c r="B295" s="2186"/>
      <c r="C295" s="616"/>
      <c r="D295" s="1670">
        <f>SUM(D229,D279,D280,D285)</f>
        <v>461175</v>
      </c>
      <c r="E295" s="616"/>
      <c r="F295" s="616"/>
      <c r="G295" s="616"/>
      <c r="H295" s="1670">
        <f>H293</f>
        <v>0</v>
      </c>
      <c r="I295" s="616"/>
      <c r="J295" s="616"/>
      <c r="K295" s="1670">
        <f>SUM(K229,K279,K280,K285,K293,K294)</f>
        <v>461175</v>
      </c>
      <c r="L295" s="1670">
        <f>SUM(L229,L279,L280,L285,L293,L294)</f>
        <v>418856</v>
      </c>
    </row>
    <row r="296" spans="1:14" ht="13.5" thickTop="1" x14ac:dyDescent="0.2">
      <c r="A296" s="2194" t="s">
        <v>996</v>
      </c>
      <c r="B296" s="2195"/>
      <c r="C296" s="616"/>
      <c r="D296" s="618"/>
      <c r="E296" s="616"/>
      <c r="F296" s="616"/>
      <c r="G296" s="616"/>
      <c r="H296" s="687"/>
      <c r="I296" s="616"/>
      <c r="J296" s="616"/>
      <c r="K296" s="1684">
        <f>'Revenues 9-14'!G268-'Expenditures 15-22'!K295</f>
        <v>-103461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7" t="s">
        <v>143</v>
      </c>
      <c r="B298" s="217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248887</v>
      </c>
      <c r="F301" s="466"/>
      <c r="G301" s="466">
        <v>3019021</v>
      </c>
      <c r="H301" s="466"/>
      <c r="I301" s="467"/>
      <c r="J301" s="467"/>
      <c r="K301" s="1671">
        <f>SUM(C301:J301)</f>
        <v>3267908</v>
      </c>
      <c r="L301" s="467">
        <v>3000000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248887</v>
      </c>
      <c r="F303" s="1677">
        <f t="shared" si="23"/>
        <v>0</v>
      </c>
      <c r="G303" s="1677">
        <f t="shared" si="23"/>
        <v>3019021</v>
      </c>
      <c r="H303" s="1677">
        <f t="shared" si="23"/>
        <v>0</v>
      </c>
      <c r="I303" s="1677">
        <f t="shared" si="23"/>
        <v>0</v>
      </c>
      <c r="J303" s="1677">
        <f t="shared" si="23"/>
        <v>0</v>
      </c>
      <c r="K303" s="1677">
        <f t="shared" si="23"/>
        <v>3267908</v>
      </c>
      <c r="L303" s="1677">
        <f t="shared" si="23"/>
        <v>3000000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82" t="s">
        <v>277</v>
      </c>
      <c r="B312" s="2183"/>
      <c r="C312" s="1670">
        <f>SUM(C303)</f>
        <v>0</v>
      </c>
      <c r="D312" s="1670">
        <f>SUM(D303)</f>
        <v>0</v>
      </c>
      <c r="E312" s="1670">
        <f>SUM(E303,E310)</f>
        <v>248887</v>
      </c>
      <c r="F312" s="1670">
        <f>SUM(F303)</f>
        <v>0</v>
      </c>
      <c r="G312" s="1670">
        <f>SUM(G303)</f>
        <v>3019021</v>
      </c>
      <c r="H312" s="1670">
        <f>SUM(H303,H310)</f>
        <v>0</v>
      </c>
      <c r="I312" s="1670">
        <f>SUM(I303)</f>
        <v>0</v>
      </c>
      <c r="J312" s="1670">
        <f>SUM(J303)</f>
        <v>0</v>
      </c>
      <c r="K312" s="1670">
        <f>SUM(K303,K310,K311)</f>
        <v>3267908</v>
      </c>
      <c r="L312" s="1670">
        <f>SUM(L303,L310,L311)</f>
        <v>3000000</v>
      </c>
      <c r="M312" s="665"/>
      <c r="N312" s="665"/>
    </row>
    <row r="313" spans="1:14" ht="13.5" thickTop="1" x14ac:dyDescent="0.2">
      <c r="A313" s="2178" t="s">
        <v>996</v>
      </c>
      <c r="B313" s="2179"/>
      <c r="C313" s="626"/>
      <c r="D313" s="626"/>
      <c r="E313" s="626"/>
      <c r="F313" s="626"/>
      <c r="G313" s="626"/>
      <c r="H313" s="626"/>
      <c r="I313" s="626"/>
      <c r="J313" s="626"/>
      <c r="K313" s="1685">
        <f>'Revenues 9-14'!H268-'Expenditures 15-22'!K312</f>
        <v>-3261398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1" t="s">
        <v>149</v>
      </c>
      <c r="B315" s="219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3" t="s">
        <v>898</v>
      </c>
      <c r="B317" s="219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v>34362</v>
      </c>
      <c r="I322" s="467"/>
      <c r="J322" s="467"/>
      <c r="K322" s="1671">
        <f t="shared" si="24"/>
        <v>34362</v>
      </c>
      <c r="L322" s="467">
        <v>75000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10000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34362</v>
      </c>
      <c r="I330" s="1670">
        <f t="shared" si="25"/>
        <v>0</v>
      </c>
      <c r="J330" s="1670">
        <f t="shared" si="25"/>
        <v>0</v>
      </c>
      <c r="K330" s="1670">
        <f>SUM(K319:K329)</f>
        <v>34362</v>
      </c>
      <c r="L330" s="1670">
        <f>SUM(L319:L329)</f>
        <v>85000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34362</v>
      </c>
      <c r="I342" s="1670">
        <f>SUM(I330)</f>
        <v>0</v>
      </c>
      <c r="J342" s="1670">
        <f>SUM(J330)</f>
        <v>0</v>
      </c>
      <c r="K342" s="1670">
        <f>SUM(K330,K334,K340)</f>
        <v>34362</v>
      </c>
      <c r="L342" s="1677">
        <f>SUM(L330,L334,L340,L341)</f>
        <v>85000</v>
      </c>
    </row>
    <row r="343" spans="1:14" ht="12.75" customHeight="1" thickTop="1" x14ac:dyDescent="0.2">
      <c r="A343" s="2180" t="s">
        <v>996</v>
      </c>
      <c r="B343" s="2181"/>
      <c r="C343" s="616"/>
      <c r="D343" s="616"/>
      <c r="E343" s="616"/>
      <c r="F343" s="616"/>
      <c r="G343" s="616"/>
      <c r="H343" s="616"/>
      <c r="I343" s="616"/>
      <c r="J343" s="616"/>
      <c r="K343" s="1684">
        <f>'Revenues 9-14'!J268-'Expenditures 15-22'!K342</f>
        <v>51049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0" t="s">
        <v>966</v>
      </c>
      <c r="B345" s="217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134578</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134578</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134578</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134578</v>
      </c>
    </row>
    <row r="368" spans="1:14" ht="13.5" thickTop="1" x14ac:dyDescent="0.2">
      <c r="A368" s="2194" t="s">
        <v>996</v>
      </c>
      <c r="B368" s="2195"/>
      <c r="C368" s="654"/>
      <c r="D368" s="654"/>
      <c r="E368" s="626"/>
      <c r="F368" s="626"/>
      <c r="G368" s="626"/>
      <c r="H368" s="626"/>
      <c r="I368" s="626"/>
      <c r="J368" s="623"/>
      <c r="K368" s="1671">
        <f>'Revenues 9-14'!K268-'Expenditures 15-22'!K367</f>
        <v>12055</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www.w3.org/XML/1998/namespace"/>
    <ds:schemaRef ds:uri="http://schemas.microsoft.com/sharepoint/v3"/>
    <ds:schemaRef ds:uri="http://purl.org/dc/terms/"/>
    <ds:schemaRef ds:uri="http://purl.org/dc/dcmitype/"/>
    <ds:schemaRef ds:uri="http://schemas.openxmlformats.org/package/2006/metadata/core-properties"/>
    <ds:schemaRef ds:uri="http://purl.org/dc/elements/1.1/"/>
    <ds:schemaRef ds:uri="6ce3111e-7420-4802-b50a-75d4e9a0b980"/>
    <ds:schemaRef ds:uri="http://schemas.microsoft.com/office/infopath/2007/PartnerControls"/>
    <ds:schemaRef ds:uri="4d435f69-8686-490b-bd6d-b153bf22ab50"/>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Finding 2019-002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2019-10-11T20:25:25Z</cp:lastPrinted>
  <dcterms:created xsi:type="dcterms:W3CDTF">2003-10-29T19:06:34Z</dcterms:created>
  <dcterms:modified xsi:type="dcterms:W3CDTF">2019-11-20T19:48:00Z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000000033220191011171713.xlsm</vt:lpwstr>
  </property>
  <property fmtid="{D5CDD505-2E9C-101B-9397-08002B2CF9AE}" pid="5" name="GFRDocument">
    <vt:lpwstr>1</vt:lpwstr>
  </property>
  <property fmtid="{D5CDD505-2E9C-101B-9397-08002B2CF9AE}" pid="6" name="WebDocument">
    <vt:lpwstr>True</vt:lpwstr>
  </property>
</Properties>
</file>