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DD3D423-7583-49BE-B8F0-61107F24B458}" xr6:coauthVersionLast="36" xr6:coauthVersionMax="36" xr10:uidLastSave="{00000000-0000-0000-0000-000000000000}"/>
  <bookViews>
    <workbookView xWindow="-15" yWindow="13650" windowWidth="28830" windowHeight="6450" tabRatio="904"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 i="4" l="1"/>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F26" i="181" s="1"/>
  <c r="E25" i="181"/>
  <c r="E24" i="181"/>
  <c r="E23" i="181"/>
  <c r="E22" i="181"/>
  <c r="E21" i="181"/>
  <c r="E20" i="181"/>
  <c r="F20" i="181" s="1"/>
  <c r="E19" i="181"/>
  <c r="F19" i="181" s="1"/>
  <c r="F25" i="181" l="1"/>
  <c r="G25" i="181" s="1"/>
  <c r="F24" i="181"/>
  <c r="G24" i="181" s="1"/>
  <c r="F23" i="181"/>
  <c r="G23" i="181" s="1"/>
  <c r="F22" i="181"/>
  <c r="G22" i="181" s="1"/>
  <c r="F21" i="181"/>
  <c r="G21" i="181" s="1"/>
  <c r="G44" i="18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70" i="127"/>
  <c r="B71" i="127"/>
  <c r="E26" i="108"/>
  <c r="G26" i="108"/>
  <c r="D27" i="108"/>
  <c r="E27" i="108"/>
  <c r="F27" i="108"/>
  <c r="G27"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J22" i="37"/>
  <c r="L22" i="37"/>
  <c r="D24" i="37"/>
  <c r="B4270" i="106" s="1"/>
  <c r="D4270" i="106" s="1"/>
  <c r="F34" i="34" l="1"/>
  <c r="L5" i="11"/>
  <c r="B2056" i="106" s="1"/>
  <c r="D2056" i="106" s="1"/>
  <c r="I210" i="29"/>
  <c r="B7071" i="106" s="1"/>
  <c r="D7071" i="106" s="1"/>
  <c r="F77" i="4"/>
  <c r="B3255" i="106" s="1"/>
  <c r="D3255" i="106" s="1"/>
  <c r="L367" i="29"/>
  <c r="J210" i="29"/>
  <c r="B7072" i="106" s="1"/>
  <c r="D7072" i="106" s="1"/>
  <c r="J129" i="29"/>
  <c r="B7038" i="106" s="1"/>
  <c r="D7038" i="106" s="1"/>
  <c r="H342" i="29"/>
  <c r="J41" i="3"/>
  <c r="D51" i="36" s="1"/>
  <c r="H33" i="118"/>
  <c r="H28" i="118"/>
  <c r="G15" i="145"/>
  <c r="K184" i="29"/>
  <c r="F13" i="4" s="1"/>
  <c r="B2596" i="106" s="1"/>
  <c r="D2596" i="106" s="1"/>
  <c r="H365" i="29"/>
  <c r="B7242" i="106" s="1"/>
  <c r="D7242" i="106" s="1"/>
  <c r="J352" i="29"/>
  <c r="J367" i="29" s="1"/>
  <c r="B7245" i="106" s="1"/>
  <c r="D7245" i="106" s="1"/>
  <c r="B3647" i="106"/>
  <c r="D3647" i="106" s="1"/>
  <c r="L342" i="29"/>
  <c r="C342" i="29"/>
  <c r="B7216" i="106" s="1"/>
  <c r="D7216" i="106" s="1"/>
  <c r="C352" i="29"/>
  <c r="C367" i="29" s="1"/>
  <c r="J77" i="4"/>
  <c r="B6262" i="106" s="1"/>
  <c r="D6262" i="106" s="1"/>
  <c r="K76" i="4"/>
  <c r="B3586" i="106" s="1"/>
  <c r="D3586" i="106" s="1"/>
  <c r="L13" i="11"/>
  <c r="B2060" i="106" s="1"/>
  <c r="D2060" i="106" s="1"/>
  <c r="F19" i="7"/>
  <c r="B1807" i="106" s="1"/>
  <c r="D1807" i="106" s="1"/>
  <c r="E29" i="108"/>
  <c r="B6995" i="106"/>
  <c r="D6995" i="106" s="1"/>
  <c r="F28" i="108"/>
  <c r="D54" i="36"/>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41" i="108" l="1"/>
  <c r="E43" i="108" s="1"/>
  <c r="K342" i="29"/>
  <c r="F13" i="34" s="1"/>
  <c r="B5770" i="106"/>
  <c r="D5770" i="106" s="1"/>
  <c r="D7254" i="106"/>
  <c r="K28" i="118"/>
  <c r="O27" i="118" s="1"/>
  <c r="O29" i="118" s="1"/>
  <c r="F41" i="108"/>
  <c r="G43" i="108" s="1"/>
  <c r="L16" i="11"/>
  <c r="B2061" i="106" s="1"/>
  <c r="D2061" i="106" s="1"/>
  <c r="N23" i="3"/>
  <c r="B284" i="106" s="1"/>
  <c r="D284" i="106" s="1"/>
  <c r="C114" i="29"/>
  <c r="B757" i="106" s="1"/>
  <c r="D757" i="106" s="1"/>
  <c r="L114" i="29"/>
  <c r="G6" i="4"/>
  <c r="B2604" i="106" s="1"/>
  <c r="D2604" i="106" s="1"/>
  <c r="B5527" i="106"/>
  <c r="D552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1145" i="106"/>
  <c r="D1145" i="106" s="1"/>
  <c r="D268" i="5"/>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B2567" i="106"/>
  <c r="D2567" i="106" s="1"/>
  <c r="J19" i="4" l="1"/>
  <c r="B6229" i="106" s="1"/>
  <c r="D6229" i="106" s="1"/>
  <c r="K17" i="4"/>
  <c r="J20" i="4"/>
  <c r="D8" i="146"/>
  <c r="J10" i="4"/>
  <c r="B6225" i="106" s="1"/>
  <c r="D622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<sst xmlns="http://schemas.openxmlformats.org/spreadsheetml/2006/main" count="5122" uniqueCount="2129">
  <si>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</si>
  <si>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</si>
  <si>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</si>
  <si>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</si>
  <si>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</si>
  <si>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</si>
  <si>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</si>
  <si>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</si>
  <si>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</si>
  <si>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</si>
  <si>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</si>
  <si>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</si>
  <si>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</si>
  <si>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</si>
  <si>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</si>
  <si>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</si>
  <si>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</si>
  <si>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</si>
  <si>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</si>
  <si>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</si>
  <si>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</si>
  <si>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</si>
  <si>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</si>
  <si>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</si>
  <si>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</si>
  <si>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</si>
  <si>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</si>
  <si>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</si>
  <si>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</si>
  <si>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</si>
  <si>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</si>
  <si>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</si>
  <si>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</si>
  <si>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</si>
  <si>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</si>
  <si>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</si>
  <si>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</si>
  <si>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</si>
  <si>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</si>
  <si>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</si>
  <si>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</si>
  <si>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</si>
  <si>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</si>
  <si>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</si>
  <si>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</si>
  <si>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</si>
  <si>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</si>
  <si>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</si>
  <si>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</si>
  <si>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</si>
  <si>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</si>
  <si>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</si>
  <si>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</si>
  <si>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</si>
  <si>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</si>
  <si>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</si>
  <si>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</si>
  <si>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</si>
  <si>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</si>
  <si>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</si>
  <si>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</si>
  <si>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</si>
  <si>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</si>
  <si>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</si>
  <si>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</si>
  <si>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</si>
  <si>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</si>
  <si>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</si>
  <si>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</si>
  <si>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</si>
  <si>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</si>
  <si>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</si>
  <si>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</si>
  <si>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</si>
  <si>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</si>
  <si>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</si>
  <si>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</si>
  <si>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</si>
  <si>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</si>
  <si>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</si>
  <si>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</si>
  <si>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</si>
  <si>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</si>
  <si>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</si>
  <si>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</si>
  <si>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</si>
  <si>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</si>
  <si>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</si>
  <si>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</si>
  <si>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</si>
  <si>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</si>
  <si>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</si>
  <si>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</si>
  <si>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</si>
  <si>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</si>
  <si>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</si>
  <si>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</si>
  <si>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</si>
  <si>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</si>
  <si>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</si>
  <si>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</si>
  <si>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</si>
  <si>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</si>
  <si>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</si>
  <si>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</si>
  <si>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</si>
  <si>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</si>
  <si>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</si>
  <si>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</si>
  <si>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</si>
  <si>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</si>
  <si>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</si>
  <si>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</si>
  <si>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</si>
  <si>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</si>
  <si>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</si>
  <si>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</si>
  <si>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</si>
  <si>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</si>
  <si>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</si>
  <si>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</si>
  <si>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</si>
  <si>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</si>
  <si>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</si>
  <si>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</si>
  <si>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</si>
  <si>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</si>
  <si>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</si>
  <si>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</si>
  <si>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</si>
  <si>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</si>
  <si>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</si>
  <si>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</si>
  <si>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</si>
  <si>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</si>
  <si>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</si>
  <si>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</si>
  <si>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</si>
  <si>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</si>
  <si>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</si>
  <si>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</si>
  <si>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</si>
  <si>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</si>
  <si>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</si>
  <si>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</si>
  <si>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</si>
  <si>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</si>
  <si>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</si>
  <si>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</si>
  <si>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</si>
  <si>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</si>
  <si>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</si>
  <si>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</si>
  <si>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</si>
  <si>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</si>
  <si>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</si>
  <si>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</si>
  <si>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</si>
  <si>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</si>
  <si>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</si>
  <si>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</si>
  <si>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</si>
  <si>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</si>
  <si>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</si>
  <si>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</si>
  <si>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</si>
  <si>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</si>
  <si>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</si>
  <si>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</si>
  <si>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</si>
  <si>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</si>
  <si>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</si>
  <si>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</si>
  <si>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</si>
  <si>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</si>
  <si>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</si>
  <si>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</si>
  <si>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</si>
  <si>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</si>
  <si>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</si>
  <si>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</si>
  <si>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</si>
  <si>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</si>
  <si>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</si>
  <si>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</si>
  <si>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</si>
  <si>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</si>
  <si>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</si>
  <si>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</si>
  <si>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</si>
  <si>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</si>
  <si>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</si>
  <si>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</si>
  <si>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</si>
  <si>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</si>
  <si>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</si>
  <si>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</si>
  <si>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</si>
  <si>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</si>
  <si>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</si>
  <si>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</si>
  <si>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</si>
  <si>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</si>
  <si>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</si>
  <si>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</si>
  <si>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</si>
  <si>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</si>
  <si>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</si>
  <si>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</si>
  <si>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</si>
  <si>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</si>
  <si>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</si>
  <si>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</si>
  <si>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</si>
  <si>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</si>
  <si>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</si>
  <si>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</si>
  <si>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</si>
  <si>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</si>
  <si>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</si>
  <si>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</si>
  <si>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</si>
  <si>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</si>
  <si>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</si>
  <si>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</si>
  <si>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</si>
  <si>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</si>
  <si>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</si>
  <si>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</si>
  <si>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</si>
  <si>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</si>
  <si>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</si>
  <si>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</si>
  <si>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</si>
  <si>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</si>
  <si>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</si>
  <si>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</si>
  <si>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</si>
  <si>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</si>
  <si>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</si>
  <si>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</si>
  <si>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</si>
  <si>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</si>
  <si>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</si>
  <si>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</si>
  <si>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</si>
  <si>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</si>
  <si>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</si>
  <si>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</si>
  <si>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</si>
  <si>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</si>
  <si>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</si>
  <si>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</si>
  <si>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</si>
  <si>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</si>
  <si>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</si>
  <si>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</si>
  <si>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</si>
  <si>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</si>
  <si>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</si>
  <si>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</si>
  <si>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</si>
  <si>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</si>
  <si>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</si>
  <si>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</si>
  <si>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</si>
  <si>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</si>
  <si>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</si>
  <si>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</si>
  <si>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</si>
  <si>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</si>
  <si>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</si>
  <si>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</si>
  <si>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</si>
  <si>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</si>
  <si>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</si>
  <si>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</si>
  <si>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</si>
  <si>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</si>
  <si>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</si>
  <si>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</si>
  <si>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</si>
  <si>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</si>
  <si>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</si>
  <si>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</si>
  <si>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</si>
  <si>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</si>
  <si>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</si>
  <si>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</si>
  <si>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</si>
  <si>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</si>
  <si>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</si>
  <si>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</si>
  <si>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</si>
  <si>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</si>
  <si>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</si>
  <si>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</si>
  <si>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</si>
  <si>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</si>
  <si>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</si>
  <si>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</si>
  <si>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</si>
  <si>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</si>
  <si>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</si>
  <si>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</si>
  <si>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</si>
  <si>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</si>
  <si>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</si>
  <si>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</si>
  <si>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</si>
  <si>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</si>
  <si>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</si>
  <si>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</si>
  <si>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</si>
  <si>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</si>
  <si>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</si>
  <si>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</si>
  <si>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</si>
  <si>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</si>
  <si>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</si>
  <si>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</si>
  <si>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</si>
  <si>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</si>
  <si>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</si>
  <si>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</si>
  <si>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</si>
  <si>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</si>
  <si>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</si>
  <si>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</si>
  <si>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</si>
  <si>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</si>
  <si>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</si>
  <si>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</si>
  <si>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</si>
  <si>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</si>
  <si>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</si>
  <si>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</si>
  <si>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</si>
  <si>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</si>
  <si>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</si>
  <si>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</si>
  <si>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</si>
  <si>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</si>
  <si>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</si>
  <si>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</si>
  <si>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</si>
  <si>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</si>
  <si>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</si>
  <si>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</si>
  <si>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</si>
  <si>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</si>
  <si>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</si>
  <si>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</si>
  <si>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</si>
  <si>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</si>
  <si>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</si>
  <si>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</si>
  <si>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</si>
  <si>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</si>
  <si>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</si>
  <si>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</si>
  <si>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</si>
  <si>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</si>
  <si>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</si>
  <si>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</si>
  <si>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</si>
  <si>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</si>
  <si>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</si>
  <si>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</si>
  <si>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</si>
  <si>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</si>
  <si>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</si>
  <si>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</si>
  <si>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</si>
  <si>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</si>
  <si>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</si>
  <si>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</si>
  <si>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</si>
  <si>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</si>
  <si>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</si>
  <si>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</si>
  <si>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</si>
  <si>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</si>
  <si>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</si>
  <si>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</si>
  <si>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</si>
  <si>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</si>
  <si>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</si>
  <si>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</si>
  <si>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</si>
  <si>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</si>
  <si>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</si>
  <si>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</si>
  <si>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</si>
  <si>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</si>
  <si>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</si>
  <si>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</si>
  <si>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</si>
  <si>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</si>
  <si>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</si>
  <si>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</si>
  <si>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</si>
  <si>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</si>
  <si>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</si>
  <si>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</si>
  <si>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</si>
  <si>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</si>
  <si>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</si>
  <si>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</si>
  <si>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</si>
  <si>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</si>
  <si>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</si>
  <si>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</si>
  <si>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</si>
  <si>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</si>
  <si>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</si>
  <si>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</si>
  <si>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</si>
  <si>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</si>
  <si>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</si>
  <si>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</si>
  <si>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</si>
  <si>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</si>
  <si>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</si>
  <si>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</si>
  <si>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</si>
  <si>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</si>
  <si>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</si>
  <si>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</si>
  <si>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</si>
  <si>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</si>
  <si>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</si>
  <si>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</si>
  <si>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</si>
  <si>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</si>
  <si>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</si>
  <si>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</si>
  <si>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</si>
  <si>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</si>
  <si>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</si>
  <si>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</si>
  <si>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</si>
  <si>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</si>
  <si>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</si>
  <si>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</si>
  <si>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</si>
  <si>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</si>
  <si>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</si>
  <si>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</si>
  <si>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</si>
  <si>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</si>
  <si>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</si>
  <si>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</si>
  <si>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</si>
  <si>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</si>
  <si>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</si>
  <si>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</si>
  <si>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</si>
  <si>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</si>
  <si>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</si>
  <si>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</si>
  <si>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</si>
  <si>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</si>
  <si>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</si>
  <si>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</si>
  <si>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</si>
  <si>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</si>
  <si>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</si>
  <si>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</si>
  <si>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</si>
  <si>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</si>
  <si>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</si>
  <si>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</si>
  <si>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</si>
  <si>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</si>
  <si>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</si>
  <si>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</si>
  <si>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</si>
  <si>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</si>
  <si>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</si>
  <si>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</si>
  <si>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</si>
  <si>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</si>
  <si>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</si>
  <si>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</si>
  <si>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</si>
  <si>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</si>
  <si>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</si>
  <si>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</si>
  <si>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</si>
  <si>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</si>
  <si>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</si>
  <si>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</si>
  <si>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</si>
  <si>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</si>
  <si>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</si>
  <si>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</si>
  <si>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</si>
  <si>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</si>
  <si>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</si>
  <si>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</si>
  <si>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</si>
  <si>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</si>
  <si>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</si>
  <si>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</si>
  <si>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</si>
  <si>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</si>
  <si>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</si>
  <si>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</si>
  <si>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</si>
  <si>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</si>
  <si>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</si>
  <si>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</si>
  <si>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</si>
  <si>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</si>
  <si>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</si>
  <si>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</si>
  <si>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</si>
  <si>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</si>
  <si>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</si>
  <si>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</si>
  <si>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</si>
  <si>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</si>
  <si>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</si>
  <si>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</si>
  <si>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</si>
  <si>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</si>
  <si>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</si>
  <si>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</si>
  <si>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</si>
  <si>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</si>
  <si>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</si>
  <si>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</si>
  <si>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</si>
  <si>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</si>
  <si>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</si>
  <si>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</si>
  <si>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</si>
  <si>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</si>
  <si>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</si>
  <si>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</si>
  <si>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</si>
  <si>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</si>
  <si>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</si>
  <si>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</si>
  <si>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</si>
  <si>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</si>
  <si>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</si>
  <si>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</si>
  <si>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</si>
  <si>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</si>
  <si>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</si>
  <si>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</si>
  <si>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</si>
  <si>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</si>
  <si>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</si>
  <si>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</si>
  <si>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</si>
  <si>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</si>
  <si>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</si>
  <si>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</si>
  <si>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</si>
  <si>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</si>
  <si>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</si>
  <si>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</si>
  <si>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</si>
  <si>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</si>
  <si>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</si>
  <si>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</si>
  <si>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</si>
  <si>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</si>
  <si>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</si>
  <si>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</si>
  <si>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</si>
  <si>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</si>
  <si>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</si>
  <si>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</si>
  <si>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</si>
  <si>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</si>
  <si>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</si>
  <si>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</si>
  <si>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</si>
  <si>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</si>
  <si>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</si>
  <si>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</si>
  <si>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</si>
  <si>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</si>
  <si>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</si>
  <si>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</si>
  <si>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</si>
  <si>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</si>
  <si>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</si>
  <si>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</si>
  <si>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</si>
  <si>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</si>
  <si>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</si>
  <si>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</si>
  <si>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</si>
  <si>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</si>
  <si>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</si>
  <si>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</si>
  <si>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</si>
  <si>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</si>
  <si>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</si>
  <si>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</si>
  <si>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</si>
  <si>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</si>
  <si>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</si>
  <si>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</si>
  <si>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</si>
  <si>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</si>
  <si>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</si>
  <si>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</si>
  <si>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</si>
  <si>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</si>
  <si>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</si>
  <si>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</si>
  <si>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</si>
  <si>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</si>
  <si>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</si>
  <si>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</si>
  <si>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</si>
  <si>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</si>
  <si>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</si>
  <si>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</si>
  <si>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</si>
  <si>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</si>
  <si>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</si>
  <si>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</si>
  <si>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</si>
  <si>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</si>
  <si>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</si>
  <si>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</si>
  <si>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</si>
  <si>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</si>
  <si>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</si>
  <si>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</si>
  <si>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</si>
  <si>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</si>
  <si>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</si>
  <si>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</si>
  <si>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</si>
  <si>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</si>
  <si>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</si>
  <si>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</si>
  <si>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</si>
  <si>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</si>
  <si>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</si>
  <si>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</si>
  <si>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</si>
  <si>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</si>
  <si>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</si>
  <si>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</si>
  <si>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</si>
  <si>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</si>
  <si>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</si>
  <si>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</si>
  <si>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</si>
  <si>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</si>
  <si>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</si>
  <si>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</si>
  <si>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</si>
  <si>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</si>
  <si>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</si>
  <si>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</si>
  <si>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</si>
  <si>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</si>
  <si>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</si>
  <si>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</si>
  <si>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</si>
  <si>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</si>
  <si>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</si>
  <si>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</si>
  <si>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</si>
  <si>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</si>
  <si>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</si>
  <si>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</si>
  <si>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</si>
  <si>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</si>
  <si>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</si>
  <si>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</si>
  <si>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</si>
  <si>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</si>
  <si>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</si>
  <si>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</si>
  <si>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</si>
  <si>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</si>
  <si>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</si>
  <si>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</si>
  <si>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</si>
  <si>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</si>
  <si>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</si>
  <si>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</si>
  <si>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</si>
  <si>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</si>
  <si>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</si>
  <si>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</si>
  <si>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</si>
  <si>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</si>
  <si>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</si>
  <si>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</si>
  <si>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</si>
  <si>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</si>
  <si>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</si>
  <si>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</si>
  <si>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</si>
  <si>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</si>
  <si>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</si>
  <si>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</si>
  <si>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</si>
  <si>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</si>
  <si>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</si>
  <si>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</si>
  <si>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</si>
  <si>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</si>
  <si>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</si>
  <si>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</si>
  <si>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</si>
  <si>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</si>
  <si>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</si>
  <si>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</si>
  <si>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</si>
  <si>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</si>
  <si>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</si>
  <si>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</si>
  <si>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</si>
  <si>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</si>
  <si>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</si>
  <si>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</si>
  <si>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</si>
  <si>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</si>
  <si>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</si>
  <si>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</si>
  <si>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</si>
  <si>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</si>
  <si>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</si>
  <si>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</si>
  <si>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</si>
  <si>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</si>
  <si>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</si>
  <si>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</si>
  <si>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</si>
  <si>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</si>
  <si>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</si>
  <si>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</si>
  <si>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</si>
  <si>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</si>
  <si>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</si>
  <si>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</si>
  <si>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</si>
  <si>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</si>
  <si>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</si>
  <si>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</si>
  <si>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</si>
  <si>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</si>
  <si>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</si>
  <si>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</si>
  <si>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</si>
  <si>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</si>
  <si>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</si>
  <si>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</si>
  <si>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</si>
  <si>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</si>
  <si>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</si>
  <si>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</si>
  <si>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</si>
  <si>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</si>
  <si>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</si>
  <si>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</si>
  <si>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</si>
  <si>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</si>
  <si>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</si>
  <si>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</si>
  <si>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</si>
  <si>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</si>
  <si>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</si>
  <si>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</si>
  <si>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</si>
  <si>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</si>
  <si>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</si>
  <si>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</si>
  <si>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</si>
  <si>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</si>
  <si>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</si>
  <si>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</si>
  <si>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</si>
  <si>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</si>
  <si>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</si>
  <si>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</si>
  <si>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</si>
  <si>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</si>
  <si>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</si>
  <si>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</si>
  <si>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</si>
  <si>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</si>
  <si>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</si>
  <si>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</si>
  <si>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</si>
  <si>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</si>
  <si>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</si>
  <si>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</si>
  <si>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</si>
  <si>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</si>
  <si>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</si>
  <si>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</si>
  <si>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</si>
  <si>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</si>
  <si>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</si>
  <si>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</si>
  <si>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</si>
  <si>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</si>
  <si>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</si>
  <si>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</si>
  <si>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</si>
  <si>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</si>
  <si>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</si>
  <si>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</si>
  <si>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</si>
  <si>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</si>
  <si>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</si>
  <si>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</si>
  <si>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</si>
  <si>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</si>
  <si>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</si>
  <si>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</si>
  <si>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</si>
  <si>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</si>
  <si>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</si>
  <si>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</si>
  <si>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</si>
  <si>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</si>
  <si>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</si>
  <si>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</si>
  <si>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</si>
  <si>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</si>
  <si>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</si>
  <si>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</si>
  <si>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</si>
  <si>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</si>
  <si>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</si>
  <si>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</si>
  <si>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</si>
  <si>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</si>
  <si>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</si>
  <si>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</si>
  <si>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</si>
  <si>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</si>
  <si>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</si>
  <si>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</si>
  <si>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</si>
  <si>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</si>
  <si>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</si>
  <si>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</si>
  <si>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</si>
  <si>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</si>
  <si>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</si>
  <si>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</si>
  <si>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</si>
  <si>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</si>
  <si>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</si>
  <si>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</si>
  <si>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</si>
  <si>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</si>
  <si>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</si>
  <si>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</si>
  <si>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</si>
  <si>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</si>
  <si>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</si>
  <si>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</si>
  <si>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</si>
  <si>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</si>
  <si>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</si>
  <si>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</si>
  <si>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</si>
  <si>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</si>
  <si>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</si>
  <si>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</si>
  <si>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</si>
  <si>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</si>
  <si>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</si>
  <si>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</si>
  <si>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</si>
  <si>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</si>
  <si>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</si>
  <si>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</si>
  <si>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</si>
  <si>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</si>
  <si>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</si>
  <si>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</si>
  <si>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</si>
  <si>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</si>
  <si>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</si>
  <si>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</si>
  <si>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</si>
  <si>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</si>
  <si>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</si>
  <si>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</si>
  <si>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</si>
  <si>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</si>
  <si>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</si>
  <si>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</si>
  <si>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</si>
  <si>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</si>
  <si>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</si>
  <si>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</si>
  <si>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</si>
  <si>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</si>
  <si>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</si>
  <si>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</si>
  <si>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</si>
  <si>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</si>
  <si>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</si>
  <si>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</si>
  <si>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</si>
  <si>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</si>
  <si>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</si>
  <si>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</si>
  <si>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</si>
  <si>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</si>
  <si>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</si>
  <si>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</si>
  <si>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</si>
  <si>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</si>
  <si>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</si>
  <si>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</si>
  <si>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</si>
  <si>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</si>
  <si>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</si>
  <si>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</si>
  <si>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</si>
  <si>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</si>
  <si>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</si>
  <si>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</si>
  <si>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</si>
  <si>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</si>
  <si>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</si>
  <si>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</si>
  <si>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</si>
  <si>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</si>
  <si>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</si>
  <si>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</si>
  <si>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</si>
  <si>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</si>
  <si>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</si>
  <si>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</si>
  <si>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</si>
  <si>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</si>
  <si>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</si>
  <si>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</si>
  <si>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</si>
  <si>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</si>
  <si>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</si>
  <si>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</si>
  <si>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</si>
  <si>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</si>
  <si>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</si>
  <si>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</si>
  <si>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</si>
  <si>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</si>
  <si>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</si>
  <si>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</si>
  <si>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</si>
  <si>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</si>
  <si>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</si>
  <si>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</si>
  <si>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</si>
  <si>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</si>
  <si>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</si>
  <si>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</si>
  <si>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</si>
  <si>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</si>
  <si>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</si>
  <si>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</si>
  <si>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</si>
  <si>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</si>
  <si>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</si>
  <si>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</si>
  <si>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</si>
  <si>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</si>
  <si>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</si>
  <si>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</si>
  <si>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</si>
  <si>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</si>
  <si>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</si>
  <si>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</si>
  <si>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</si>
  <si>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</si>
  <si>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</si>
  <si>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</si>
  <si>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</si>
  <si>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</si>
  <si>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</si>
  <si>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</si>
  <si>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</si>
  <si>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</si>
  <si>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</si>
  <si>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</si>
  <si>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</si>
  <si>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</si>
  <si>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</si>
  <si>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</si>
  <si>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</si>
  <si>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</si>
  <si>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</si>
  <si>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</si>
  <si>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</si>
  <si>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</si>
  <si>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</si>
  <si>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</si>
  <si>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</si>
  <si>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</si>
  <si>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</si>
  <si>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</si>
  <si>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</si>
  <si>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</si>
  <si>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</si>
  <si>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</si>
  <si>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</si>
  <si>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</si>
  <si>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</si>
  <si>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</si>
  <si>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</si>
  <si>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</si>
  <si>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</si>
  <si>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</si>
  <si>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</si>
  <si>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</si>
  <si>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</si>
  <si>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</si>
  <si>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</si>
  <si>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</si>
  <si>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</si>
  <si>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</si>
  <si>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</si>
  <si>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</si>
  <si>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</si>
  <si>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</si>
  <si>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</si>
  <si>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</si>
  <si>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</si>
  <si>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</si>
  <si>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</si>
  <si>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</si>
  <si>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</si>
  <si>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</si>
  <si>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</si>
  <si>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</si>
  <si>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</si>
  <si>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</si>
  <si>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</si>
  <si>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</si>
  <si>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</si>
  <si>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</si>
  <si>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</si>
  <si>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</si>
  <si>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</si>
  <si>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</si>
  <si>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</si>
  <si>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</si>
  <si>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</si>
  <si>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</si>
  <si>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</si>
  <si>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</si>
  <si>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</si>
  <si>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</si>
  <si>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</si>
  <si>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</si>
  <si>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</si>
  <si>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</si>
  <si>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</si>
  <si>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</si>
  <si>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</si>
  <si>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</si>
  <si>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</si>
  <si>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</si>
  <si>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</si>
  <si>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</si>
  <si>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</si>
  <si>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</si>
  <si>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</si>
  <si>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</si>
  <si>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</si>
  <si>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</si>
  <si>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</si>
  <si>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</si>
  <si>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</si>
  <si>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</si>
  <si>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</si>
  <si>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</si>
  <si>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</si>
  <si>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</si>
  <si>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</si>
  <si>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</si>
  <si>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</si>
  <si>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</si>
  <si>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</si>
  <si>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</si>
  <si>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</si>
  <si>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</si>
  <si>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</si>
  <si>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</si>
  <si>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</si>
  <si>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</si>
  <si>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</si>
  <si>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</si>
  <si>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</si>
  <si>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</si>
  <si>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</si>
  <si>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</si>
  <si>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</si>
  <si>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</si>
  <si>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</si>
  <si>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</si>
  <si>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</si>
  <si>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</si>
  <si>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</si>
  <si>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</si>
  <si>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</si>
  <si>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</si>
  <si>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</si>
  <si>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</si>
  <si>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</si>
  <si>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</si>
  <si>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</si>
  <si>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</si>
  <si>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</si>
  <si>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</si>
  <si>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</si>
  <si>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</si>
  <si>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</si>
  <si>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</si>
  <si>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</si>
  <si>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</si>
  <si>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</si>
  <si>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</si>
  <si>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</si>
  <si>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</si>
  <si>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</si>
  <si>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</si>
  <si>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</si>
  <si>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</si>
  <si>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</si>
  <si>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</si>
  <si>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</si>
  <si>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</si>
  <si>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</si>
  <si>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</si>
  <si>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</si>
  <si>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</si>
  <si>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</si>
  <si>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</si>
  <si>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</si>
  <si>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</si>
  <si>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</si>
  <si>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</si>
  <si>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</si>
  <si>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</si>
  <si>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</si>
  <si>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</si>
  <si>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</si>
  <si>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</si>
  <si>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</si>
  <si>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</si>
  <si>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</si>
  <si>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</si>
  <si>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</si>
  <si>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</si>
  <si>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</si>
  <si>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</si>
  <si>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</si>
  <si>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</si>
  <si>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</si>
  <si>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</si>
  <si>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</si>
  <si>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</si>
  <si>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</si>
  <si>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</si>
  <si>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</si>
  <si>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</si>
  <si>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</si>
  <si>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</si>
  <si>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</si>
  <si>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</si>
  <si>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</si>
  <si>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</si>
  <si>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</si>
  <si>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</si>
  <si>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</si>
  <si>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</si>
  <si>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</si>
  <si>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</si>
  <si>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</si>
  <si>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</si>
  <si>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</si>
  <si>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</si>
  <si>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</si>
  <si>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</si>
  <si>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</si>
  <si>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</si>
  <si>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</si>
  <si>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</si>
  <si>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</si>
  <si>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</si>
  <si>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</si>
  <si>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</si>
  <si>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</si>
  <si>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</si>
  <si>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</si>
  <si>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</si>
  <si>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</si>
  <si>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</si>
  <si>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</si>
  <si>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</si>
  <si>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</si>
  <si>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</si>
  <si>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</si>
  <si>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</si>
  <si>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</si>
  <si>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</si>
  <si>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</si>
  <si>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</si>
  <si>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</si>
  <si>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</si>
  <si>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</si>
  <si>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</si>
  <si>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</si>
  <si>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</si>
  <si>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</si>
  <si>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</si>
  <si>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</si>
  <si>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</si>
  <si>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</si>
  <si>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</si>
  <si>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</si>
  <si>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</si>
  <si>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</si>
  <si>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</si>
  <si>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</si>
  <si>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</si>
  <si>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</si>
  <si>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</si>
  <si>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</si>
  <si>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</si>
  <si>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</si>
  <si>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</si>
  <si>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</si>
  <si>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</si>
  <si>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</si>
  <si>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</si>
  <si>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</si>
  <si>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</si>
  <si>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</si>
  <si>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</si>
  <si>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</si>
  <si>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</si>
  <si>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</si>
  <si>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</si>
  <si>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</si>
  <si>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</si>
  <si>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</si>
  <si>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</si>
  <si>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</si>
  <si>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</si>
  <si>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</si>
  <si>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</si>
  <si>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</si>
  <si>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</si>
  <si>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</si>
  <si>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</si>
  <si>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</si>
  <si>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</si>
  <si>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</si>
  <si>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</si>
  <si>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</si>
  <si>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</si>
  <si>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</si>
  <si>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</si>
  <si>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</si>
  <si>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</si>
  <si>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</si>
  <si>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</si>
  <si>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</si>
  <si>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</si>
  <si>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</si>
  <si>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</si>
  <si>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</si>
  <si>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</si>
  <si>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</si>
  <si>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</si>
  <si>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</si>
  <si>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</si>
  <si>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</si>
  <si>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</si>
  <si>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</si>
  <si>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</si>
  <si>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</si>
  <si>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</si>
  <si>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</si>
  <si>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</si>
  <si>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</si>
  <si>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</si>
  <si>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</si>
  <si>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</si>
  <si>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</si>
  <si>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</si>
  <si>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</si>
  <si>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</si>
  <si>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</si>
  <si>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</si>
  <si>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</si>
  <si>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</si>
  <si>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</si>
  <si>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</si>
  <si>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</si>
  <si>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</si>
  <si>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</si>
  <si>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</si>
  <si>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</si>
  <si>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</si>
  <si>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</si>
  <si>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</si>
  <si>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</si>
  <si>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</si>
  <si>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</si>
  <si>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</si>
  <si>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</si>
  <si>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</si>
  <si>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</si>
  <si>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</si>
  <si>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</si>
  <si>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</si>
  <si>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</si>
  <si>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</si>
  <si>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</si>
  <si>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</si>
  <si>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</si>
  <si>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</si>
  <si>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</si>
  <si>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</si>
  <si>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</si>
  <si>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</si>
  <si>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</si>
  <si>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</si>
  <si>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</si>
  <si>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</si>
  <si>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</si>
  <si>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</si>
  <si>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</si>
  <si>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</si>
  <si>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</si>
  <si>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</si>
  <si>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</si>
  <si>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</si>
  <si>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</si>
  <si>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</si>
  <si>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</si>
  <si>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</si>
  <si>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</si>
  <si>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</si>
  <si>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</si>
  <si>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</si>
  <si>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</si>
  <si>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</si>
  <si>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</si>
  <si>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</si>
  <si>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</si>
  <si>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</si>
  <si>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</si>
  <si>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</si>
  <si>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</si>
  <si>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</si>
  <si>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</si>
  <si>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</si>
  <si>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</si>
  <si>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</si>
  <si>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</si>
  <si>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</si>
  <si>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</si>
  <si>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</si>
  <si>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</si>
  <si>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</si>
  <si>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</si>
  <si>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</si>
  <si>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</si>
  <si>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</si>
  <si>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</si>
  <si>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</si>
  <si>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</si>
  <si>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</si>
  <si>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</si>
  <si>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</si>
  <si>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</si>
  <si>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</si>
  <si>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</si>
  <si>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</si>
  <si>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</si>
  <si>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</si>
  <si>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</si>
  <si>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</si>
  <si>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</si>
  <si>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</si>
  <si>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</si>
  <si>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</si>
  <si>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</si>
  <si>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</si>
  <si>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</si>
  <si>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</si>
  <si>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</si>
  <si>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</si>
  <si>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</si>
  <si>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</si>
  <si>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</si>
  <si>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</si>
  <si>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</si>
  <si>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</si>
  <si>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</si>
  <si>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</si>
  <si>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</si>
  <si>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</si>
  <si>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</si>
  <si>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</si>
  <si>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</si>
  <si>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</si>
  <si>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</si>
  <si>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</si>
  <si>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</si>
  <si>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</si>
  <si>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</si>
  <si>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</si>
  <si>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</si>
  <si>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</si>
  <si>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</si>
  <si>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</si>
  <si>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</si>
  <si>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</si>
  <si>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</si>
  <si>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</si>
  <si>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</si>
  <si>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</si>
  <si>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</si>
  <si>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</si>
  <si>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</si>
  <si>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</si>
  <si>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</si>
  <si>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</si>
  <si>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</si>
  <si>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</si>
  <si>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</si>
  <si>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</si>
  <si>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</si>
  <si>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</si>
  <si>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</si>
  <si>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</si>
  <si>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</si>
  <si>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</si>
  <si>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</si>
  <si>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</si>
  <si>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</si>
  <si>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</si>
  <si>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</si>
  <si>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</si>
  <si>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</si>
  <si>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</si>
  <si>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</si>
  <si>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</si>
  <si>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</si>
  <si>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</si>
  <si>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</si>
  <si>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</si>
  <si>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</si>
  <si>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</si>
  <si>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</si>
  <si>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</si>
  <si>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</si>
  <si>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</si>
  <si>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</si>
  <si>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</si>
  <si>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</si>
  <si>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</si>
  <si>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</si>
  <si>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</si>
  <si>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</si>
  <si>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</si>
  <si>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</si>
  <si>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</si>
  <si>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</si>
  <si>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</si>
  <si>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</si>
  <si>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</si>
  <si>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</si>
  <si>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</si>
  <si>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</si>
  <si>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</si>
  <si>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</si>
  <si>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</si>
  <si>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</si>
  <si>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</si>
  <si>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</si>
  <si>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</si>
  <si>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</si>
  <si>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</si>
  <si>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</si>
  <si>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</si>
  <si>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</si>
  <si>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</si>
  <si>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</si>
  <si>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</si>
  <si>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</si>
  <si>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</si>
  <si>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</si>
  <si>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</si>
  <si>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</si>
  <si>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</si>
  <si>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</si>
  <si>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</si>
  <si>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</si>
  <si>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</si>
  <si>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</si>
  <si>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</si>
  <si>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</si>
  <si>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</si>
  <si>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</si>
  <si>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</si>
  <si>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</si>
  <si>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</si>
  <si>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</si>
  <si>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</si>
  <si>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</si>
  <si>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</si>
  <si>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</si>
  <si>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</si>
  <si>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</si>
  <si>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</si>
  <si>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</si>
  <si>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</si>
  <si>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</si>
  <si>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</si>
  <si>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</si>
  <si>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</si>
  <si>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</si>
  <si>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</si>
  <si>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</si>
  <si>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</si>
  <si>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</si>
  <si>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</si>
  <si>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</si>
  <si>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</si>
  <si>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</si>
  <si>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</si>
  <si>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</si>
  <si>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</si>
  <si>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</si>
  <si>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</si>
  <si>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</si>
  <si>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</si>
  <si>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</si>
  <si>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</si>
  <si>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</si>
  <si>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</si>
  <si>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</si>
  <si>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</si>
  <si>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</si>
  <si>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</si>
  <si>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</si>
  <si>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</si>
  <si>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</si>
  <si>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</si>
  <si>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</si>
  <si>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</si>
  <si>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</si>
  <si>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</si>
  <si>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</si>
  <si>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</si>
  <si>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</si>
  <si>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</si>
  <si>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</si>
  <si>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</si>
  <si>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</si>
  <si>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</si>
  <si>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</si>
  <si>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</si>
  <si>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</si>
  <si>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</si>
  <si>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</si>
  <si>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</si>
  <si>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</si>
  <si>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</si>
  <si>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</si>
  <si>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</si>
  <si>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</si>
  <si>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</si>
  <si>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</si>
  <si>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</si>
  <si>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</si>
  <si>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</si>
  <si>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</si>
  <si>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</si>
  <si>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</si>
  <si>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</si>
  <si>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</si>
  <si>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</si>
  <si>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</si>
  <si>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</si>
  <si>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</si>
  <si>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</si>
  <si>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</si>
  <si>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</si>
  <si>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</si>
  <si>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</si>
  <si>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</si>
  <si>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</si>
  <si>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</si>
  <si>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</si>
  <si>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</si>
  <si>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</si>
  <si>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</si>
  <si>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</si>
  <si>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</si>
  <si>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</si>
  <si>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</si>
  <si>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</si>
  <si>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</si>
  <si>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</si>
  <si>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</si>
  <si>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</si>
  <si>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</si>
  <si>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</si>
  <si>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</si>
  <si>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</si>
  <si>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</si>
  <si>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</si>
  <si>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</si>
  <si>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</si>
  <si>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</si>
  <si>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</si>
  <si>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</si>
  <si>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</si>
  <si>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</si>
  <si>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</si>
  <si>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</si>
  <si>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</si>
  <si>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</si>
  <si>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</si>
  <si>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</si>
  <si>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</si>
  <si>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</si>
  <si>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</si>
  <si>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</si>
  <si>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</si>
  <si>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</si>
  <si>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</si>
  <si>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</si>
  <si>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</si>
  <si>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</si>
  <si>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</si>
  <si>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</si>
  <si>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</si>
  <si>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</si>
  <si>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</si>
  <si>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</si>
  <si>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</si>
  <si>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</si>
  <si>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</si>
  <si>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</si>
  <si>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</si>
  <si>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</si>
  <si>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</si>
  <si>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</si>
  <si>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</si>
  <si>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</si>
  <si>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</si>
  <si>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</si>
  <si>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</si>
  <si>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</si>
  <si>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</si>
  <si>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</si>
  <si>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</si>
  <si>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</si>
  <si>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</si>
  <si>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</si>
  <si>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</si>
  <si>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</si>
  <si>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</si>
  <si>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</si>
  <si>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</si>
  <si>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</si>
  <si>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</si>
  <si>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</si>
  <si>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</si>
  <si>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</si>
  <si>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</si>
  <si>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</si>
  <si>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</si>
  <si>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</si>
  <si>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</si>
  <si>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</si>
  <si>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</si>
  <si>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</si>
  <si>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</si>
  <si>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</si>
  <si>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</si>
  <si>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</si>
  <si>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</si>
  <si>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</si>
  <si>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</si>
  <si>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</si>
  <si>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</si>
  <si>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</si>
  <si>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</si>
  <si>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</si>
  <si>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</si>
  <si>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</si>
  <si>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</si>
  <si>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</si>
  <si>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</si>
  <si>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</si>
  <si>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</si>
  <si>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</si>
  <si>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</si>
  <si>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</si>
  <si>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</si>
  <si>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</si>
  <si>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</si>
  <si>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</si>
  <si>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</si>
  <si>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</si>
  <si>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</si>
  <si>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</si>
  <si>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</si>
  <si>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</si>
  <si>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</si>
  <si>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</si>
  <si>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</si>
  <si>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</si>
  <si>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</si>
  <si>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</si>
  <si>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</si>
  <si>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</si>
  <si>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</si>
  <si>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</si>
  <si>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</si>
  <si>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</si>
  <si>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</si>
  <si>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</si>
  <si>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</si>
  <si>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</si>
  <si>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</si>
  <si>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</si>
  <si>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</si>
  <si>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</si>
  <si>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</si>
  <si>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</si>
  <si>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</si>
  <si>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</si>
  <si>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</si>
  <si>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</si>
  <si>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</si>
  <si>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</si>
  <si>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</si>
  <si>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</si>
  <si>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</si>
  <si>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</si>
  <si>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</si>
  <si>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</si>
  <si>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</si>
  <si>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</si>
  <si>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</si>
  <si>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</si>
  <si>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</si>
  <si>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</si>
  <si>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</si>
  <si>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</si>
  <si>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</si>
  <si>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</si>
  <si>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</si>
  <si>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</si>
  <si>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</si>
  <si>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</si>
  <si>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</si>
  <si>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</si>
  <si>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</si>
  <si>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</si>
  <si>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</si>
  <si>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</si>
  <si>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</si>
  <si>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</si>
  <si>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</si>
  <si>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</si>
  <si>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</si>
  <si>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</si>
  <si>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</si>
  <si>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</si>
  <si>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</si>
  <si>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</si>
  <si>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</si>
  <si>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</si>
  <si>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</si>
  <si>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</si>
  <si>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</si>
  <si>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</si>
  <si>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</si>
  <si>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</si>
  <si>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</si>
  <si>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</si>
  <si>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</si>
  <si>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</si>
  <si>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</si>
  <si>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</si>
  <si>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</si>
  <si>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</si>
  <si>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</si>
  <si>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</si>
  <si>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</si>
  <si>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</si>
  <si>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</si>
  <si>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</si>
  <si>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</si>
  <si>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</si>
  <si>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</si>
  <si>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</si>
  <si>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</si>
  <si>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</si>
  <si>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</si>
  <si>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</si>
  <si>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</si>
  <si>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</si>
  <si>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</si>
  <si>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</si>
  <si>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</si>
  <si>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</si>
  <si>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</si>
  <si>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</si>
  <si>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</si>
  <si>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</si>
  <si>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</si>
  <si>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</si>
  <si>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</si>
  <si>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</si>
  <si>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</si>
  <si>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</si>
  <si>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</si>
  <si>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</si>
  <si>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</si>
  <si>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</si>
  <si>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</si>
  <si>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</si>
  <si>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</si>
  <si>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</si>
  <si>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</si>
  <si>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</si>
  <si>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</si>
  <si>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</si>
  <si>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</si>
  <si>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</si>
  <si>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</si>
  <si>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</si>
  <si>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</si>
  <si>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</si>
  <si>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</si>
  <si>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</si>
  <si>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</si>
  <si>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</si>
  <si>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</si>
  <si>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</si>
  <si>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</si>
  <si>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</si>
  <si>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</si>
  <si>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</si>
  <si>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</si>
  <si>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</si>
  <si>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</si>
  <si>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</si>
  <si>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</si>
  <si>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</si>
  <si>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</si>
  <si>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</si>
  <si>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</si>
  <si>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</si>
  <si>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</si>
  <si>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</si>
  <si>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</si>
  <si>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</si>
  <si>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</si>
  <si>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</si>
  <si>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</si>
  <si>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</si>
  <si>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</si>
  <si>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</si>
  <si>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</si>
  <si>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</si>
  <si>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</si>
  <si>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</si>
  <si>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</si>
  <si>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</si>
  <si>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</si>
  <si>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</si>
  <si>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</si>
  <si>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</si>
  <si>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</si>
  <si>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</si>
  <si>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</si>
  <si>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</si>
  <si>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</si>
  <si>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</si>
  <si>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</si>
  <si>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</si>
  <si>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</si>
  <si>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</si>
  <si>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</si>
  <si>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</si>
  <si>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</si>
  <si>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</si>
  <si>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</si>
  <si>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</si>
  <si>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</si>
  <si>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</si>
  <si>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</si>
  <si>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</si>
  <si>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</si>
  <si>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</si>
  <si>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</si>
  <si>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</si>
  <si>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</si>
  <si>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</si>
  <si>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</si>
  <si>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</si>
  <si>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</si>
  <si>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</si>
  <si>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</si>
  <si>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</si>
  <si>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</si>
  <si>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</si>
  <si>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</si>
  <si>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</si>
  <si>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</si>
  <si>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</si>
  <si>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</si>
  <si>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</si>
  <si>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</si>
  <si>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</si>
  <si>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</si>
  <si>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</si>
  <si>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</si>
  <si>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</si>
  <si>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</si>
  <si>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</si>
  <si>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</si>
  <si>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</si>
  <si>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</si>
  <si>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</si>
  <si>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</si>
  <si>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</si>
  <si>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</si>
  <si>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</si>
  <si>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</si>
  <si>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</si>
  <si>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</si>
  <si>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</si>
  <si>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</si>
  <si>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</si>
  <si>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</si>
  <si>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</si>
  <si>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</si>
  <si>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</si>
  <si>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</si>
  <si>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</si>
  <si>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</si>
  <si>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</si>
  <si>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</si>
  <si>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</si>
  <si>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</si>
  <si>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</si>
  <si>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</si>
  <si>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</si>
  <si>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</si>
  <si>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</si>
  <si>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</si>
  <si>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</si>
  <si>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</si>
  <si>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</si>
  <si>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</si>
  <si>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</si>
  <si>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</si>
  <si>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</si>
  <si>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</si>
  <si>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</si>
  <si>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</si>
  <si>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</si>
  <si>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</si>
  <si>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</si>
  <si>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</si>
  <si>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</si>
  <si>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</si>
  <si>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</si>
  <si>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</si>
  <si>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</si>
  <si>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</si>
  <si>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</si>
  <si>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</si>
  <si>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</si>
  <si>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</si>
  <si>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</si>
  <si>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</si>
  <si>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</si>
  <si>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</si>
  <si>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</si>
  <si>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</si>
  <si>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</si>
  <si>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</si>
  <si>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</si>
  <si>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</si>
  <si>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</si>
  <si>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</si>
  <si>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</si>
  <si>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</si>
  <si>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</si>
  <si>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</si>
  <si>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</si>
  <si>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</si>
  <si>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</si>
  <si>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</si>
  <si>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</si>
  <si>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</si>
  <si>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</si>
  <si>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</si>
  <si>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</si>
  <si>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</si>
  <si>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</si>
  <si>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</si>
  <si>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</si>
  <si>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</si>
  <si>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</si>
  <si>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</si>
  <si>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</si>
  <si>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</si>
  <si>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</si>
  <si>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</si>
  <si>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</si>
  <si>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</si>
  <si>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</si>
  <si>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</si>
  <si>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</si>
  <si>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</si>
  <si>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</si>
  <si>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</si>
  <si>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</si>
  <si>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</si>
  <si>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</si>
  <si>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</si>
  <si>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</si>
  <si>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</si>
  <si>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</si>
  <si>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</si>
  <si>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</si>
  <si>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</si>
  <si>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</si>
  <si>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</si>
  <si>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</si>
  <si>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</si>
  <si>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</si>
  <si>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</si>
  <si>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</si>
  <si>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</si>
  <si>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</si>
  <si>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</si>
  <si>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</si>
  <si>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TAZEWELL</t>
  </si>
  <si>
    <t>206 WEST MAIN STREET</t>
  </si>
  <si>
    <t>SOUTH PEKIN</t>
  </si>
  <si>
    <t>smingus@spgs.net</t>
  </si>
  <si>
    <t>Mr. Seth Mingus</t>
  </si>
  <si>
    <t>(309) 348-3695</t>
  </si>
  <si>
    <t>(309) 348-3162</t>
  </si>
  <si>
    <t>Aaron Phillips</t>
  </si>
  <si>
    <t>Phillips, Salmi &amp; Associates, LLC</t>
  </si>
  <si>
    <t>112 S Main Street</t>
  </si>
  <si>
    <t>WASHINGTON</t>
  </si>
  <si>
    <t>IL</t>
  </si>
  <si>
    <t>(309) 444-4909</t>
  </si>
  <si>
    <t>(309) 444-8580</t>
  </si>
  <si>
    <t>066-004355</t>
  </si>
  <si>
    <t>aphillips@psa-cpa.com</t>
  </si>
  <si>
    <t>Phillips, Salmi, &amp; Associates, LLC</t>
  </si>
  <si>
    <t>2011 GO School Buidling Bonds</t>
  </si>
  <si>
    <t>x</t>
  </si>
  <si>
    <t>Pekin #303, Rankin #98, Springlake #606, North Pekin #102, Pekin #108</t>
  </si>
  <si>
    <t>Peoria Food Corp (many LEA's)</t>
  </si>
  <si>
    <t>Rankin #98, Tazewell Mason Sp-ed Co-op</t>
  </si>
  <si>
    <t>Peoria Co-op (multiple LEAS's)</t>
  </si>
  <si>
    <t>Pekin Municipal Bus Service</t>
  </si>
  <si>
    <t>Rankin #98 - Extracurricular</t>
  </si>
  <si>
    <t>Page 10 Line 1790 - Educational - Other District/School Activity Revenues</t>
  </si>
  <si>
    <t>$846: Miscellaneous revenues</t>
  </si>
  <si>
    <t>Page 18 Line 5400 - Debt Service - Other</t>
  </si>
  <si>
    <t>$500: Bond agent fees</t>
  </si>
  <si>
    <t>Page 13 Line 4199 - Title V</t>
  </si>
  <si>
    <t>$25,616 REAP Grant</t>
  </si>
  <si>
    <t>Page 13 Line 4299 - Food Service - Other</t>
  </si>
  <si>
    <t>$36,491 NSLP Equipment Grant</t>
  </si>
  <si>
    <t>Page 16 Line 4190 - Other Payments to In-state Govt. Units</t>
  </si>
  <si>
    <t>$235 Miscellaneous expense</t>
  </si>
  <si>
    <t>Page 16 Line 4400 - Payments to Other Govt Units (Out-of-State)</t>
  </si>
  <si>
    <t>$138 Miscellaneous expense</t>
  </si>
  <si>
    <t>ED - Regular Programs - Purchased Services</t>
  </si>
  <si>
    <t>10-1000-300</t>
  </si>
  <si>
    <t>Wendelin</t>
  </si>
  <si>
    <t>Digital Copy Systems</t>
  </si>
  <si>
    <t>ED - Administrative Services - Purchased Services</t>
  </si>
  <si>
    <t>10-2300-300</t>
  </si>
  <si>
    <t>Pitney Bowes</t>
  </si>
  <si>
    <t>O&amp;M - Plant Services - Purchased Services</t>
  </si>
  <si>
    <t>20-2540-300</t>
  </si>
  <si>
    <t>American Pest Control</t>
  </si>
  <si>
    <t>Eco Water System</t>
  </si>
  <si>
    <t>Village of South Pekin</t>
  </si>
  <si>
    <t>Constellation Gass</t>
  </si>
  <si>
    <t>Ameren Illinois Electric</t>
  </si>
  <si>
    <t>40-2550-300</t>
  </si>
  <si>
    <t>TRANS - Pupil Transportation - Purchased Services</t>
  </si>
  <si>
    <t>IL Center for School Development, Pekin #303 &amp; #108, Rankin #98, Springlake #606, N. Pekin #102</t>
  </si>
  <si>
    <t>Pekin #303 &amp; #108</t>
  </si>
  <si>
    <t>Page 10 Line 1999 - Educational -  Other Local Revenues</t>
  </si>
  <si>
    <t xml:space="preserve">Other district's portion of Presentation/Speaker $8,000, E-rate reimbursements $12,416, Miscellaneous revenues $8 </t>
  </si>
  <si>
    <t>Segregation of Duties</t>
  </si>
  <si>
    <t xml:space="preserve">Due to the District’s limited number of staff, employees perform conflicting duties specifically related to the cash receipt and cash disbursement functions.  This situation increases the risk that errors or irregularities may occur and not be detected on a timely basis. </t>
  </si>
  <si>
    <t>Management should evaluate the situation and determine if additional internal controls are needed to address these risks.</t>
  </si>
  <si>
    <t>Management is in the process of implementing a new accounting software and is expecting to add additional user controls and approvals to reduce the risks associated with the limited number of staff.</t>
  </si>
  <si>
    <t>See Opinion - Notes 35</t>
  </si>
  <si>
    <t>South Pekin SD 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</si>
</sst>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u/>
      <sz val="7.5"/>
      <color indexed="12"/>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8" fillId="0" borderId="0" applyNumberFormat="0" applyFill="0" applyBorder="0" applyAlignment="0" applyProtection="0">
      <alignment vertical="top"/>
      <protection locked="0"/>
    </xf>
  </cellStyleXfs>
  <cellXfs count="248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49" fontId="124" fillId="0" borderId="105" xfId="18" applyNumberFormat="1" applyFont="1" applyBorder="1" applyAlignment="1" applyProtection="1">
      <alignment horizontal="center" vertic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Hyperlink 3" xfId="19"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790575</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1</xdr:row>
          <xdr:rowOff>9525</xdr:rowOff>
        </xdr:from>
        <xdr:to>
          <xdr:col>1</xdr:col>
          <xdr:colOff>2428875</xdr:colOff>
          <xdr:row>5</xdr:row>
          <xdr:rowOff>47625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8" t="s">
        <v>405</v>
      </c>
      <c r="J1" s="2019"/>
      <c r="K1" s="2019"/>
      <c r="L1" s="2019"/>
      <c r="M1" s="2019"/>
      <c r="N1" s="2019"/>
      <c r="O1" s="2019"/>
      <c r="P1" s="2019"/>
      <c r="Q1" s="2019"/>
      <c r="R1" s="2019"/>
      <c r="S1" s="2019"/>
    </row>
    <row r="2" spans="1:28" ht="12" customHeight="1" x14ac:dyDescent="0.2">
      <c r="A2" s="47" t="s">
        <v>1991</v>
      </c>
      <c r="D2" s="48"/>
      <c r="I2" s="2020" t="s">
        <v>979</v>
      </c>
      <c r="J2" s="2019"/>
      <c r="K2" s="2019"/>
      <c r="L2" s="2019"/>
      <c r="M2" s="2019"/>
      <c r="N2" s="2019"/>
      <c r="O2" s="2019"/>
      <c r="P2" s="2019"/>
      <c r="Q2" s="2019"/>
      <c r="R2" s="2019"/>
      <c r="S2" s="2019"/>
    </row>
    <row r="3" spans="1:28" ht="12" customHeight="1" x14ac:dyDescent="0.2">
      <c r="A3" s="155" t="s">
        <v>1943</v>
      </c>
      <c r="B3" s="156"/>
      <c r="C3" s="156"/>
      <c r="D3" s="157"/>
      <c r="I3" s="2020" t="s">
        <v>52</v>
      </c>
      <c r="J3" s="2019"/>
      <c r="K3" s="2019"/>
      <c r="L3" s="2019"/>
      <c r="M3" s="2019"/>
      <c r="N3" s="2019"/>
      <c r="O3" s="2019"/>
      <c r="P3" s="2019"/>
      <c r="Q3" s="2019"/>
      <c r="R3" s="2019"/>
      <c r="S3" s="2019"/>
    </row>
    <row r="4" spans="1:28" ht="12" customHeight="1" x14ac:dyDescent="0.2">
      <c r="A4" s="37"/>
      <c r="I4" s="2020" t="s">
        <v>524</v>
      </c>
      <c r="J4" s="2019"/>
      <c r="K4" s="2019"/>
      <c r="L4" s="2019"/>
      <c r="M4" s="2019"/>
      <c r="N4" s="2019"/>
      <c r="O4" s="2019"/>
      <c r="P4" s="2019"/>
      <c r="Q4" s="2019"/>
      <c r="R4" s="2019"/>
      <c r="S4" s="2019"/>
    </row>
    <row r="5" spans="1:28" ht="14.1" customHeight="1" x14ac:dyDescent="0.2">
      <c r="B5" s="104" t="s">
        <v>2065</v>
      </c>
      <c r="C5" s="26" t="s">
        <v>910</v>
      </c>
      <c r="D5" s="84"/>
      <c r="E5" s="84"/>
      <c r="H5" s="38"/>
      <c r="I5" s="2027" t="s">
        <v>680</v>
      </c>
      <c r="J5" s="1972"/>
      <c r="K5" s="1972"/>
      <c r="L5" s="1972"/>
      <c r="M5" s="1972"/>
      <c r="N5" s="1972"/>
      <c r="O5" s="1972"/>
      <c r="P5" s="1972"/>
      <c r="Q5" s="1972"/>
      <c r="R5" s="1972"/>
      <c r="S5" s="1972"/>
    </row>
    <row r="6" spans="1:28" ht="14.1" customHeight="1" x14ac:dyDescent="0.2">
      <c r="B6" s="104"/>
      <c r="C6" s="26" t="s">
        <v>911</v>
      </c>
      <c r="D6" s="84"/>
      <c r="E6" s="84"/>
      <c r="I6" s="2026" t="s">
        <v>883</v>
      </c>
      <c r="J6" s="1972"/>
      <c r="K6" s="1972"/>
      <c r="L6" s="1972"/>
      <c r="M6" s="1972"/>
      <c r="N6" s="1972"/>
      <c r="O6" s="1972"/>
      <c r="P6" s="1972"/>
      <c r="Q6" s="1972"/>
      <c r="R6" s="1972"/>
      <c r="S6" s="1972"/>
    </row>
    <row r="7" spans="1:28" ht="12.2" customHeight="1" x14ac:dyDescent="0.2">
      <c r="I7" s="2021">
        <v>43646</v>
      </c>
      <c r="J7" s="2022"/>
      <c r="K7" s="2022"/>
      <c r="L7" s="2022"/>
      <c r="M7" s="2022"/>
      <c r="N7" s="2022"/>
      <c r="O7" s="2022"/>
      <c r="P7" s="2022"/>
      <c r="Q7" s="2022"/>
      <c r="R7" s="2022"/>
      <c r="S7" s="202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3" t="s">
        <v>674</v>
      </c>
      <c r="J9" s="2024"/>
      <c r="K9" s="2024"/>
      <c r="L9" s="2024"/>
      <c r="M9" s="2024"/>
      <c r="N9" s="2024"/>
      <c r="O9" s="2024"/>
      <c r="P9" s="2024"/>
      <c r="Q9" s="2024"/>
      <c r="R9" s="2024"/>
      <c r="S9" s="2025"/>
      <c r="T9" s="1968" t="s">
        <v>533</v>
      </c>
      <c r="U9" s="1969"/>
      <c r="V9" s="1969"/>
      <c r="W9" s="1969"/>
      <c r="X9" s="1969"/>
      <c r="Y9" s="1969"/>
      <c r="Z9" s="1969"/>
      <c r="AA9" s="1970"/>
    </row>
    <row r="10" spans="1:28" ht="13.5" customHeight="1" x14ac:dyDescent="0.2">
      <c r="A10" s="1977" t="s">
        <v>675</v>
      </c>
      <c r="B10" s="1978"/>
      <c r="C10" s="1978"/>
      <c r="D10" s="1978"/>
      <c r="E10" s="1978"/>
      <c r="F10" s="1978"/>
      <c r="G10" s="1978"/>
      <c r="H10" s="1979"/>
      <c r="I10" s="29"/>
      <c r="J10" s="30"/>
      <c r="K10" s="28"/>
      <c r="R10" s="30"/>
      <c r="S10" s="30"/>
      <c r="T10" s="1971"/>
      <c r="U10" s="1972"/>
      <c r="V10" s="1972"/>
      <c r="W10" s="1972"/>
      <c r="X10" s="1972"/>
      <c r="Y10" s="1972"/>
      <c r="Z10" s="1972"/>
      <c r="AA10" s="1973"/>
    </row>
    <row r="11" spans="1:28" ht="14.25" customHeight="1" x14ac:dyDescent="0.2">
      <c r="A11" s="1980" t="s">
        <v>955</v>
      </c>
      <c r="B11" s="1981"/>
      <c r="C11" s="1981"/>
      <c r="D11" s="1981"/>
      <c r="E11" s="1981"/>
      <c r="F11" s="1981"/>
      <c r="G11" s="1981"/>
      <c r="H11" s="1982"/>
      <c r="I11" s="27"/>
      <c r="J11" s="74"/>
      <c r="K11" s="27"/>
      <c r="O11" s="148" t="s">
        <v>2065</v>
      </c>
      <c r="P11" s="100" t="s">
        <v>201</v>
      </c>
      <c r="Q11" s="30"/>
      <c r="R11" s="28"/>
      <c r="S11" s="27"/>
      <c r="T11" s="1974"/>
      <c r="U11" s="1975"/>
      <c r="V11" s="1975"/>
      <c r="W11" s="1975"/>
      <c r="X11" s="1975"/>
      <c r="Y11" s="1975"/>
      <c r="Z11" s="1975"/>
      <c r="AA11" s="1976"/>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8">
        <v>53090137002</v>
      </c>
      <c r="B13" s="1989"/>
      <c r="C13" s="1989"/>
      <c r="D13" s="1989"/>
      <c r="E13" s="1989"/>
      <c r="F13" s="1989"/>
      <c r="G13" s="1989"/>
      <c r="H13" s="1990"/>
      <c r="I13" s="31"/>
      <c r="J13" s="30"/>
      <c r="K13" s="28"/>
      <c r="L13" s="30"/>
      <c r="M13" s="30"/>
      <c r="N13" s="30"/>
      <c r="O13" s="30"/>
      <c r="P13" s="30"/>
      <c r="Q13" s="30"/>
      <c r="R13" s="30"/>
      <c r="S13" s="30"/>
      <c r="T13" s="1993" t="s">
        <v>2074</v>
      </c>
      <c r="U13" s="1994"/>
      <c r="V13" s="1994"/>
      <c r="W13" s="1994"/>
      <c r="X13" s="1994"/>
      <c r="Y13" s="1995"/>
      <c r="Z13" s="1995"/>
      <c r="AA13" s="199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6" t="s">
        <v>2066</v>
      </c>
      <c r="B15" s="1991"/>
      <c r="C15" s="1991"/>
      <c r="D15" s="1991"/>
      <c r="E15" s="1991"/>
      <c r="F15" s="1991"/>
      <c r="G15" s="1991"/>
      <c r="H15" s="1992"/>
      <c r="T15" s="1954" t="s">
        <v>2073</v>
      </c>
      <c r="U15" s="1955"/>
      <c r="V15" s="1955"/>
      <c r="W15" s="1955"/>
      <c r="X15" s="1955"/>
      <c r="Y15" s="1997"/>
      <c r="Z15" s="1997"/>
      <c r="AA15" s="199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6" t="s">
        <v>2128</v>
      </c>
      <c r="B17" s="2016"/>
      <c r="C17" s="2016"/>
      <c r="D17" s="2016"/>
      <c r="E17" s="2016"/>
      <c r="F17" s="2016"/>
      <c r="G17" s="2016"/>
      <c r="H17" s="2017"/>
      <c r="T17" s="2003" t="s">
        <v>2075</v>
      </c>
      <c r="U17" s="2004"/>
      <c r="V17" s="2004"/>
      <c r="W17" s="2004"/>
      <c r="X17" s="2004"/>
      <c r="Y17" s="2004"/>
      <c r="Z17" s="2004"/>
      <c r="AA17" s="2005"/>
    </row>
    <row r="18" spans="1:27" ht="13.5" customHeight="1" x14ac:dyDescent="0.2">
      <c r="A18" s="85" t="s">
        <v>530</v>
      </c>
      <c r="B18" s="76"/>
      <c r="C18" s="72"/>
      <c r="D18" s="76"/>
      <c r="E18" s="76"/>
      <c r="F18" s="76"/>
      <c r="G18" s="76"/>
      <c r="H18" s="56"/>
      <c r="I18" s="2013" t="s">
        <v>676</v>
      </c>
      <c r="J18" s="2014"/>
      <c r="K18" s="2014"/>
      <c r="L18" s="2014"/>
      <c r="M18" s="2014"/>
      <c r="N18" s="2014"/>
      <c r="O18" s="2014"/>
      <c r="P18" s="2014"/>
      <c r="Q18" s="2014"/>
      <c r="R18" s="2014"/>
      <c r="S18" s="2015"/>
      <c r="T18" s="85" t="s">
        <v>711</v>
      </c>
      <c r="U18" s="51"/>
      <c r="V18" s="72"/>
      <c r="W18" s="50"/>
      <c r="X18" s="85" t="s">
        <v>266</v>
      </c>
      <c r="Y18" s="81"/>
      <c r="Z18" s="159" t="s">
        <v>677</v>
      </c>
      <c r="AA18" s="46"/>
    </row>
    <row r="19" spans="1:27" ht="13.5" customHeight="1" x14ac:dyDescent="0.2">
      <c r="A19" s="1986" t="s">
        <v>2067</v>
      </c>
      <c r="B19" s="1987"/>
      <c r="C19" s="1987"/>
      <c r="D19" s="1987"/>
      <c r="E19" s="1987"/>
      <c r="F19" s="1987"/>
      <c r="G19" s="1987"/>
      <c r="H19" s="1985"/>
      <c r="I19" s="30"/>
      <c r="J19" s="99"/>
      <c r="K19" s="40"/>
      <c r="L19" s="38"/>
      <c r="M19" s="112" t="s">
        <v>315</v>
      </c>
      <c r="P19" s="27"/>
      <c r="Q19" s="27"/>
      <c r="R19" s="27"/>
      <c r="S19" s="31"/>
      <c r="T19" s="1986" t="s">
        <v>2076</v>
      </c>
      <c r="U19" s="1984"/>
      <c r="V19" s="1984"/>
      <c r="W19" s="1985"/>
      <c r="X19" s="2001" t="s">
        <v>2077</v>
      </c>
      <c r="Y19" s="2002"/>
      <c r="Z19" s="1999">
        <v>61571</v>
      </c>
      <c r="AA19" s="200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3" t="s">
        <v>2068</v>
      </c>
      <c r="B21" s="1984"/>
      <c r="C21" s="1984"/>
      <c r="D21" s="1984"/>
      <c r="E21" s="1984"/>
      <c r="F21" s="1984"/>
      <c r="G21" s="1984"/>
      <c r="H21" s="1985"/>
      <c r="I21" s="2009" t="s">
        <v>678</v>
      </c>
      <c r="J21" s="1972"/>
      <c r="K21" s="1972"/>
      <c r="L21" s="1972"/>
      <c r="M21" s="1972"/>
      <c r="N21" s="1972"/>
      <c r="O21" s="1972"/>
      <c r="P21" s="1972"/>
      <c r="Q21" s="1972"/>
      <c r="R21" s="1972"/>
      <c r="S21" s="1973"/>
      <c r="T21" s="1951" t="s">
        <v>2078</v>
      </c>
      <c r="U21" s="1952"/>
      <c r="V21" s="1952"/>
      <c r="W21" s="1952"/>
      <c r="X21" s="1965" t="s">
        <v>2079</v>
      </c>
      <c r="Y21" s="1966"/>
      <c r="Z21" s="1966"/>
      <c r="AA21" s="1967"/>
    </row>
    <row r="22" spans="1:27" ht="13.5" customHeight="1" x14ac:dyDescent="0.2">
      <c r="A22" s="87" t="s">
        <v>531</v>
      </c>
      <c r="B22" s="59"/>
      <c r="C22" s="59"/>
      <c r="D22" s="59"/>
      <c r="E22" s="59"/>
      <c r="F22" s="59"/>
      <c r="G22" s="59"/>
      <c r="H22" s="60"/>
      <c r="I22" s="2010" t="s">
        <v>1429</v>
      </c>
      <c r="J22" s="2011"/>
      <c r="K22" s="2011"/>
      <c r="L22" s="2011"/>
      <c r="M22" s="2011"/>
      <c r="N22" s="2011"/>
      <c r="O22" s="2011"/>
      <c r="P22" s="2011"/>
      <c r="Q22" s="2011"/>
      <c r="R22" s="2011"/>
      <c r="S22" s="2012"/>
      <c r="T22" s="85" t="s">
        <v>1516</v>
      </c>
      <c r="U22" s="51"/>
      <c r="V22" s="72"/>
      <c r="W22" s="51"/>
      <c r="X22" s="160" t="s">
        <v>1318</v>
      </c>
      <c r="Z22" s="45"/>
      <c r="AA22" s="46"/>
    </row>
    <row r="23" spans="1:27" ht="13.5" customHeight="1" x14ac:dyDescent="0.2">
      <c r="A23" s="2006" t="s">
        <v>2069</v>
      </c>
      <c r="B23" s="2007"/>
      <c r="C23" s="2007"/>
      <c r="D23" s="2007"/>
      <c r="E23" s="2007"/>
      <c r="F23" s="2007"/>
      <c r="G23" s="2007"/>
      <c r="H23" s="2008"/>
      <c r="T23" s="1946" t="s">
        <v>2080</v>
      </c>
      <c r="U23" s="1947"/>
      <c r="V23" s="1947"/>
      <c r="W23" s="1947"/>
      <c r="X23" s="1962">
        <v>44530</v>
      </c>
      <c r="Y23" s="1963"/>
      <c r="Z23" s="1963"/>
      <c r="AA23" s="1964"/>
    </row>
    <row r="24" spans="1:27" ht="14.1" customHeight="1" x14ac:dyDescent="0.2">
      <c r="A24" s="88" t="s">
        <v>677</v>
      </c>
      <c r="B24" s="49"/>
      <c r="C24" s="49"/>
      <c r="D24" s="49"/>
      <c r="E24" s="49"/>
      <c r="F24" s="49"/>
      <c r="G24" s="49"/>
      <c r="H24" s="61"/>
      <c r="J24" s="2048">
        <f>IF(B5="x",IF(AUDITCHECK!D29="AFR form Incomplete.","",IF(AUDITCHECK!D29="Deficit reduction plan is required.","School District must complete a deficit reduction plan in the 2019-2020 Budget",)),"")</f>
        <v>0</v>
      </c>
      <c r="K24" s="2048"/>
      <c r="L24" s="2048"/>
      <c r="M24" s="2048"/>
      <c r="N24" s="2048"/>
      <c r="O24" s="2048"/>
      <c r="P24" s="2048"/>
      <c r="Q24" s="2048"/>
      <c r="R24" s="2048"/>
      <c r="S24" s="2049"/>
      <c r="T24" s="105" t="s">
        <v>531</v>
      </c>
      <c r="U24" s="106"/>
      <c r="V24" s="106"/>
      <c r="W24" s="106"/>
      <c r="X24" s="107"/>
      <c r="Y24" s="107"/>
      <c r="Z24" s="107"/>
      <c r="AA24" s="108"/>
    </row>
    <row r="25" spans="1:27" ht="14.1" customHeight="1" x14ac:dyDescent="0.2">
      <c r="A25" s="1983">
        <v>61554</v>
      </c>
      <c r="B25" s="1984"/>
      <c r="C25" s="1984"/>
      <c r="D25" s="1984"/>
      <c r="E25" s="1984"/>
      <c r="F25" s="1984"/>
      <c r="G25" s="1984"/>
      <c r="H25" s="1985"/>
      <c r="I25" s="113"/>
      <c r="J25" s="2050"/>
      <c r="K25" s="2050"/>
      <c r="L25" s="2050"/>
      <c r="M25" s="2050"/>
      <c r="N25" s="2050"/>
      <c r="O25" s="2050"/>
      <c r="P25" s="2050"/>
      <c r="Q25" s="2050"/>
      <c r="R25" s="2050"/>
      <c r="S25" s="2051"/>
      <c r="T25" s="1943" t="s">
        <v>2081</v>
      </c>
      <c r="U25" s="1944"/>
      <c r="V25" s="1944"/>
      <c r="W25" s="1944"/>
      <c r="X25" s="1944"/>
      <c r="Y25" s="1944"/>
      <c r="Z25" s="1944"/>
      <c r="AA25" s="194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1" t="s">
        <v>1511</v>
      </c>
      <c r="J27" s="2014"/>
      <c r="K27" s="2014"/>
      <c r="L27" s="2014"/>
      <c r="M27" s="2014"/>
      <c r="N27" s="2014"/>
      <c r="O27" s="2014"/>
      <c r="P27" s="2014"/>
      <c r="Q27" s="2014"/>
      <c r="R27" s="2014"/>
      <c r="S27" s="201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7"/>
      <c r="Q35" s="1984"/>
      <c r="R35" s="198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6" t="s">
        <v>2070</v>
      </c>
      <c r="B38" s="2016"/>
      <c r="C38" s="2016"/>
      <c r="D38" s="2016"/>
      <c r="E38" s="2016"/>
      <c r="F38" s="1984"/>
      <c r="G38" s="1984"/>
      <c r="H38" s="1985"/>
      <c r="I38" s="2035"/>
      <c r="J38" s="1955"/>
      <c r="K38" s="1955"/>
      <c r="L38" s="1955"/>
      <c r="M38" s="1955"/>
      <c r="N38" s="1955"/>
      <c r="O38" s="1955"/>
      <c r="P38" s="1956"/>
      <c r="Q38" s="1956"/>
      <c r="R38" s="1956"/>
      <c r="S38" s="1957"/>
      <c r="T38" s="1954"/>
      <c r="U38" s="1955"/>
      <c r="V38" s="1955"/>
      <c r="W38" s="1955"/>
      <c r="X38" s="1956"/>
      <c r="Y38" s="1956"/>
      <c r="Z38" s="1956"/>
      <c r="AA38" s="1957"/>
    </row>
    <row r="39" spans="1:27" ht="12" customHeight="1" x14ac:dyDescent="0.2">
      <c r="A39" s="2039" t="s">
        <v>531</v>
      </c>
      <c r="B39" s="2040"/>
      <c r="C39" s="72"/>
      <c r="D39" s="69"/>
      <c r="E39" s="69"/>
      <c r="F39" s="79"/>
      <c r="G39" s="69"/>
      <c r="H39" s="56"/>
      <c r="I39" s="2039" t="s">
        <v>531</v>
      </c>
      <c r="J39" s="2040"/>
      <c r="K39" s="2040"/>
      <c r="L39" s="2040"/>
      <c r="M39" s="2040"/>
      <c r="N39" s="67"/>
      <c r="O39" s="72"/>
      <c r="P39" s="72"/>
      <c r="Q39" s="78"/>
      <c r="R39" s="72"/>
      <c r="S39" s="56"/>
      <c r="T39" s="72" t="s">
        <v>531</v>
      </c>
      <c r="U39" s="51"/>
      <c r="V39" s="72"/>
      <c r="W39" s="50"/>
      <c r="X39" s="78"/>
      <c r="Y39" s="45"/>
      <c r="Z39" s="45"/>
      <c r="AA39" s="46"/>
    </row>
    <row r="40" spans="1:27" ht="13.5" customHeight="1" x14ac:dyDescent="0.2">
      <c r="A40" s="2042" t="s">
        <v>2069</v>
      </c>
      <c r="B40" s="2043"/>
      <c r="C40" s="2044"/>
      <c r="D40" s="2044"/>
      <c r="E40" s="2044"/>
      <c r="F40" s="2045"/>
      <c r="G40" s="2045"/>
      <c r="H40" s="2046"/>
      <c r="I40" s="1958"/>
      <c r="J40" s="1960"/>
      <c r="K40" s="1960"/>
      <c r="L40" s="1960"/>
      <c r="M40" s="1960"/>
      <c r="N40" s="1960"/>
      <c r="O40" s="1960"/>
      <c r="P40" s="1960"/>
      <c r="Q40" s="1960"/>
      <c r="R40" s="1960"/>
      <c r="S40" s="1961"/>
      <c r="T40" s="1958"/>
      <c r="U40" s="1959"/>
      <c r="V40" s="1960"/>
      <c r="W40" s="1960"/>
      <c r="X40" s="1960"/>
      <c r="Y40" s="1960"/>
      <c r="Z40" s="1960"/>
      <c r="AA40" s="196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2" t="s">
        <v>2071</v>
      </c>
      <c r="B42" s="2033"/>
      <c r="C42" s="2034"/>
      <c r="D42" s="2047" t="s">
        <v>2072</v>
      </c>
      <c r="E42" s="2033"/>
      <c r="F42" s="2033"/>
      <c r="G42" s="2033"/>
      <c r="H42" s="2034"/>
      <c r="I42" s="1953"/>
      <c r="J42" s="1949"/>
      <c r="K42" s="1949"/>
      <c r="L42" s="1949"/>
      <c r="M42" s="1949"/>
      <c r="N42" s="1949"/>
      <c r="O42" s="1950"/>
      <c r="P42" s="1948"/>
      <c r="Q42" s="1949"/>
      <c r="R42" s="1949"/>
      <c r="S42" s="1950"/>
      <c r="T42" s="1953"/>
      <c r="U42" s="1949"/>
      <c r="V42" s="1949"/>
      <c r="W42" s="1950"/>
      <c r="X42" s="1948"/>
      <c r="Y42" s="1949"/>
      <c r="Z42" s="1949"/>
      <c r="AA42" s="195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6"/>
      <c r="B44" s="2037"/>
      <c r="C44" s="2037"/>
      <c r="D44" s="2037"/>
      <c r="E44" s="2037"/>
      <c r="F44" s="2037"/>
      <c r="G44" s="2037"/>
      <c r="H44" s="2038"/>
      <c r="I44" s="2028"/>
      <c r="J44" s="2030"/>
      <c r="K44" s="2030"/>
      <c r="L44" s="2030"/>
      <c r="M44" s="2030"/>
      <c r="N44" s="2030"/>
      <c r="O44" s="2030"/>
      <c r="P44" s="2030"/>
      <c r="Q44" s="2030"/>
      <c r="R44" s="2030"/>
      <c r="S44" s="2031"/>
      <c r="T44" s="2028"/>
      <c r="U44" s="2029"/>
      <c r="V44" s="2029"/>
      <c r="W44" s="2029"/>
      <c r="X44" s="2029"/>
      <c r="Y44" s="2029"/>
      <c r="Z44" s="2030"/>
      <c r="AA44" s="203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64"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4" colorId="8" zoomScale="110" zoomScaleNormal="110" workbookViewId="0">
      <selection activeCell="D128" sqref="D12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2065</v>
      </c>
      <c r="C53" s="179">
        <v>22</v>
      </c>
      <c r="D53" s="247" t="s">
        <v>1462</v>
      </c>
      <c r="E53" s="248"/>
      <c r="F53" s="249"/>
      <c r="G53" s="249" t="s">
        <v>1461</v>
      </c>
      <c r="H53" s="250">
        <v>36161</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2082</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t="s">
        <v>2127</v>
      </c>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7" colorId="8" zoomScale="110" zoomScaleNormal="110" workbookViewId="0">
      <selection activeCell="L34" sqref="L3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15133290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1.38429E-2</v>
      </c>
      <c r="E10" s="356" t="s">
        <v>1005</v>
      </c>
      <c r="F10" s="355">
        <v>3.392E-3</v>
      </c>
      <c r="G10" s="356" t="s">
        <v>1005</v>
      </c>
      <c r="H10" s="355">
        <v>1.5168E-3</v>
      </c>
      <c r="I10" s="356" t="s">
        <v>1006</v>
      </c>
      <c r="J10" s="1732">
        <f>ROUND(D10+F10+H10,5)</f>
        <v>1.8749999999999999E-2</v>
      </c>
      <c r="K10" s="222"/>
      <c r="L10" s="355">
        <v>3.2249999999999998E-4</v>
      </c>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2252613</v>
      </c>
      <c r="E16" s="356"/>
      <c r="F16" s="1733">
        <f>SUM('Acct Summary 7-8'!C17,'Acct Summary 7-8'!D17,'Acct Summary 7-8'!F17)</f>
        <v>2191594</v>
      </c>
      <c r="G16" s="356"/>
      <c r="H16" s="1733">
        <f>SUM(D16-F16)</f>
        <v>61019</v>
      </c>
      <c r="I16" s="222"/>
      <c r="J16" s="1733">
        <f>SUM('Acct Summary 7-8'!C81,'Acct Summary 7-8'!D81,'Acct Summary 7-8'!F81,'Acct Summary 7-8'!I81)</f>
        <v>1074227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2065</v>
      </c>
      <c r="C31" s="367" t="s">
        <v>586</v>
      </c>
      <c r="D31" s="237" t="s">
        <v>1072</v>
      </c>
      <c r="E31" s="222"/>
      <c r="F31" s="222"/>
      <c r="G31" s="363"/>
      <c r="H31" s="1735">
        <f>IF(B31="X",(J7*0.069),IF(B32="X",(J7*0.138),"Enter x in a.or b."))</f>
        <v>1044197.0100000001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665000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1" zoomScale="110" zoomScaleNormal="110" workbookViewId="0">
      <selection activeCell="F51" sqref="F5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South Pekin SD 137</v>
      </c>
      <c r="E7" s="391"/>
      <c r="G7" s="252"/>
      <c r="H7" s="387"/>
      <c r="I7" s="387"/>
      <c r="J7" s="387"/>
      <c r="K7" s="387"/>
      <c r="L7" s="329"/>
      <c r="M7" s="329"/>
      <c r="N7" s="329"/>
      <c r="O7" s="329"/>
      <c r="P7" s="329"/>
    </row>
    <row r="8" spans="1:18" ht="12.75" x14ac:dyDescent="0.2">
      <c r="A8" s="329"/>
      <c r="B8" s="329"/>
      <c r="C8" s="389" t="s">
        <v>1125</v>
      </c>
      <c r="D8" s="392">
        <f>COVER!A13</f>
        <v>53090137002</v>
      </c>
      <c r="E8" s="393"/>
      <c r="G8" s="329"/>
      <c r="H8" s="329"/>
      <c r="I8" s="329"/>
      <c r="J8" s="329"/>
      <c r="K8" s="329"/>
      <c r="L8" s="329"/>
      <c r="M8" s="329"/>
      <c r="N8" s="329"/>
      <c r="O8" s="329"/>
      <c r="P8" s="329"/>
    </row>
    <row r="9" spans="1:18" ht="12.75" x14ac:dyDescent="0.2">
      <c r="A9" s="329"/>
      <c r="B9" s="329"/>
      <c r="C9" s="389" t="s">
        <v>713</v>
      </c>
      <c r="D9" s="394" t="str">
        <f>COVER!A15</f>
        <v>TAZEWELL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1074227</v>
      </c>
      <c r="I12" s="404"/>
      <c r="J12" s="404"/>
      <c r="K12" s="405">
        <f>TRUNC((H12/H13*100000),5)/100000</f>
        <v>0.47688040510000002</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2252613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2191594</v>
      </c>
      <c r="I17" s="404"/>
      <c r="J17" s="416"/>
      <c r="K17" s="405">
        <f>TRUNC((H17/H18*100000),5)/100000</f>
        <v>0.97291190270000005</v>
      </c>
      <c r="L17" s="406"/>
      <c r="M17" s="417" t="s">
        <v>1171</v>
      </c>
      <c r="O17" s="418" t="str">
        <f>IF(AND(O16="2", J20 &gt; 2),"1",IF(AND(O16 = "1", J20 &gt; 2),"2",IF(AND(O16="1", J20 &gt;1),"1","0")))</f>
        <v>0</v>
      </c>
      <c r="P17" s="218"/>
    </row>
    <row r="18" spans="1:18" s="408" customFormat="1" ht="11.25" x14ac:dyDescent="0.2">
      <c r="A18" s="218"/>
      <c r="B18" s="401"/>
      <c r="C18" s="2103" t="s">
        <v>1317</v>
      </c>
      <c r="D18" s="2104"/>
      <c r="E18" s="218"/>
      <c r="F18" s="419" t="s">
        <v>794</v>
      </c>
      <c r="G18" s="402"/>
      <c r="H18" s="403">
        <f>SUM('Acct Summary 7-8'!C8+'Acct Summary 7-8'!D8+'Acct Summary 7-8'!F8+'Acct Summary 7-8'!I8)+H19</f>
        <v>2252613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1074227</v>
      </c>
      <c r="I24" s="422"/>
      <c r="J24" s="422"/>
      <c r="K24" s="423">
        <f>TRUNC(((H24/H25*100000)/100000),2)</f>
        <v>176.45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6087.7611100000004</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241186.80937999999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665000</v>
      </c>
      <c r="I32" s="420"/>
      <c r="J32" s="420"/>
      <c r="K32" s="423">
        <f>TRUNC(100-((((H32/H33*100))*100)/100),2)</f>
        <v>36.31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1044197.0100000001</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15" activePane="bottomLeft" state="frozen"/>
      <selection pane="bottomLeft" activeCell="M44" sqref="M4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875552</v>
      </c>
      <c r="D4" s="466">
        <v>60805</v>
      </c>
      <c r="E4" s="466">
        <v>960</v>
      </c>
      <c r="F4" s="466">
        <v>27904</v>
      </c>
      <c r="G4" s="466">
        <v>33242</v>
      </c>
      <c r="H4" s="466"/>
      <c r="I4" s="466">
        <v>109966</v>
      </c>
      <c r="J4" s="467">
        <v>21708</v>
      </c>
      <c r="K4" s="466"/>
      <c r="L4" s="466">
        <v>13590</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875552</v>
      </c>
      <c r="D13" s="1737">
        <f t="shared" ref="D13:L13" si="0">SUM(D4:D12)</f>
        <v>60805</v>
      </c>
      <c r="E13" s="1737">
        <f t="shared" si="0"/>
        <v>960</v>
      </c>
      <c r="F13" s="1737">
        <f t="shared" si="0"/>
        <v>27904</v>
      </c>
      <c r="G13" s="1737">
        <f t="shared" si="0"/>
        <v>33242</v>
      </c>
      <c r="H13" s="1737">
        <f t="shared" si="0"/>
        <v>0</v>
      </c>
      <c r="I13" s="1737">
        <f t="shared" si="0"/>
        <v>109966</v>
      </c>
      <c r="J13" s="1737">
        <f t="shared" si="0"/>
        <v>21708</v>
      </c>
      <c r="K13" s="1737">
        <f t="shared" si="0"/>
        <v>0</v>
      </c>
      <c r="L13" s="1737">
        <f t="shared" si="0"/>
        <v>13590</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3351</v>
      </c>
      <c r="N16" s="484"/>
    </row>
    <row r="17" spans="1:14" s="485" customFormat="1" ht="12.75" customHeight="1" x14ac:dyDescent="0.2">
      <c r="A17" s="482" t="s">
        <v>1403</v>
      </c>
      <c r="B17" s="483">
        <v>230</v>
      </c>
      <c r="C17" s="477"/>
      <c r="D17" s="477"/>
      <c r="E17" s="477"/>
      <c r="F17" s="477"/>
      <c r="G17" s="477"/>
      <c r="H17" s="477"/>
      <c r="I17" s="477"/>
      <c r="J17" s="477"/>
      <c r="K17" s="477"/>
      <c r="L17" s="477"/>
      <c r="M17" s="467">
        <v>2069367</v>
      </c>
      <c r="N17" s="484"/>
    </row>
    <row r="18" spans="1:14" s="485" customFormat="1" ht="12.75" customHeight="1" x14ac:dyDescent="0.2">
      <c r="A18" s="482" t="s">
        <v>1404</v>
      </c>
      <c r="B18" s="483">
        <v>240</v>
      </c>
      <c r="C18" s="477"/>
      <c r="D18" s="477"/>
      <c r="E18" s="477"/>
      <c r="F18" s="477"/>
      <c r="G18" s="477"/>
      <c r="H18" s="477"/>
      <c r="I18" s="477"/>
      <c r="J18" s="477"/>
      <c r="K18" s="477"/>
      <c r="L18" s="477"/>
      <c r="M18" s="467">
        <v>44316</v>
      </c>
      <c r="N18" s="484"/>
    </row>
    <row r="19" spans="1:14" s="485" customFormat="1" ht="12.75" customHeight="1" x14ac:dyDescent="0.2">
      <c r="A19" s="482" t="s">
        <v>1405</v>
      </c>
      <c r="B19" s="483">
        <v>250</v>
      </c>
      <c r="C19" s="477"/>
      <c r="D19" s="477"/>
      <c r="E19" s="477"/>
      <c r="F19" s="477"/>
      <c r="G19" s="477"/>
      <c r="H19" s="477"/>
      <c r="I19" s="477"/>
      <c r="J19" s="477"/>
      <c r="K19" s="477"/>
      <c r="L19" s="477"/>
      <c r="M19" s="467">
        <v>184831</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960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664040</v>
      </c>
    </row>
    <row r="23" spans="1:14" ht="13.5" customHeight="1" thickBot="1" x14ac:dyDescent="0.25">
      <c r="A23" s="1736" t="s">
        <v>643</v>
      </c>
      <c r="B23" s="1741"/>
      <c r="C23" s="468"/>
      <c r="D23" s="468"/>
      <c r="E23" s="468"/>
      <c r="F23" s="468"/>
      <c r="G23" s="468"/>
      <c r="H23" s="468"/>
      <c r="I23" s="468"/>
      <c r="J23" s="468"/>
      <c r="K23" s="468"/>
      <c r="L23" s="468"/>
      <c r="M23" s="1688">
        <f>SUM(M15:M22)</f>
        <v>2301865</v>
      </c>
      <c r="N23" s="1688">
        <f>SUM(N21:N22)</f>
        <v>665000</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13590</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13590</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665000</v>
      </c>
    </row>
    <row r="37" spans="1:14" ht="13.5" thickBot="1" x14ac:dyDescent="0.25">
      <c r="A37" s="1736" t="s">
        <v>653</v>
      </c>
      <c r="B37" s="1741"/>
      <c r="C37" s="477"/>
      <c r="D37" s="477"/>
      <c r="E37" s="477"/>
      <c r="F37" s="477"/>
      <c r="G37" s="477"/>
      <c r="H37" s="477"/>
      <c r="I37" s="477"/>
      <c r="J37" s="477"/>
      <c r="K37" s="477"/>
      <c r="L37" s="480"/>
      <c r="M37" s="468"/>
      <c r="N37" s="1688">
        <f>SUM(N36:N36)</f>
        <v>665000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875552</v>
      </c>
      <c r="D39" s="466">
        <v>60805</v>
      </c>
      <c r="E39" s="466">
        <v>960</v>
      </c>
      <c r="F39" s="466">
        <v>27904</v>
      </c>
      <c r="G39" s="466">
        <v>33242</v>
      </c>
      <c r="H39" s="466"/>
      <c r="I39" s="466">
        <v>109966</v>
      </c>
      <c r="J39" s="467">
        <v>21708</v>
      </c>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2301865</v>
      </c>
      <c r="N40" s="497"/>
    </row>
    <row r="41" spans="1:14" ht="13.5" customHeight="1" thickBot="1" x14ac:dyDescent="0.25">
      <c r="A41" s="1736" t="s">
        <v>655</v>
      </c>
      <c r="B41" s="1706"/>
      <c r="C41" s="1688">
        <f>(SUM(C34,C37,C38,C39))</f>
        <v>875552</v>
      </c>
      <c r="D41" s="1688">
        <f t="shared" ref="D41:L41" si="2">SUM(D34,D37,D38:D39)</f>
        <v>60805</v>
      </c>
      <c r="E41" s="1688">
        <f t="shared" si="2"/>
        <v>960</v>
      </c>
      <c r="F41" s="1688">
        <f t="shared" si="2"/>
        <v>27904</v>
      </c>
      <c r="G41" s="1688">
        <f t="shared" si="2"/>
        <v>33242</v>
      </c>
      <c r="H41" s="1688">
        <f t="shared" si="2"/>
        <v>0</v>
      </c>
      <c r="I41" s="1688">
        <f t="shared" si="2"/>
        <v>109966</v>
      </c>
      <c r="J41" s="1688">
        <f t="shared" si="2"/>
        <v>21708</v>
      </c>
      <c r="K41" s="1688">
        <f t="shared" si="2"/>
        <v>0</v>
      </c>
      <c r="L41" s="1688">
        <f t="shared" si="2"/>
        <v>13590</v>
      </c>
      <c r="M41" s="1688">
        <f>SUM(M40)</f>
        <v>2301865</v>
      </c>
      <c r="N41" s="1688">
        <f>SUM(N37)</f>
        <v>665000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4" activePane="bottomLeft" state="frozen"/>
      <selection pane="bottomLeft" activeCell="C85" sqref="C8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7" t="s">
        <v>1499</v>
      </c>
      <c r="B4" s="1928">
        <v>1000</v>
      </c>
      <c r="C4" s="1742">
        <f>'Revenues 9-14'!C109</f>
        <v>276346</v>
      </c>
      <c r="D4" s="1742">
        <f>'Revenues 9-14'!D109</f>
        <v>65973</v>
      </c>
      <c r="E4" s="1742">
        <f>'Revenues 9-14'!E109</f>
        <v>79732</v>
      </c>
      <c r="F4" s="1742">
        <f>'Revenues 9-14'!F109</f>
        <v>22610</v>
      </c>
      <c r="G4" s="1742">
        <f>'Revenues 9-14'!G109</f>
        <v>68007</v>
      </c>
      <c r="H4" s="1742">
        <f>'Revenues 9-14'!H109</f>
        <v>0</v>
      </c>
      <c r="I4" s="1742">
        <f>'Revenues 9-14'!I109</f>
        <v>6363</v>
      </c>
      <c r="J4" s="1742">
        <f>'Revenues 9-14'!J109</f>
        <v>23429</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1331694</v>
      </c>
      <c r="D6" s="1743">
        <f>'Revenues 9-14'!D170</f>
        <v>154000</v>
      </c>
      <c r="E6" s="1743">
        <f>'Revenues 9-14'!E170</f>
        <v>0</v>
      </c>
      <c r="F6" s="1743">
        <f>'Revenues 9-14'!F170</f>
        <v>56509</v>
      </c>
      <c r="G6" s="1743">
        <f>'Revenues 9-14'!G170</f>
        <v>21000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339118</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1947158</v>
      </c>
      <c r="D8" s="1688">
        <f t="shared" ref="D8:K8" si="0">SUM(D4:D7)</f>
        <v>219973</v>
      </c>
      <c r="E8" s="1688">
        <f t="shared" si="0"/>
        <v>79732</v>
      </c>
      <c r="F8" s="1688">
        <f t="shared" si="0"/>
        <v>79119</v>
      </c>
      <c r="G8" s="1688">
        <f t="shared" si="0"/>
        <v>89007</v>
      </c>
      <c r="H8" s="1688">
        <f t="shared" si="0"/>
        <v>0</v>
      </c>
      <c r="I8" s="1688">
        <f t="shared" si="0"/>
        <v>6363</v>
      </c>
      <c r="J8" s="1688">
        <f t="shared" si="0"/>
        <v>23429</v>
      </c>
      <c r="K8" s="1688">
        <f t="shared" si="0"/>
        <v>0</v>
      </c>
      <c r="L8" s="347"/>
    </row>
    <row r="9" spans="1:13" ht="15.75" thickTop="1" x14ac:dyDescent="0.2">
      <c r="A9" s="514" t="s">
        <v>1653</v>
      </c>
      <c r="B9" s="515">
        <v>3998</v>
      </c>
      <c r="C9" s="481">
        <f>756976+12011</f>
        <v>768987</v>
      </c>
      <c r="D9" s="516"/>
      <c r="E9" s="481"/>
      <c r="F9" s="481"/>
      <c r="G9" s="517"/>
      <c r="H9" s="481"/>
      <c r="I9" s="509" t="s">
        <v>1169</v>
      </c>
      <c r="J9" s="478"/>
      <c r="K9" s="481"/>
      <c r="L9" s="347"/>
    </row>
    <row r="10" spans="1:13" s="519" customFormat="1" ht="13.5" thickBot="1" x14ac:dyDescent="0.25">
      <c r="A10" s="1736" t="s">
        <v>1173</v>
      </c>
      <c r="B10" s="1709"/>
      <c r="C10" s="1688">
        <f>SUM(C8:C9)</f>
        <v>2716145</v>
      </c>
      <c r="D10" s="1688">
        <f t="shared" ref="D10:K10" si="1">SUM(D8:D9)</f>
        <v>219973</v>
      </c>
      <c r="E10" s="1688">
        <f t="shared" si="1"/>
        <v>79732</v>
      </c>
      <c r="F10" s="1688">
        <f t="shared" si="1"/>
        <v>79119</v>
      </c>
      <c r="G10" s="1688">
        <f t="shared" si="1"/>
        <v>89007</v>
      </c>
      <c r="H10" s="1688">
        <f t="shared" si="1"/>
        <v>0</v>
      </c>
      <c r="I10" s="1688">
        <f t="shared" si="1"/>
        <v>6363</v>
      </c>
      <c r="J10" s="1688">
        <f t="shared" si="1"/>
        <v>23429</v>
      </c>
      <c r="K10" s="1688">
        <f t="shared" si="1"/>
        <v>0</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1126324</v>
      </c>
      <c r="D12" s="520" t="s">
        <v>1169</v>
      </c>
      <c r="E12" s="468" t="s">
        <v>1169</v>
      </c>
      <c r="F12" s="468" t="s">
        <v>1169</v>
      </c>
      <c r="G12" s="1742">
        <f>'Expenditures 15-22'!K229</f>
        <v>32158</v>
      </c>
      <c r="H12" s="521"/>
      <c r="I12" s="468" t="s">
        <v>1169</v>
      </c>
      <c r="J12" s="468" t="s">
        <v>1169</v>
      </c>
      <c r="K12" s="521" t="s">
        <v>1169</v>
      </c>
      <c r="L12" s="347"/>
    </row>
    <row r="13" spans="1:13" ht="15.75" customHeight="1" x14ac:dyDescent="0.2">
      <c r="A13" s="1576" t="s">
        <v>457</v>
      </c>
      <c r="B13" s="1578">
        <v>2000</v>
      </c>
      <c r="C13" s="1743">
        <f>'Expenditures 15-22'!K74</f>
        <v>738513</v>
      </c>
      <c r="D13" s="1743">
        <f>'Expenditures 15-22'!K129</f>
        <v>191134</v>
      </c>
      <c r="E13" s="469" t="s">
        <v>1169</v>
      </c>
      <c r="F13" s="1743">
        <f>'Expenditures 15-22'!K184</f>
        <v>78846</v>
      </c>
      <c r="G13" s="1743">
        <f>'Expenditures 15-22'!K279</f>
        <v>55996</v>
      </c>
      <c r="H13" s="1743">
        <f>'Expenditures 15-22'!K303</f>
        <v>0</v>
      </c>
      <c r="I13" s="468" t="s">
        <v>1169</v>
      </c>
      <c r="J13" s="1743">
        <f>'Expenditures 15-22'!K330</f>
        <v>16194</v>
      </c>
      <c r="K13" s="1747">
        <f>'Expenditures 15-22'!K352</f>
        <v>0</v>
      </c>
      <c r="L13" s="347"/>
    </row>
    <row r="14" spans="1:13" ht="15.75" customHeight="1" x14ac:dyDescent="0.2">
      <c r="A14" s="1576" t="s">
        <v>449</v>
      </c>
      <c r="B14" s="1578">
        <v>3000</v>
      </c>
      <c r="C14" s="1743">
        <f>'Expenditures 15-22'!K75</f>
        <v>444</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56333</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79323</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1921614</v>
      </c>
      <c r="D17" s="1688">
        <f t="shared" si="2"/>
        <v>191134</v>
      </c>
      <c r="E17" s="1688">
        <f t="shared" si="2"/>
        <v>79323</v>
      </c>
      <c r="F17" s="1688">
        <f t="shared" si="2"/>
        <v>78846</v>
      </c>
      <c r="G17" s="1688">
        <f t="shared" si="2"/>
        <v>88154</v>
      </c>
      <c r="H17" s="1688">
        <f t="shared" si="2"/>
        <v>0</v>
      </c>
      <c r="I17" s="468"/>
      <c r="J17" s="1688">
        <f>SUM(J12:J16)</f>
        <v>16194</v>
      </c>
      <c r="K17" s="1688">
        <f>SUM(K12:K16)</f>
        <v>0</v>
      </c>
      <c r="L17" s="347"/>
    </row>
    <row r="18" spans="1:12" ht="15" customHeight="1" thickTop="1" x14ac:dyDescent="0.2">
      <c r="A18" s="1744" t="s">
        <v>1654</v>
      </c>
      <c r="B18" s="1745">
        <v>4180</v>
      </c>
      <c r="C18" s="1742">
        <f t="shared" ref="C18:H18" si="3">C9</f>
        <v>768987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2690601</v>
      </c>
      <c r="D19" s="1688">
        <f t="shared" si="4"/>
        <v>191134</v>
      </c>
      <c r="E19" s="1688">
        <f t="shared" si="4"/>
        <v>79323</v>
      </c>
      <c r="F19" s="1688">
        <f t="shared" si="4"/>
        <v>78846</v>
      </c>
      <c r="G19" s="1688">
        <f t="shared" si="4"/>
        <v>88154</v>
      </c>
      <c r="H19" s="1688">
        <f t="shared" si="4"/>
        <v>0</v>
      </c>
      <c r="I19" s="468"/>
      <c r="J19" s="1688">
        <f>SUM(J17:J18)</f>
        <v>16194</v>
      </c>
      <c r="K19" s="1688">
        <f>SUM(K17:K18)</f>
        <v>0</v>
      </c>
      <c r="L19" s="347"/>
    </row>
    <row r="20" spans="1:12" ht="16.5" thickTop="1" thickBot="1" x14ac:dyDescent="0.25">
      <c r="A20" s="2128" t="s">
        <v>1655</v>
      </c>
      <c r="B20" s="2129"/>
      <c r="C20" s="1746">
        <f>C8-C17</f>
        <v>25544</v>
      </c>
      <c r="D20" s="1746">
        <f t="shared" ref="D20:K20" si="5">D8-D17</f>
        <v>28839</v>
      </c>
      <c r="E20" s="1746">
        <f t="shared" si="5"/>
        <v>409</v>
      </c>
      <c r="F20" s="1746">
        <f t="shared" si="5"/>
        <v>273</v>
      </c>
      <c r="G20" s="1746">
        <f t="shared" si="5"/>
        <v>853</v>
      </c>
      <c r="H20" s="1746">
        <f t="shared" si="5"/>
        <v>0</v>
      </c>
      <c r="I20" s="1746">
        <f t="shared" si="5"/>
        <v>6363</v>
      </c>
      <c r="J20" s="1746">
        <f t="shared" si="5"/>
        <v>7235</v>
      </c>
      <c r="K20" s="1746">
        <f t="shared" si="5"/>
        <v>0</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2" t="s">
        <v>374</v>
      </c>
      <c r="B44" s="2143"/>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0" t="s">
        <v>1177</v>
      </c>
      <c r="B77" s="2121"/>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4" t="s">
        <v>597</v>
      </c>
      <c r="B78" s="2125"/>
      <c r="C78" s="1702">
        <f t="shared" ref="C78:K78" si="9">C20+C77</f>
        <v>25544</v>
      </c>
      <c r="D78" s="1702">
        <f t="shared" si="9"/>
        <v>28839</v>
      </c>
      <c r="E78" s="1702">
        <f t="shared" si="9"/>
        <v>409</v>
      </c>
      <c r="F78" s="1702">
        <f t="shared" si="9"/>
        <v>273</v>
      </c>
      <c r="G78" s="1702">
        <f t="shared" si="9"/>
        <v>853</v>
      </c>
      <c r="H78" s="1702">
        <f t="shared" si="9"/>
        <v>0</v>
      </c>
      <c r="I78" s="1702">
        <f t="shared" si="9"/>
        <v>6363</v>
      </c>
      <c r="J78" s="1702">
        <f t="shared" si="9"/>
        <v>7235</v>
      </c>
      <c r="K78" s="1702">
        <f t="shared" si="9"/>
        <v>0</v>
      </c>
      <c r="L78" s="533"/>
    </row>
    <row r="79" spans="1:12" ht="13.5" thickTop="1" x14ac:dyDescent="0.2">
      <c r="A79" s="1494" t="s">
        <v>1947</v>
      </c>
      <c r="B79" s="534"/>
      <c r="C79" s="478">
        <v>850008</v>
      </c>
      <c r="D79" s="535">
        <v>31966</v>
      </c>
      <c r="E79" s="535">
        <v>551</v>
      </c>
      <c r="F79" s="535">
        <v>27631</v>
      </c>
      <c r="G79" s="535">
        <v>32389</v>
      </c>
      <c r="H79" s="535"/>
      <c r="I79" s="535">
        <v>103603</v>
      </c>
      <c r="J79" s="535">
        <v>14473</v>
      </c>
      <c r="K79" s="535"/>
      <c r="L79" s="347"/>
    </row>
    <row r="80" spans="1:12" x14ac:dyDescent="0.2">
      <c r="A80" s="2130" t="s">
        <v>1795</v>
      </c>
      <c r="B80" s="2131"/>
      <c r="C80" s="467"/>
      <c r="D80" s="467"/>
      <c r="E80" s="467"/>
      <c r="F80" s="467"/>
      <c r="G80" s="467"/>
      <c r="H80" s="467"/>
      <c r="I80" s="467"/>
      <c r="J80" s="467"/>
      <c r="K80" s="467"/>
      <c r="L80" s="347"/>
    </row>
    <row r="81" spans="1:12" ht="13.5" thickBot="1" x14ac:dyDescent="0.25">
      <c r="A81" s="2122" t="s">
        <v>1948</v>
      </c>
      <c r="B81" s="2123"/>
      <c r="C81" s="1688">
        <f>(SUM(C78:C80))</f>
        <v>875552</v>
      </c>
      <c r="D81" s="1688">
        <f>SUM(D78:D80)</f>
        <v>60805</v>
      </c>
      <c r="E81" s="1688">
        <f t="shared" ref="E81:K81" si="10">SUM(E78:E80)</f>
        <v>960</v>
      </c>
      <c r="F81" s="1688">
        <f t="shared" si="10"/>
        <v>27904</v>
      </c>
      <c r="G81" s="1688">
        <f t="shared" si="10"/>
        <v>33242</v>
      </c>
      <c r="H81" s="1688">
        <f t="shared" si="10"/>
        <v>0</v>
      </c>
      <c r="I81" s="1688">
        <f t="shared" si="10"/>
        <v>109966</v>
      </c>
      <c r="J81" s="1688">
        <f t="shared" si="10"/>
        <v>21708</v>
      </c>
      <c r="K81" s="1688">
        <f t="shared" si="10"/>
        <v>0</v>
      </c>
      <c r="L81" s="347"/>
    </row>
    <row r="82" spans="1:12" ht="0.75" customHeight="1" thickTop="1" thickBot="1" x14ac:dyDescent="0.25">
      <c r="A82" s="536" t="s">
        <v>343</v>
      </c>
      <c r="B82" s="537"/>
      <c r="C82" s="538">
        <f>(C81-C79)</f>
        <v>25544</v>
      </c>
      <c r="D82" s="538">
        <f t="shared" ref="D82:K82" si="11">(D81-D79)</f>
        <v>28839</v>
      </c>
      <c r="E82" s="538">
        <f t="shared" si="11"/>
        <v>409</v>
      </c>
      <c r="F82" s="538">
        <f t="shared" si="11"/>
        <v>273</v>
      </c>
      <c r="G82" s="538">
        <f t="shared" si="11"/>
        <v>853</v>
      </c>
      <c r="H82" s="538">
        <f t="shared" si="11"/>
        <v>0</v>
      </c>
      <c r="I82" s="538">
        <f t="shared" si="11"/>
        <v>6363</v>
      </c>
      <c r="J82" s="538">
        <f t="shared" si="11"/>
        <v>7235</v>
      </c>
      <c r="K82" s="538">
        <f t="shared" si="11"/>
        <v>0</v>
      </c>
    </row>
    <row r="83" spans="1:12" ht="14.25" hidden="1" thickTop="1" thickBot="1" x14ac:dyDescent="0.25">
      <c r="A83" s="539" t="s">
        <v>344</v>
      </c>
      <c r="B83" s="464"/>
      <c r="C83" s="540">
        <f>C82/C81</f>
        <v>2.917473776543255E-2</v>
      </c>
      <c r="D83" s="540">
        <f t="shared" ref="D83:K83" si="12">D82/D81</f>
        <v>0.47428665405805442</v>
      </c>
      <c r="E83" s="540">
        <f t="shared" si="12"/>
        <v>0.42604166666666665</v>
      </c>
      <c r="F83" s="540">
        <f t="shared" si="12"/>
        <v>9.7835435779816508E-3</v>
      </c>
      <c r="G83" s="540">
        <f t="shared" si="12"/>
        <v>2.5660309247337705E-2</v>
      </c>
      <c r="H83" s="540" t="e">
        <f t="shared" si="12"/>
        <v>#DIV/0!</v>
      </c>
      <c r="I83" s="540">
        <f t="shared" si="12"/>
        <v>5.7863339577687647E-2</v>
      </c>
      <c r="J83" s="540">
        <f t="shared" si="12"/>
        <v>0.33328726736686937</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93" activePane="bottomLeft" state="frozen"/>
      <selection pane="bottomLeft" activeCell="C96" sqref="C9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1802</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202927</v>
      </c>
      <c r="D5" s="481">
        <v>49725</v>
      </c>
      <c r="E5" s="466">
        <v>79356</v>
      </c>
      <c r="F5" s="548">
        <v>22234</v>
      </c>
      <c r="G5" s="466">
        <v>30669</v>
      </c>
      <c r="H5" s="466"/>
      <c r="I5" s="466">
        <v>4726</v>
      </c>
      <c r="J5" s="467">
        <v>23149</v>
      </c>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v>2962</v>
      </c>
      <c r="D7" s="466"/>
      <c r="E7" s="468"/>
      <c r="F7" s="467"/>
      <c r="G7" s="467"/>
      <c r="H7" s="467"/>
      <c r="I7" s="468"/>
      <c r="J7" s="468"/>
      <c r="K7" s="468"/>
    </row>
    <row r="8" spans="1:12" x14ac:dyDescent="0.2">
      <c r="A8" s="463" t="s">
        <v>413</v>
      </c>
      <c r="B8" s="470">
        <v>1150</v>
      </c>
      <c r="C8" s="475"/>
      <c r="D8" s="475"/>
      <c r="E8" s="477"/>
      <c r="F8" s="477"/>
      <c r="G8" s="481">
        <v>30669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205889</v>
      </c>
      <c r="D12" s="1707">
        <f t="shared" si="0"/>
        <v>49725</v>
      </c>
      <c r="E12" s="1707">
        <f t="shared" si="0"/>
        <v>79356</v>
      </c>
      <c r="F12" s="1707">
        <f t="shared" si="0"/>
        <v>22234</v>
      </c>
      <c r="G12" s="1707">
        <f t="shared" si="0"/>
        <v>61338</v>
      </c>
      <c r="H12" s="1707">
        <f t="shared" si="0"/>
        <v>0</v>
      </c>
      <c r="I12" s="1707">
        <f t="shared" si="0"/>
        <v>4726</v>
      </c>
      <c r="J12" s="1707">
        <f t="shared" si="0"/>
        <v>23149</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v>15836</v>
      </c>
      <c r="E16" s="466"/>
      <c r="F16" s="466"/>
      <c r="G16" s="466">
        <v>6000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15836</v>
      </c>
      <c r="E18" s="1710">
        <f t="shared" si="1"/>
        <v>0</v>
      </c>
      <c r="F18" s="1710">
        <f t="shared" si="1"/>
        <v>0</v>
      </c>
      <c r="G18" s="1710">
        <f t="shared" si="1"/>
        <v>6000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1419</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1419</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13812</v>
      </c>
      <c r="D65" s="466">
        <v>412</v>
      </c>
      <c r="E65" s="466">
        <v>376</v>
      </c>
      <c r="F65" s="467">
        <v>376</v>
      </c>
      <c r="G65" s="466">
        <v>669</v>
      </c>
      <c r="H65" s="466"/>
      <c r="I65" s="466">
        <v>1637</v>
      </c>
      <c r="J65" s="467">
        <v>280</v>
      </c>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13812</v>
      </c>
      <c r="D67" s="1688">
        <f t="shared" ref="D67:K67" si="2">SUM(D65:D66)</f>
        <v>412</v>
      </c>
      <c r="E67" s="1688">
        <f t="shared" si="2"/>
        <v>376</v>
      </c>
      <c r="F67" s="1688">
        <f t="shared" si="2"/>
        <v>376</v>
      </c>
      <c r="G67" s="1688">
        <f t="shared" si="2"/>
        <v>669</v>
      </c>
      <c r="H67" s="1688">
        <f t="shared" si="2"/>
        <v>0</v>
      </c>
      <c r="I67" s="1688">
        <f t="shared" si="2"/>
        <v>1637</v>
      </c>
      <c r="J67" s="1688">
        <f t="shared" si="2"/>
        <v>280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318</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1059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1377</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7020</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846</v>
      </c>
      <c r="D81" s="466"/>
      <c r="E81" s="468"/>
      <c r="F81" s="468"/>
      <c r="G81" s="468"/>
      <c r="H81" s="468"/>
      <c r="I81" s="468"/>
      <c r="J81" s="468"/>
      <c r="K81" s="468"/>
    </row>
    <row r="82" spans="1:11" ht="12.75" customHeight="1" thickBot="1" x14ac:dyDescent="0.25">
      <c r="A82" s="1708" t="s">
        <v>241</v>
      </c>
      <c r="B82" s="1709"/>
      <c r="C82" s="1707">
        <f>SUM(C77:C81)</f>
        <v>7866</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3635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3635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653</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21271</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20424</v>
      </c>
      <c r="D107" s="466"/>
      <c r="E107" s="466"/>
      <c r="F107" s="466"/>
      <c r="G107" s="466"/>
      <c r="H107" s="466"/>
      <c r="I107" s="466"/>
      <c r="J107" s="467"/>
      <c r="K107" s="466"/>
    </row>
    <row r="108" spans="1:12" ht="12.75" customHeight="1" thickBot="1" x14ac:dyDescent="0.25">
      <c r="A108" s="1708" t="s">
        <v>487</v>
      </c>
      <c r="B108" s="1712"/>
      <c r="C108" s="1707">
        <f>SUM(C95:C107)</f>
        <v>42348</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276346</v>
      </c>
      <c r="D109" s="1715">
        <f t="shared" si="4"/>
        <v>65973</v>
      </c>
      <c r="E109" s="1715">
        <f t="shared" si="4"/>
        <v>79732</v>
      </c>
      <c r="F109" s="1715">
        <f t="shared" si="4"/>
        <v>22610</v>
      </c>
      <c r="G109" s="1715">
        <f t="shared" si="4"/>
        <v>68007</v>
      </c>
      <c r="H109" s="1715">
        <f t="shared" si="4"/>
        <v>0</v>
      </c>
      <c r="I109" s="1715">
        <f t="shared" si="4"/>
        <v>6363</v>
      </c>
      <c r="J109" s="1715">
        <f t="shared" si="4"/>
        <v>23429</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1301221</v>
      </c>
      <c r="D117" s="481">
        <v>154000</v>
      </c>
      <c r="E117" s="466"/>
      <c r="F117" s="481">
        <v>31000</v>
      </c>
      <c r="G117" s="481">
        <v>21000</v>
      </c>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9"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1301221</v>
      </c>
      <c r="D122" s="1707">
        <f t="shared" si="5"/>
        <v>154000</v>
      </c>
      <c r="E122" s="1707">
        <f t="shared" si="5"/>
        <v>0</v>
      </c>
      <c r="F122" s="1707">
        <f t="shared" si="5"/>
        <v>31000</v>
      </c>
      <c r="G122" s="1707">
        <f t="shared" si="5"/>
        <v>21000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28297</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28297</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2176</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14125</v>
      </c>
      <c r="G152" s="467"/>
      <c r="H152" s="468"/>
      <c r="I152" s="468"/>
      <c r="J152" s="468"/>
      <c r="K152" s="468"/>
    </row>
    <row r="153" spans="1:11" ht="12.75" customHeight="1" x14ac:dyDescent="0.2">
      <c r="A153" s="463" t="s">
        <v>1057</v>
      </c>
      <c r="B153" s="562">
        <v>3510</v>
      </c>
      <c r="C153" s="551"/>
      <c r="D153" s="466"/>
      <c r="E153" s="561"/>
      <c r="F153" s="466">
        <v>11384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25509</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6" t="s">
        <v>398</v>
      </c>
      <c r="B169" s="2147"/>
      <c r="C169" s="1722">
        <f t="shared" ref="C169:K169" si="6">SUM(C132,C141,C145,C146:C150,C155,C156:C167,C168)</f>
        <v>30473</v>
      </c>
      <c r="D169" s="1722">
        <f t="shared" si="6"/>
        <v>0</v>
      </c>
      <c r="E169" s="1722">
        <f t="shared" si="6"/>
        <v>0</v>
      </c>
      <c r="F169" s="1722">
        <f t="shared" si="6"/>
        <v>25509</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1331694</v>
      </c>
      <c r="D170" s="1715">
        <f t="shared" si="7"/>
        <v>154000</v>
      </c>
      <c r="E170" s="1715">
        <f t="shared" si="7"/>
        <v>0</v>
      </c>
      <c r="F170" s="1715">
        <f t="shared" si="7"/>
        <v>56509</v>
      </c>
      <c r="G170" s="1715">
        <f t="shared" si="7"/>
        <v>21000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4" t="s">
        <v>785</v>
      </c>
      <c r="B181" s="215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1803</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v>25616</v>
      </c>
      <c r="D187" s="466"/>
      <c r="E187" s="561"/>
      <c r="F187" s="466"/>
      <c r="G187" s="466"/>
      <c r="H187" s="468"/>
      <c r="I187" s="468"/>
      <c r="J187" s="468"/>
      <c r="K187" s="468"/>
    </row>
    <row r="188" spans="1:11" ht="12.75" customHeight="1" thickBot="1" x14ac:dyDescent="0.25">
      <c r="A188" s="1708" t="s">
        <v>1607</v>
      </c>
      <c r="B188" s="1709"/>
      <c r="C188" s="1707">
        <f>SUM(C184:C187)</f>
        <v>25616</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71770</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30876</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v>36491</v>
      </c>
      <c r="D197" s="468"/>
      <c r="E197" s="561"/>
      <c r="F197" s="468"/>
      <c r="G197" s="585"/>
      <c r="H197" s="468"/>
      <c r="I197" s="468"/>
      <c r="J197" s="468"/>
      <c r="K197" s="468"/>
    </row>
    <row r="198" spans="1:11" ht="12.75" customHeight="1" thickBot="1" x14ac:dyDescent="0.25">
      <c r="A198" s="1708" t="s">
        <v>548</v>
      </c>
      <c r="B198" s="1709"/>
      <c r="C198" s="1688">
        <f>SUM(C190:C197)</f>
        <v>139137</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75706</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75706</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76934</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76934</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9613</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9" t="s">
        <v>1935</v>
      </c>
      <c r="B261" s="470">
        <v>4981</v>
      </c>
      <c r="C261" s="575"/>
      <c r="D261" s="576"/>
      <c r="E261" s="468"/>
      <c r="F261" s="576"/>
      <c r="G261" s="576"/>
      <c r="H261" s="468"/>
      <c r="I261" s="468"/>
      <c r="J261" s="468"/>
      <c r="K261" s="468"/>
    </row>
    <row r="262" spans="1:11" ht="12.75" customHeight="1" thickTop="1" thickBot="1" x14ac:dyDescent="0.25">
      <c r="A262" s="1930"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7896</v>
      </c>
      <c r="D263" s="576"/>
      <c r="E263" s="468"/>
      <c r="F263" s="576"/>
      <c r="G263" s="576"/>
      <c r="H263" s="468"/>
      <c r="I263" s="468"/>
      <c r="J263" s="468"/>
      <c r="K263" s="468"/>
    </row>
    <row r="264" spans="1:11" ht="12.75" customHeight="1" thickTop="1" thickBot="1" x14ac:dyDescent="0.25">
      <c r="A264" s="463" t="s">
        <v>377</v>
      </c>
      <c r="B264" s="470">
        <v>4992</v>
      </c>
      <c r="C264" s="575">
        <v>4216</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339118</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339118</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1947158</v>
      </c>
      <c r="D268" s="1715">
        <f t="shared" si="12"/>
        <v>219973</v>
      </c>
      <c r="E268" s="1715">
        <f t="shared" si="12"/>
        <v>79732</v>
      </c>
      <c r="F268" s="1715">
        <f t="shared" si="12"/>
        <v>79119</v>
      </c>
      <c r="G268" s="1715">
        <f t="shared" si="12"/>
        <v>89007</v>
      </c>
      <c r="H268" s="1715">
        <f t="shared" si="12"/>
        <v>0</v>
      </c>
      <c r="I268" s="1715">
        <f t="shared" si="12"/>
        <v>6363</v>
      </c>
      <c r="J268" s="1715">
        <f t="shared" si="12"/>
        <v>23429</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78" activePane="bottomLeft" state="frozen"/>
      <selection pane="bottomLeft" activeCell="E102" sqref="E10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4" t="s">
        <v>297</v>
      </c>
      <c r="B3" s="2165"/>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569992</v>
      </c>
      <c r="D5" s="466">
        <v>64690</v>
      </c>
      <c r="E5" s="466">
        <v>24881</v>
      </c>
      <c r="F5" s="466">
        <v>34700</v>
      </c>
      <c r="G5" s="466">
        <v>17662</v>
      </c>
      <c r="H5" s="466"/>
      <c r="I5" s="467"/>
      <c r="J5" s="467"/>
      <c r="K5" s="1671">
        <f>SUM(C5:J5)</f>
        <v>711925</v>
      </c>
      <c r="L5" s="466">
        <v>712186</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182348</v>
      </c>
      <c r="D8" s="466">
        <v>25339</v>
      </c>
      <c r="E8" s="466">
        <v>1598</v>
      </c>
      <c r="F8" s="466">
        <v>836</v>
      </c>
      <c r="G8" s="466"/>
      <c r="H8" s="466"/>
      <c r="I8" s="467"/>
      <c r="J8" s="467"/>
      <c r="K8" s="1671">
        <f t="shared" si="0"/>
        <v>210121</v>
      </c>
      <c r="L8" s="466">
        <v>210118</v>
      </c>
    </row>
    <row r="9" spans="1:14" x14ac:dyDescent="0.2">
      <c r="A9" s="1504" t="s">
        <v>721</v>
      </c>
      <c r="B9" s="614" t="s">
        <v>968</v>
      </c>
      <c r="C9" s="467">
        <v>51448</v>
      </c>
      <c r="D9" s="467">
        <v>15142</v>
      </c>
      <c r="E9" s="467"/>
      <c r="F9" s="467"/>
      <c r="G9" s="467"/>
      <c r="H9" s="467"/>
      <c r="I9" s="467"/>
      <c r="J9" s="467"/>
      <c r="K9" s="1671">
        <f t="shared" si="0"/>
        <v>66590</v>
      </c>
      <c r="L9" s="466">
        <v>66586</v>
      </c>
    </row>
    <row r="10" spans="1:14" x14ac:dyDescent="0.2">
      <c r="A10" s="1504" t="s">
        <v>722</v>
      </c>
      <c r="B10" s="614">
        <v>1250</v>
      </c>
      <c r="C10" s="466">
        <v>46136</v>
      </c>
      <c r="D10" s="466">
        <v>7543</v>
      </c>
      <c r="E10" s="466">
        <v>1041</v>
      </c>
      <c r="F10" s="466">
        <v>17111</v>
      </c>
      <c r="G10" s="466">
        <v>6012</v>
      </c>
      <c r="H10" s="466"/>
      <c r="I10" s="467"/>
      <c r="J10" s="467"/>
      <c r="K10" s="1671">
        <f t="shared" si="0"/>
        <v>77843</v>
      </c>
      <c r="L10" s="466">
        <v>77838</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28882</v>
      </c>
      <c r="D14" s="466">
        <v>238</v>
      </c>
      <c r="E14" s="466">
        <v>5530</v>
      </c>
      <c r="F14" s="466">
        <v>4914</v>
      </c>
      <c r="G14" s="466"/>
      <c r="H14" s="466">
        <v>3112</v>
      </c>
      <c r="I14" s="467"/>
      <c r="J14" s="467"/>
      <c r="K14" s="1671">
        <f t="shared" si="0"/>
        <v>42676</v>
      </c>
      <c r="L14" s="466">
        <v>42676</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v>17169</v>
      </c>
      <c r="I22" s="616"/>
      <c r="J22" s="477"/>
      <c r="K22" s="1671">
        <f t="shared" si="0"/>
        <v>17169</v>
      </c>
      <c r="L22" s="471">
        <v>17169</v>
      </c>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878806</v>
      </c>
      <c r="D33" s="1670">
        <f t="shared" ref="D33:L33" si="1">SUM(D5:D32)</f>
        <v>112952</v>
      </c>
      <c r="E33" s="1670">
        <f t="shared" si="1"/>
        <v>33050</v>
      </c>
      <c r="F33" s="1670">
        <f t="shared" si="1"/>
        <v>57561</v>
      </c>
      <c r="G33" s="1670">
        <f t="shared" si="1"/>
        <v>23674</v>
      </c>
      <c r="H33" s="1670">
        <f t="shared" si="1"/>
        <v>20281</v>
      </c>
      <c r="I33" s="1670">
        <f t="shared" si="1"/>
        <v>0</v>
      </c>
      <c r="J33" s="1670">
        <f t="shared" si="1"/>
        <v>0</v>
      </c>
      <c r="K33" s="1670">
        <f t="shared" si="1"/>
        <v>1126324</v>
      </c>
      <c r="L33" s="1670">
        <f t="shared" si="1"/>
        <v>1126573</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13886</v>
      </c>
      <c r="D36" s="481">
        <v>49</v>
      </c>
      <c r="E36" s="481"/>
      <c r="F36" s="481"/>
      <c r="G36" s="481"/>
      <c r="H36" s="481"/>
      <c r="I36" s="467"/>
      <c r="J36" s="467"/>
      <c r="K36" s="1671">
        <f t="shared" ref="K36:K41" si="2">SUM(C36:J36)</f>
        <v>13935</v>
      </c>
      <c r="L36" s="466">
        <v>13935</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c r="D38" s="466"/>
      <c r="E38" s="466">
        <v>1743</v>
      </c>
      <c r="F38" s="466"/>
      <c r="G38" s="466"/>
      <c r="H38" s="466"/>
      <c r="I38" s="467"/>
      <c r="J38" s="467"/>
      <c r="K38" s="1671">
        <f t="shared" si="2"/>
        <v>1743</v>
      </c>
      <c r="L38" s="466">
        <v>1743</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49225</v>
      </c>
      <c r="D40" s="466">
        <v>5906</v>
      </c>
      <c r="E40" s="466">
        <v>7950</v>
      </c>
      <c r="F40" s="466">
        <v>821</v>
      </c>
      <c r="G40" s="466"/>
      <c r="H40" s="466"/>
      <c r="I40" s="467"/>
      <c r="J40" s="467"/>
      <c r="K40" s="1671">
        <f t="shared" si="2"/>
        <v>63902</v>
      </c>
      <c r="L40" s="466">
        <v>63901</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63111</v>
      </c>
      <c r="D42" s="1670">
        <f t="shared" ref="D42:L42" si="3">SUM(D36:D41)</f>
        <v>5955</v>
      </c>
      <c r="E42" s="1670">
        <f t="shared" si="3"/>
        <v>9693</v>
      </c>
      <c r="F42" s="1670">
        <f t="shared" si="3"/>
        <v>821</v>
      </c>
      <c r="G42" s="1670">
        <f t="shared" si="3"/>
        <v>0</v>
      </c>
      <c r="H42" s="1670">
        <f t="shared" si="3"/>
        <v>0</v>
      </c>
      <c r="I42" s="1670">
        <f t="shared" si="3"/>
        <v>0</v>
      </c>
      <c r="J42" s="1670">
        <f t="shared" si="3"/>
        <v>0</v>
      </c>
      <c r="K42" s="1670">
        <f t="shared" si="3"/>
        <v>79580</v>
      </c>
      <c r="L42" s="1670">
        <f t="shared" si="3"/>
        <v>79579</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v>126</v>
      </c>
      <c r="E44" s="481">
        <v>13810</v>
      </c>
      <c r="F44" s="481"/>
      <c r="G44" s="481"/>
      <c r="H44" s="481"/>
      <c r="I44" s="467"/>
      <c r="J44" s="467"/>
      <c r="K44" s="1672">
        <f>SUM(C44:J44)</f>
        <v>13936</v>
      </c>
      <c r="L44" s="481">
        <v>13935</v>
      </c>
    </row>
    <row r="45" spans="1:14" x14ac:dyDescent="0.2">
      <c r="A45" s="1504" t="s">
        <v>815</v>
      </c>
      <c r="B45" s="614">
        <v>2220</v>
      </c>
      <c r="C45" s="466"/>
      <c r="D45" s="466"/>
      <c r="E45" s="466"/>
      <c r="F45" s="466">
        <v>2911</v>
      </c>
      <c r="G45" s="466">
        <v>5801</v>
      </c>
      <c r="H45" s="466"/>
      <c r="I45" s="467"/>
      <c r="J45" s="467"/>
      <c r="K45" s="1672">
        <f>SUM(C45:J45)</f>
        <v>8712</v>
      </c>
      <c r="L45" s="466">
        <v>8710</v>
      </c>
    </row>
    <row r="46" spans="1:14" x14ac:dyDescent="0.2">
      <c r="A46" s="1504" t="s">
        <v>816</v>
      </c>
      <c r="B46" s="614">
        <v>2230</v>
      </c>
      <c r="C46" s="466"/>
      <c r="D46" s="466"/>
      <c r="E46" s="466">
        <v>68953</v>
      </c>
      <c r="F46" s="466"/>
      <c r="G46" s="466"/>
      <c r="H46" s="466"/>
      <c r="I46" s="467"/>
      <c r="J46" s="467"/>
      <c r="K46" s="1672">
        <f>SUM(C46:J46)</f>
        <v>68953</v>
      </c>
      <c r="L46" s="466">
        <v>68953</v>
      </c>
    </row>
    <row r="47" spans="1:14" ht="12.75" customHeight="1" thickBot="1" x14ac:dyDescent="0.25">
      <c r="A47" s="1668" t="s">
        <v>561</v>
      </c>
      <c r="B47" s="1669" t="s">
        <v>32</v>
      </c>
      <c r="C47" s="1670">
        <f>SUM(C44:C46)</f>
        <v>0</v>
      </c>
      <c r="D47" s="1670">
        <f t="shared" ref="D47:K47" si="4">SUM(D44:D46)</f>
        <v>126</v>
      </c>
      <c r="E47" s="1670">
        <f t="shared" si="4"/>
        <v>82763</v>
      </c>
      <c r="F47" s="1670">
        <f t="shared" si="4"/>
        <v>2911</v>
      </c>
      <c r="G47" s="1670">
        <f t="shared" si="4"/>
        <v>5801</v>
      </c>
      <c r="H47" s="1670">
        <f t="shared" si="4"/>
        <v>0</v>
      </c>
      <c r="I47" s="1670">
        <f t="shared" si="4"/>
        <v>0</v>
      </c>
      <c r="J47" s="1670">
        <f t="shared" si="4"/>
        <v>0</v>
      </c>
      <c r="K47" s="1670">
        <f t="shared" si="4"/>
        <v>91601</v>
      </c>
      <c r="L47" s="1670">
        <f>SUM(L44:L46)</f>
        <v>91598</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2806</v>
      </c>
      <c r="D49" s="481"/>
      <c r="E49" s="481">
        <v>28629</v>
      </c>
      <c r="F49" s="481">
        <v>4639</v>
      </c>
      <c r="G49" s="481"/>
      <c r="H49" s="481">
        <v>2976</v>
      </c>
      <c r="I49" s="467"/>
      <c r="J49" s="467"/>
      <c r="K49" s="1672">
        <f>SUM(C49:J49)</f>
        <v>39050</v>
      </c>
      <c r="L49" s="481">
        <v>39047</v>
      </c>
    </row>
    <row r="50" spans="1:14" x14ac:dyDescent="0.2">
      <c r="A50" s="1504" t="s">
        <v>818</v>
      </c>
      <c r="B50" s="614">
        <v>2320</v>
      </c>
      <c r="C50" s="466">
        <v>64000</v>
      </c>
      <c r="D50" s="466">
        <v>8455</v>
      </c>
      <c r="E50" s="466">
        <v>9782</v>
      </c>
      <c r="F50" s="466">
        <v>671</v>
      </c>
      <c r="G50" s="466"/>
      <c r="H50" s="466"/>
      <c r="I50" s="467"/>
      <c r="J50" s="467"/>
      <c r="K50" s="1672">
        <f>SUM(C50:J50)</f>
        <v>82908</v>
      </c>
      <c r="L50" s="466">
        <v>82906</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66806</v>
      </c>
      <c r="D53" s="1670">
        <f t="shared" ref="D53:L53" si="5">SUM(D49:D52)</f>
        <v>8455</v>
      </c>
      <c r="E53" s="1670">
        <f t="shared" si="5"/>
        <v>38411</v>
      </c>
      <c r="F53" s="1670">
        <f t="shared" si="5"/>
        <v>5310</v>
      </c>
      <c r="G53" s="1670">
        <f t="shared" si="5"/>
        <v>0</v>
      </c>
      <c r="H53" s="1670">
        <f t="shared" si="5"/>
        <v>2976</v>
      </c>
      <c r="I53" s="1670">
        <f t="shared" si="5"/>
        <v>0</v>
      </c>
      <c r="J53" s="1670">
        <f t="shared" si="5"/>
        <v>0</v>
      </c>
      <c r="K53" s="1670">
        <f t="shared" si="5"/>
        <v>121958</v>
      </c>
      <c r="L53" s="1670">
        <f t="shared" si="5"/>
        <v>121953</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123656</v>
      </c>
      <c r="D55" s="481">
        <v>33329</v>
      </c>
      <c r="E55" s="481"/>
      <c r="F55" s="481"/>
      <c r="G55" s="481"/>
      <c r="H55" s="481"/>
      <c r="I55" s="467"/>
      <c r="J55" s="467"/>
      <c r="K55" s="1672">
        <f>SUM(C55:J55)</f>
        <v>156985</v>
      </c>
      <c r="L55" s="481">
        <v>156982</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123656</v>
      </c>
      <c r="D57" s="1674">
        <f t="shared" ref="D57:K57" si="6">SUM(D55:D56)</f>
        <v>33329</v>
      </c>
      <c r="E57" s="1674">
        <f t="shared" si="6"/>
        <v>0</v>
      </c>
      <c r="F57" s="1674">
        <f t="shared" si="6"/>
        <v>0</v>
      </c>
      <c r="G57" s="1674">
        <f t="shared" si="6"/>
        <v>0</v>
      </c>
      <c r="H57" s="1674">
        <f t="shared" si="6"/>
        <v>0</v>
      </c>
      <c r="I57" s="1674">
        <f t="shared" si="6"/>
        <v>0</v>
      </c>
      <c r="J57" s="1674">
        <f t="shared" si="6"/>
        <v>0</v>
      </c>
      <c r="K57" s="1674">
        <f t="shared" si="6"/>
        <v>156985</v>
      </c>
      <c r="L57" s="1670">
        <f>SUM(L55:L56)</f>
        <v>156982</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45900</v>
      </c>
      <c r="D60" s="466">
        <v>5581</v>
      </c>
      <c r="E60" s="466"/>
      <c r="F60" s="466"/>
      <c r="G60" s="466"/>
      <c r="H60" s="466"/>
      <c r="I60" s="467"/>
      <c r="J60" s="467"/>
      <c r="K60" s="1672">
        <f t="shared" si="7"/>
        <v>51481</v>
      </c>
      <c r="L60" s="466">
        <v>51480</v>
      </c>
      <c r="M60" s="609"/>
      <c r="N60" s="609"/>
    </row>
    <row r="61" spans="1:14" s="343" customFormat="1" x14ac:dyDescent="0.2">
      <c r="A61" s="1504" t="s">
        <v>197</v>
      </c>
      <c r="B61" s="614">
        <v>2540</v>
      </c>
      <c r="C61" s="466">
        <v>81560</v>
      </c>
      <c r="D61" s="466">
        <v>10433</v>
      </c>
      <c r="E61" s="466">
        <v>1572</v>
      </c>
      <c r="F61" s="466"/>
      <c r="G61" s="466"/>
      <c r="H61" s="466"/>
      <c r="I61" s="467"/>
      <c r="J61" s="467"/>
      <c r="K61" s="1672">
        <f t="shared" si="7"/>
        <v>93565</v>
      </c>
      <c r="L61" s="466">
        <v>93552</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42467</v>
      </c>
      <c r="D63" s="466">
        <v>5176</v>
      </c>
      <c r="E63" s="466">
        <v>350</v>
      </c>
      <c r="F63" s="466">
        <v>58859</v>
      </c>
      <c r="G63" s="466">
        <v>36491</v>
      </c>
      <c r="H63" s="466"/>
      <c r="I63" s="467"/>
      <c r="J63" s="467"/>
      <c r="K63" s="1672">
        <f t="shared" si="7"/>
        <v>143343</v>
      </c>
      <c r="L63" s="466">
        <v>144382</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169927</v>
      </c>
      <c r="D65" s="1670">
        <f t="shared" ref="D65:L65" si="8">SUM(D59:D64)</f>
        <v>21190</v>
      </c>
      <c r="E65" s="1670">
        <f t="shared" si="8"/>
        <v>1922</v>
      </c>
      <c r="F65" s="1670">
        <f t="shared" si="8"/>
        <v>58859</v>
      </c>
      <c r="G65" s="1670">
        <f t="shared" si="8"/>
        <v>36491</v>
      </c>
      <c r="H65" s="1670">
        <f t="shared" si="8"/>
        <v>0</v>
      </c>
      <c r="I65" s="1670">
        <f t="shared" si="8"/>
        <v>0</v>
      </c>
      <c r="J65" s="1670">
        <f t="shared" si="8"/>
        <v>0</v>
      </c>
      <c r="K65" s="1670">
        <f t="shared" si="8"/>
        <v>288389</v>
      </c>
      <c r="L65" s="1670">
        <f t="shared" si="8"/>
        <v>289414</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423500</v>
      </c>
      <c r="D74" s="1677">
        <f t="shared" ref="D74:K74" si="10">SUM(D42,D47,D53,D57,D65,D72,D73)</f>
        <v>69055</v>
      </c>
      <c r="E74" s="1677">
        <f t="shared" si="10"/>
        <v>132789</v>
      </c>
      <c r="F74" s="1677">
        <f t="shared" si="10"/>
        <v>67901</v>
      </c>
      <c r="G74" s="1677">
        <f t="shared" si="10"/>
        <v>42292</v>
      </c>
      <c r="H74" s="1677">
        <f t="shared" si="10"/>
        <v>2976</v>
      </c>
      <c r="I74" s="1677">
        <f t="shared" si="10"/>
        <v>0</v>
      </c>
      <c r="J74" s="1677">
        <f t="shared" si="10"/>
        <v>0</v>
      </c>
      <c r="K74" s="1677">
        <f t="shared" si="10"/>
        <v>738513</v>
      </c>
      <c r="L74" s="1677">
        <f>SUM(L42,L47,L53,L57,L65,L72,L73)</f>
        <v>739526</v>
      </c>
    </row>
    <row r="75" spans="1:14" s="259" customFormat="1" ht="15.75" customHeight="1" thickTop="1" thickBot="1" x14ac:dyDescent="0.25">
      <c r="A75" s="1610" t="s">
        <v>47</v>
      </c>
      <c r="B75" s="1611" t="s">
        <v>575</v>
      </c>
      <c r="C75" s="573"/>
      <c r="D75" s="573"/>
      <c r="E75" s="573"/>
      <c r="F75" s="573">
        <v>444</v>
      </c>
      <c r="G75" s="573"/>
      <c r="H75" s="573"/>
      <c r="I75" s="531"/>
      <c r="J75" s="531"/>
      <c r="K75" s="1670">
        <f>SUM(C75:J75)</f>
        <v>444</v>
      </c>
      <c r="L75" s="576">
        <v>444</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23184</v>
      </c>
      <c r="F79" s="616"/>
      <c r="G79" s="616"/>
      <c r="H79" s="466"/>
      <c r="I79" s="477"/>
      <c r="J79" s="477"/>
      <c r="K79" s="1671">
        <f t="shared" si="11"/>
        <v>23184</v>
      </c>
      <c r="L79" s="466">
        <v>23184</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v>235</v>
      </c>
      <c r="F83" s="616"/>
      <c r="G83" s="616"/>
      <c r="H83" s="466"/>
      <c r="I83" s="477"/>
      <c r="J83" s="477"/>
      <c r="K83" s="1671">
        <f t="shared" si="11"/>
        <v>235</v>
      </c>
      <c r="L83" s="466">
        <v>234</v>
      </c>
    </row>
    <row r="84" spans="1:12" ht="13.5" thickBot="1" x14ac:dyDescent="0.25">
      <c r="A84" s="1668" t="s">
        <v>1485</v>
      </c>
      <c r="B84" s="1678">
        <v>4100</v>
      </c>
      <c r="C84" s="616"/>
      <c r="D84" s="616"/>
      <c r="E84" s="1670">
        <f>SUM(E78:E83)</f>
        <v>23419</v>
      </c>
      <c r="F84" s="616"/>
      <c r="G84" s="616"/>
      <c r="H84" s="1670">
        <f>SUM(H78:H83)</f>
        <v>0</v>
      </c>
      <c r="I84" s="477"/>
      <c r="J84" s="477"/>
      <c r="K84" s="1670">
        <f>SUM(K78:K83)</f>
        <v>23419</v>
      </c>
      <c r="L84" s="1670">
        <f>SUM(L78:L83)</f>
        <v>23418</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32776</v>
      </c>
      <c r="I86" s="477"/>
      <c r="J86" s="477"/>
      <c r="K86" s="1677">
        <f t="shared" ref="K86:K98" si="12">H86</f>
        <v>32776</v>
      </c>
      <c r="L86" s="530">
        <v>32776</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32776</v>
      </c>
      <c r="I92" s="477"/>
      <c r="J92" s="477"/>
      <c r="K92" s="1677">
        <f t="shared" si="12"/>
        <v>32776</v>
      </c>
      <c r="L92" s="1670">
        <f>SUM(L85:L91)</f>
        <v>32776</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v>138</v>
      </c>
      <c r="F101" s="616"/>
      <c r="G101" s="616"/>
      <c r="H101" s="531"/>
      <c r="I101" s="477"/>
      <c r="J101" s="477"/>
      <c r="K101" s="1679">
        <f>SUM(C101:J101)</f>
        <v>138</v>
      </c>
      <c r="L101" s="530">
        <v>138</v>
      </c>
    </row>
    <row r="102" spans="1:14" ht="12.75" customHeight="1" thickTop="1" thickBot="1" x14ac:dyDescent="0.25">
      <c r="A102" s="1668" t="s">
        <v>1487</v>
      </c>
      <c r="B102" s="1678">
        <v>4000</v>
      </c>
      <c r="C102" s="616"/>
      <c r="D102" s="616"/>
      <c r="E102" s="1677">
        <f>SUM(E84,E92,E100,E101)</f>
        <v>23557</v>
      </c>
      <c r="F102" s="616"/>
      <c r="G102" s="616"/>
      <c r="H102" s="1677">
        <f>SUM(H84,H92,H100,H101)</f>
        <v>32776</v>
      </c>
      <c r="I102" s="477"/>
      <c r="J102" s="477"/>
      <c r="K102" s="1677">
        <f>SUM(K84,K92,K100,K101)</f>
        <v>56333</v>
      </c>
      <c r="L102" s="1677">
        <f>SUM(L84,L92,L100,L101)</f>
        <v>56332</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1302306</v>
      </c>
      <c r="D114" s="1670">
        <f t="shared" ref="D114:K114" si="13">SUM(D33,D74,D75,D102,D112,D113)</f>
        <v>182007</v>
      </c>
      <c r="E114" s="1670">
        <f t="shared" si="13"/>
        <v>189396</v>
      </c>
      <c r="F114" s="1670">
        <f t="shared" si="13"/>
        <v>125906</v>
      </c>
      <c r="G114" s="1670">
        <f t="shared" si="13"/>
        <v>65966</v>
      </c>
      <c r="H114" s="1670">
        <f>SUM(H33,H74,H75,H102,H112,H113)</f>
        <v>56033</v>
      </c>
      <c r="I114" s="1670">
        <f t="shared" si="13"/>
        <v>0</v>
      </c>
      <c r="J114" s="1670">
        <f t="shared" si="13"/>
        <v>0</v>
      </c>
      <c r="K114" s="1670">
        <f t="shared" si="13"/>
        <v>1921614</v>
      </c>
      <c r="L114" s="1670">
        <f>SUM(L33,L74,L75,L102,L112,L113)</f>
        <v>1922875</v>
      </c>
    </row>
    <row r="115" spans="1:14" ht="13.5" thickTop="1" x14ac:dyDescent="0.2">
      <c r="A115" s="2183" t="s">
        <v>996</v>
      </c>
      <c r="B115" s="2184"/>
      <c r="C115" s="618"/>
      <c r="D115" s="618"/>
      <c r="E115" s="618"/>
      <c r="F115" s="618"/>
      <c r="G115" s="618"/>
      <c r="H115" s="618"/>
      <c r="I115" s="618"/>
      <c r="J115" s="618"/>
      <c r="K115" s="1684">
        <f>'Revenues 9-14'!C268-'Expenditures 15-22'!K114</f>
        <v>25544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1" t="s">
        <v>296</v>
      </c>
      <c r="B117" s="2162"/>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v>28512</v>
      </c>
      <c r="F124" s="466">
        <v>66719</v>
      </c>
      <c r="G124" s="466">
        <v>95903</v>
      </c>
      <c r="H124" s="466"/>
      <c r="I124" s="467"/>
      <c r="J124" s="467"/>
      <c r="K124" s="1670">
        <f>SUM(C124:J124)</f>
        <v>191134</v>
      </c>
      <c r="L124" s="466">
        <v>191132</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28512</v>
      </c>
      <c r="F127" s="1670">
        <f t="shared" si="14"/>
        <v>66719</v>
      </c>
      <c r="G127" s="1670">
        <f t="shared" si="14"/>
        <v>95903</v>
      </c>
      <c r="H127" s="1670">
        <f t="shared" si="14"/>
        <v>0</v>
      </c>
      <c r="I127" s="1670">
        <f t="shared" si="14"/>
        <v>0</v>
      </c>
      <c r="J127" s="1670">
        <f t="shared" si="14"/>
        <v>0</v>
      </c>
      <c r="K127" s="1670">
        <f t="shared" si="14"/>
        <v>191134</v>
      </c>
      <c r="L127" s="1670">
        <f t="shared" si="14"/>
        <v>191132</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28512</v>
      </c>
      <c r="F129" s="1677">
        <f t="shared" si="15"/>
        <v>66719</v>
      </c>
      <c r="G129" s="1677">
        <f t="shared" si="15"/>
        <v>95903</v>
      </c>
      <c r="H129" s="1677">
        <f t="shared" si="15"/>
        <v>0</v>
      </c>
      <c r="I129" s="1677">
        <f t="shared" si="15"/>
        <v>0</v>
      </c>
      <c r="J129" s="1677">
        <f t="shared" si="15"/>
        <v>0</v>
      </c>
      <c r="K129" s="1677">
        <f t="shared" si="15"/>
        <v>191134</v>
      </c>
      <c r="L129" s="1677">
        <f t="shared" si="15"/>
        <v>191132</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3" t="s">
        <v>620</v>
      </c>
      <c r="B151" s="2155"/>
      <c r="C151" s="1670">
        <f>SUM(C129,C130,C139,C149,C150)</f>
        <v>0</v>
      </c>
      <c r="D151" s="1670">
        <f t="shared" ref="D151:K151" si="16">SUM(D129,D130,D139,D149,D150)</f>
        <v>0</v>
      </c>
      <c r="E151" s="1670">
        <f t="shared" si="16"/>
        <v>28512</v>
      </c>
      <c r="F151" s="1670">
        <f t="shared" si="16"/>
        <v>66719</v>
      </c>
      <c r="G151" s="1670">
        <f t="shared" si="16"/>
        <v>95903</v>
      </c>
      <c r="H151" s="1670">
        <f t="shared" si="16"/>
        <v>0</v>
      </c>
      <c r="I151" s="1670">
        <f t="shared" si="16"/>
        <v>0</v>
      </c>
      <c r="J151" s="1670">
        <f t="shared" si="16"/>
        <v>0</v>
      </c>
      <c r="K151" s="1670">
        <f t="shared" si="16"/>
        <v>191134</v>
      </c>
      <c r="L151" s="1670">
        <f>SUM(L129,L130,L139,L149,L150)</f>
        <v>191132</v>
      </c>
    </row>
    <row r="152" spans="1:14" ht="12.75" customHeight="1" thickTop="1" x14ac:dyDescent="0.2">
      <c r="A152" s="2176" t="s">
        <v>1178</v>
      </c>
      <c r="B152" s="2177"/>
      <c r="C152" s="618"/>
      <c r="D152" s="618"/>
      <c r="E152" s="618"/>
      <c r="F152" s="618"/>
      <c r="G152" s="618"/>
      <c r="H152" s="618"/>
      <c r="I152" s="618"/>
      <c r="J152" s="616"/>
      <c r="K152" s="1684">
        <f>'Revenues 9-14'!D268-'Expenditures 15-22'!K151</f>
        <v>28839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1" t="s">
        <v>621</v>
      </c>
      <c r="B154" s="216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43823</v>
      </c>
      <c r="I169" s="616"/>
      <c r="J169" s="616"/>
      <c r="K169" s="1671">
        <f>SUM(C169:H169)</f>
        <v>43823</v>
      </c>
      <c r="L169" s="656">
        <v>43823</v>
      </c>
    </row>
    <row r="170" spans="1:14" ht="33.75" customHeight="1" x14ac:dyDescent="0.2">
      <c r="A170" s="669" t="s">
        <v>1670</v>
      </c>
      <c r="B170" s="671" t="s">
        <v>31</v>
      </c>
      <c r="C170" s="616"/>
      <c r="D170" s="616"/>
      <c r="E170" s="616"/>
      <c r="F170" s="616"/>
      <c r="G170" s="616"/>
      <c r="H170" s="569">
        <v>35000</v>
      </c>
      <c r="I170" s="616"/>
      <c r="J170" s="616"/>
      <c r="K170" s="1671">
        <f>SUM(C170:J170)</f>
        <v>35000</v>
      </c>
      <c r="L170" s="569">
        <v>35000</v>
      </c>
    </row>
    <row r="171" spans="1:14" ht="15.75" customHeight="1" x14ac:dyDescent="0.2">
      <c r="A171" s="621" t="s">
        <v>766</v>
      </c>
      <c r="B171" s="672" t="s">
        <v>84</v>
      </c>
      <c r="C171" s="616"/>
      <c r="D171" s="616"/>
      <c r="E171" s="466"/>
      <c r="F171" s="616"/>
      <c r="G171" s="616"/>
      <c r="H171" s="569">
        <v>500</v>
      </c>
      <c r="I171" s="477"/>
      <c r="J171" s="616"/>
      <c r="K171" s="1671">
        <f>SUM(C171:J171)</f>
        <v>500</v>
      </c>
      <c r="L171" s="569">
        <v>500</v>
      </c>
    </row>
    <row r="172" spans="1:14" ht="12.75" customHeight="1" thickBot="1" x14ac:dyDescent="0.25">
      <c r="A172" s="1668" t="s">
        <v>638</v>
      </c>
      <c r="B172" s="1669" t="s">
        <v>492</v>
      </c>
      <c r="C172" s="616"/>
      <c r="D172" s="616"/>
      <c r="E172" s="1677">
        <f>SUM(E168,E169,E170,E171)</f>
        <v>0</v>
      </c>
      <c r="F172" s="616"/>
      <c r="G172" s="616"/>
      <c r="H172" s="1677">
        <f>SUM(H168,H169,H170,H171)</f>
        <v>79323</v>
      </c>
      <c r="I172" s="638"/>
      <c r="J172" s="616"/>
      <c r="K172" s="1677">
        <f>SUM(K168,K169,K170,K171)</f>
        <v>79323</v>
      </c>
      <c r="L172" s="1677">
        <f>SUM(L168,L169,L170,L171)</f>
        <v>79323</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79323</v>
      </c>
      <c r="I174" s="638"/>
      <c r="J174" s="616"/>
      <c r="K174" s="1677">
        <f>SUM(K160,K172,K173)</f>
        <v>79323</v>
      </c>
      <c r="L174" s="1677">
        <f>SUM(L160,L172,L173)</f>
        <v>79323</v>
      </c>
    </row>
    <row r="175" spans="1:14" ht="13.5" thickTop="1" x14ac:dyDescent="0.2">
      <c r="A175" s="2183" t="s">
        <v>996</v>
      </c>
      <c r="B175" s="2184"/>
      <c r="C175" s="616"/>
      <c r="D175" s="616"/>
      <c r="E175" s="616"/>
      <c r="F175" s="616"/>
      <c r="G175" s="616"/>
      <c r="H175" s="618"/>
      <c r="I175" s="616"/>
      <c r="J175" s="616"/>
      <c r="K175" s="1684">
        <f>'Revenues 9-14'!E268-'Expenditures 15-22'!K174</f>
        <v>409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14944</v>
      </c>
      <c r="D182" s="466">
        <v>826</v>
      </c>
      <c r="E182" s="466">
        <v>60831</v>
      </c>
      <c r="F182" s="466">
        <v>2245</v>
      </c>
      <c r="G182" s="466"/>
      <c r="H182" s="466"/>
      <c r="I182" s="467"/>
      <c r="J182" s="467"/>
      <c r="K182" s="1671">
        <f>SUM(C182:J182)</f>
        <v>78846</v>
      </c>
      <c r="L182" s="466">
        <v>78857</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14944</v>
      </c>
      <c r="D184" s="1677">
        <f t="shared" ref="D184:J184" si="17">SUM(D180,D182,D183)</f>
        <v>826</v>
      </c>
      <c r="E184" s="1677">
        <f t="shared" si="17"/>
        <v>60831</v>
      </c>
      <c r="F184" s="1677">
        <f t="shared" si="17"/>
        <v>2245</v>
      </c>
      <c r="G184" s="1677">
        <f t="shared" si="17"/>
        <v>0</v>
      </c>
      <c r="H184" s="1677">
        <f t="shared" si="17"/>
        <v>0</v>
      </c>
      <c r="I184" s="1677">
        <f t="shared" si="17"/>
        <v>0</v>
      </c>
      <c r="J184" s="1677">
        <f t="shared" si="17"/>
        <v>0</v>
      </c>
      <c r="K184" s="1677">
        <f>SUM(K180,K182,K183)</f>
        <v>78846</v>
      </c>
      <c r="L184" s="1677">
        <f>SUM(L180, L182:L183)</f>
        <v>78857</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14944</v>
      </c>
      <c r="D210" s="1670">
        <f>SUM(D184,D185)</f>
        <v>826</v>
      </c>
      <c r="E210" s="1670">
        <f>SUM(E184,E185,E196)</f>
        <v>60831</v>
      </c>
      <c r="F210" s="1670">
        <f>SUM(F184,F185)</f>
        <v>2245</v>
      </c>
      <c r="G210" s="1670">
        <f>SUM(G184,G185)</f>
        <v>0</v>
      </c>
      <c r="H210" s="1670">
        <f>SUM(H184,H185,H196,H208,H209)</f>
        <v>0</v>
      </c>
      <c r="I210" s="1670">
        <f>SUM(I184,I185)</f>
        <v>0</v>
      </c>
      <c r="J210" s="1670">
        <f>SUM(J184,J185)</f>
        <v>0</v>
      </c>
      <c r="K210" s="1671">
        <f>SUM(K184,K185,K196,K208,K209)</f>
        <v>78846</v>
      </c>
      <c r="L210" s="1670">
        <f>SUM(L184,L185,L196,L208,L209)</f>
        <v>78857</v>
      </c>
    </row>
    <row r="211" spans="1:14" ht="13.5" thickTop="1" x14ac:dyDescent="0.2">
      <c r="A211" s="2183" t="s">
        <v>996</v>
      </c>
      <c r="B211" s="2184"/>
      <c r="C211" s="618"/>
      <c r="D211" s="618"/>
      <c r="E211" s="618"/>
      <c r="F211" s="618"/>
      <c r="G211" s="618"/>
      <c r="H211" s="618"/>
      <c r="I211" s="616"/>
      <c r="J211" s="616"/>
      <c r="K211" s="1684">
        <f>'Revenues 9-14'!F268-'Expenditures 15-22'!K210</f>
        <v>273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8" t="s">
        <v>965</v>
      </c>
      <c r="B213" s="2179"/>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8226</v>
      </c>
      <c r="E215" s="616"/>
      <c r="F215" s="616"/>
      <c r="G215" s="616"/>
      <c r="H215" s="616"/>
      <c r="I215" s="616"/>
      <c r="J215" s="616"/>
      <c r="K215" s="1671">
        <f>D215</f>
        <v>8226</v>
      </c>
      <c r="L215" s="466">
        <v>8225</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16692</v>
      </c>
      <c r="E217" s="616"/>
      <c r="F217" s="616"/>
      <c r="G217" s="616"/>
      <c r="H217" s="616"/>
      <c r="I217" s="616"/>
      <c r="J217" s="616"/>
      <c r="K217" s="1671">
        <f t="shared" si="19"/>
        <v>16692</v>
      </c>
      <c r="L217" s="466">
        <v>16692</v>
      </c>
    </row>
    <row r="218" spans="1:14" x14ac:dyDescent="0.2">
      <c r="A218" s="1504" t="s">
        <v>278</v>
      </c>
      <c r="B218" s="614" t="s">
        <v>968</v>
      </c>
      <c r="C218" s="616"/>
      <c r="D218" s="467">
        <v>683</v>
      </c>
      <c r="E218" s="616"/>
      <c r="F218" s="616"/>
      <c r="G218" s="616"/>
      <c r="H218" s="616"/>
      <c r="I218" s="616"/>
      <c r="J218" s="616"/>
      <c r="K218" s="1671">
        <f t="shared" si="19"/>
        <v>683</v>
      </c>
      <c r="L218" s="466">
        <v>683</v>
      </c>
    </row>
    <row r="219" spans="1:14" x14ac:dyDescent="0.2">
      <c r="A219" s="1504" t="s">
        <v>279</v>
      </c>
      <c r="B219" s="614">
        <v>1250</v>
      </c>
      <c r="C219" s="616"/>
      <c r="D219" s="466">
        <v>4045</v>
      </c>
      <c r="E219" s="616"/>
      <c r="F219" s="616"/>
      <c r="G219" s="616"/>
      <c r="H219" s="616"/>
      <c r="I219" s="616"/>
      <c r="J219" s="616"/>
      <c r="K219" s="1671">
        <f t="shared" si="19"/>
        <v>4045</v>
      </c>
      <c r="L219" s="466">
        <v>4044</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2512</v>
      </c>
      <c r="E223" s="616"/>
      <c r="F223" s="616"/>
      <c r="G223" s="616"/>
      <c r="H223" s="616"/>
      <c r="I223" s="616"/>
      <c r="J223" s="616"/>
      <c r="K223" s="1671">
        <f t="shared" si="19"/>
        <v>2512</v>
      </c>
      <c r="L223" s="466">
        <v>2511</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32158</v>
      </c>
      <c r="E229" s="616"/>
      <c r="F229" s="616"/>
      <c r="G229" s="616"/>
      <c r="H229" s="616"/>
      <c r="I229" s="616"/>
      <c r="J229" s="616"/>
      <c r="K229" s="1670">
        <f>SUM(K215:K228)</f>
        <v>32158</v>
      </c>
      <c r="L229" s="1670">
        <f>SUM(L215:L228)</f>
        <v>32155</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200</v>
      </c>
      <c r="E232" s="616"/>
      <c r="F232" s="616"/>
      <c r="G232" s="616"/>
      <c r="H232" s="616"/>
      <c r="I232" s="616"/>
      <c r="J232" s="616"/>
      <c r="K232" s="1671">
        <f t="shared" ref="K232:K237" si="20">D232</f>
        <v>200</v>
      </c>
      <c r="L232" s="466">
        <v>200</v>
      </c>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648</v>
      </c>
      <c r="E236" s="616"/>
      <c r="F236" s="616"/>
      <c r="G236" s="616"/>
      <c r="H236" s="616"/>
      <c r="I236" s="616"/>
      <c r="J236" s="616"/>
      <c r="K236" s="1671">
        <f t="shared" si="20"/>
        <v>648</v>
      </c>
      <c r="L236" s="466">
        <v>648</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848</v>
      </c>
      <c r="E238" s="616"/>
      <c r="F238" s="616"/>
      <c r="G238" s="616"/>
      <c r="H238" s="616"/>
      <c r="I238" s="616"/>
      <c r="J238" s="616"/>
      <c r="K238" s="1670">
        <f>SUM(K232:K237)</f>
        <v>848</v>
      </c>
      <c r="L238" s="1670">
        <f>SUM(L232:L237)</f>
        <v>848</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319</v>
      </c>
      <c r="E245" s="616"/>
      <c r="F245" s="616"/>
      <c r="G245" s="616"/>
      <c r="H245" s="616"/>
      <c r="I245" s="616"/>
      <c r="J245" s="616"/>
      <c r="K245" s="1672">
        <f>D245</f>
        <v>319</v>
      </c>
      <c r="L245" s="481">
        <v>318</v>
      </c>
    </row>
    <row r="246" spans="1:12" x14ac:dyDescent="0.2">
      <c r="A246" s="1504" t="s">
        <v>818</v>
      </c>
      <c r="B246" s="614">
        <v>2320</v>
      </c>
      <c r="C246" s="616"/>
      <c r="D246" s="466">
        <v>906</v>
      </c>
      <c r="E246" s="616"/>
      <c r="F246" s="616"/>
      <c r="G246" s="616"/>
      <c r="H246" s="616"/>
      <c r="I246" s="616"/>
      <c r="J246" s="616"/>
      <c r="K246" s="1672">
        <f t="shared" ref="K246:K256" si="21">D246</f>
        <v>906</v>
      </c>
      <c r="L246" s="466">
        <v>906</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1225</v>
      </c>
      <c r="E257" s="616"/>
      <c r="F257" s="616"/>
      <c r="G257" s="616"/>
      <c r="H257" s="616"/>
      <c r="I257" s="616"/>
      <c r="J257" s="616"/>
      <c r="K257" s="1670">
        <f>SUM(K245:K256)</f>
        <v>1225</v>
      </c>
      <c r="L257" s="1670">
        <f>SUM(L245:L256)</f>
        <v>1224</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10845</v>
      </c>
      <c r="E259" s="616"/>
      <c r="F259" s="616"/>
      <c r="G259" s="616"/>
      <c r="H259" s="616"/>
      <c r="I259" s="616"/>
      <c r="J259" s="616"/>
      <c r="K259" s="1672">
        <f>D259</f>
        <v>10845</v>
      </c>
      <c r="L259" s="481">
        <v>10845</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10845</v>
      </c>
      <c r="E261" s="616"/>
      <c r="F261" s="616"/>
      <c r="G261" s="616"/>
      <c r="H261" s="616"/>
      <c r="I261" s="616"/>
      <c r="J261" s="616"/>
      <c r="K261" s="1670">
        <f>SUM(K259:K260)</f>
        <v>10845</v>
      </c>
      <c r="L261" s="1670">
        <f>SUM(L259:L260)</f>
        <v>10845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11856</v>
      </c>
      <c r="E264" s="616"/>
      <c r="F264" s="616"/>
      <c r="G264" s="616"/>
      <c r="H264" s="616"/>
      <c r="I264" s="616"/>
      <c r="J264" s="616"/>
      <c r="K264" s="1672">
        <f t="shared" ref="K264:K269" si="22">D264</f>
        <v>11856</v>
      </c>
      <c r="L264" s="466">
        <v>11856</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18506</v>
      </c>
      <c r="E266" s="616"/>
      <c r="F266" s="616"/>
      <c r="G266" s="616"/>
      <c r="H266" s="616"/>
      <c r="I266" s="616"/>
      <c r="J266" s="616"/>
      <c r="K266" s="1672">
        <f t="shared" si="22"/>
        <v>18506</v>
      </c>
      <c r="L266" s="466">
        <v>18505</v>
      </c>
    </row>
    <row r="267" spans="1:14" x14ac:dyDescent="0.2">
      <c r="A267" s="1504" t="s">
        <v>953</v>
      </c>
      <c r="B267" s="614">
        <v>2550</v>
      </c>
      <c r="C267" s="616"/>
      <c r="D267" s="466">
        <v>2291</v>
      </c>
      <c r="E267" s="616"/>
      <c r="F267" s="616"/>
      <c r="G267" s="616"/>
      <c r="H267" s="616"/>
      <c r="I267" s="616"/>
      <c r="J267" s="616"/>
      <c r="K267" s="1672">
        <f t="shared" si="22"/>
        <v>2291</v>
      </c>
      <c r="L267" s="466">
        <v>2291</v>
      </c>
    </row>
    <row r="268" spans="1:14" x14ac:dyDescent="0.2">
      <c r="A268" s="1504" t="s">
        <v>100</v>
      </c>
      <c r="B268" s="614">
        <v>2560</v>
      </c>
      <c r="C268" s="616"/>
      <c r="D268" s="466">
        <v>10425</v>
      </c>
      <c r="E268" s="616"/>
      <c r="F268" s="616"/>
      <c r="G268" s="616"/>
      <c r="H268" s="616"/>
      <c r="I268" s="616"/>
      <c r="J268" s="616"/>
      <c r="K268" s="1672">
        <f t="shared" si="22"/>
        <v>10425</v>
      </c>
      <c r="L268" s="466">
        <v>10426</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43078</v>
      </c>
      <c r="E270" s="616"/>
      <c r="F270" s="616"/>
      <c r="G270" s="616"/>
      <c r="H270" s="616"/>
      <c r="I270" s="616"/>
      <c r="J270" s="616"/>
      <c r="K270" s="1670">
        <f>SUM(K263:K269)</f>
        <v>43078</v>
      </c>
      <c r="L270" s="1670">
        <f>SUM(L263:L269)</f>
        <v>43078</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55996</v>
      </c>
      <c r="E279" s="616"/>
      <c r="F279" s="616"/>
      <c r="G279" s="616"/>
      <c r="H279" s="616"/>
      <c r="I279" s="616"/>
      <c r="J279" s="616"/>
      <c r="K279" s="1677">
        <f>SUM(K238,K243,K257,K261,K270,K277,K278)</f>
        <v>55996</v>
      </c>
      <c r="L279" s="1677">
        <f>SUM(L238,L243,L257,L261,L270,L277,L278)</f>
        <v>55995</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4" t="s">
        <v>505</v>
      </c>
      <c r="B295" s="2175"/>
      <c r="C295" s="616"/>
      <c r="D295" s="1670">
        <f>SUM(D229,D279,D280,D285)</f>
        <v>88154</v>
      </c>
      <c r="E295" s="616"/>
      <c r="F295" s="616"/>
      <c r="G295" s="616"/>
      <c r="H295" s="1670">
        <f>H293</f>
        <v>0</v>
      </c>
      <c r="I295" s="616"/>
      <c r="J295" s="616"/>
      <c r="K295" s="1670">
        <f>SUM(K229,K279,K280,K285,K293,K294)</f>
        <v>88154</v>
      </c>
      <c r="L295" s="1670">
        <f>SUM(L229,L279,L280,L285,L293,L294)</f>
        <v>88150</v>
      </c>
    </row>
    <row r="296" spans="1:14" ht="13.5" thickTop="1" x14ac:dyDescent="0.2">
      <c r="A296" s="2183" t="s">
        <v>996</v>
      </c>
      <c r="B296" s="2184"/>
      <c r="C296" s="616"/>
      <c r="D296" s="618"/>
      <c r="E296" s="616"/>
      <c r="F296" s="616"/>
      <c r="G296" s="616"/>
      <c r="H296" s="687"/>
      <c r="I296" s="616"/>
      <c r="J296" s="616"/>
      <c r="K296" s="1684">
        <f>'Revenues 9-14'!G268-'Expenditures 15-22'!K295</f>
        <v>853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6" t="s">
        <v>143</v>
      </c>
      <c r="B298" s="2160"/>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1" t="s">
        <v>277</v>
      </c>
      <c r="B312" s="2172"/>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7" t="s">
        <v>996</v>
      </c>
      <c r="B313" s="2168"/>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0" t="s">
        <v>149</v>
      </c>
      <c r="B315" s="218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2" t="s">
        <v>898</v>
      </c>
      <c r="B317" s="2181"/>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11852</v>
      </c>
      <c r="F320" s="467"/>
      <c r="G320" s="467"/>
      <c r="H320" s="467"/>
      <c r="I320" s="467"/>
      <c r="J320" s="467"/>
      <c r="K320" s="1671">
        <f t="shared" ref="K320:K327" si="24">SUM(C320:J320)</f>
        <v>11852</v>
      </c>
      <c r="L320" s="467">
        <v>11852</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4342</v>
      </c>
      <c r="F322" s="467"/>
      <c r="G322" s="467"/>
      <c r="H322" s="467"/>
      <c r="I322" s="467"/>
      <c r="J322" s="467"/>
      <c r="K322" s="1671">
        <f t="shared" si="24"/>
        <v>4342</v>
      </c>
      <c r="L322" s="467">
        <v>4342</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16194</v>
      </c>
      <c r="F330" s="1670">
        <f t="shared" si="25"/>
        <v>0</v>
      </c>
      <c r="G330" s="1670">
        <f t="shared" si="25"/>
        <v>0</v>
      </c>
      <c r="H330" s="1670">
        <f t="shared" si="25"/>
        <v>0</v>
      </c>
      <c r="I330" s="1670">
        <f t="shared" si="25"/>
        <v>0</v>
      </c>
      <c r="J330" s="1670">
        <f t="shared" si="25"/>
        <v>0</v>
      </c>
      <c r="K330" s="1670">
        <f>SUM(K319:K329)</f>
        <v>16194</v>
      </c>
      <c r="L330" s="1670">
        <f>SUM(L319:L329)</f>
        <v>16194</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16194</v>
      </c>
      <c r="F342" s="1670">
        <f>SUM(F330)</f>
        <v>0</v>
      </c>
      <c r="G342" s="1670">
        <f>SUM(G330)</f>
        <v>0</v>
      </c>
      <c r="H342" s="1670">
        <f>SUM(H330,H334,H340)</f>
        <v>0</v>
      </c>
      <c r="I342" s="1670">
        <f>SUM(I330)</f>
        <v>0</v>
      </c>
      <c r="J342" s="1670">
        <f>SUM(J330)</f>
        <v>0</v>
      </c>
      <c r="K342" s="1670">
        <f>SUM(K330,K334,K340)</f>
        <v>16194</v>
      </c>
      <c r="L342" s="1677">
        <f>SUM(L330,L334,L340,L341)</f>
        <v>16194</v>
      </c>
    </row>
    <row r="343" spans="1:14" ht="12.75" customHeight="1" thickTop="1" x14ac:dyDescent="0.2">
      <c r="A343" s="2169" t="s">
        <v>996</v>
      </c>
      <c r="B343" s="2170"/>
      <c r="C343" s="616"/>
      <c r="D343" s="616"/>
      <c r="E343" s="616"/>
      <c r="F343" s="616"/>
      <c r="G343" s="616"/>
      <c r="H343" s="616"/>
      <c r="I343" s="616"/>
      <c r="J343" s="616"/>
      <c r="K343" s="1684">
        <f>'Revenues 9-14'!J268-'Expenditures 15-22'!K342</f>
        <v>7235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9" t="s">
        <v>966</v>
      </c>
      <c r="B345" s="2160"/>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3" t="s">
        <v>996</v>
      </c>
      <c r="B368" s="2184"/>
      <c r="C368" s="654"/>
      <c r="D368" s="654"/>
      <c r="E368" s="626"/>
      <c r="F368" s="626"/>
      <c r="G368" s="626"/>
      <c r="H368" s="626"/>
      <c r="I368" s="626"/>
      <c r="J368" s="623"/>
      <c r="K368" s="1671">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185" t="s">
        <v>1802</v>
      </c>
      <c r="B2" s="1528" t="s">
        <v>1949</v>
      </c>
      <c r="C2" s="714" t="s">
        <v>1950</v>
      </c>
      <c r="D2" s="714" t="s">
        <v>1951</v>
      </c>
      <c r="E2" s="714" t="s">
        <v>1952</v>
      </c>
      <c r="F2" s="714" t="s">
        <v>1953</v>
      </c>
    </row>
    <row r="3" spans="1:6" ht="12" customHeight="1" x14ac:dyDescent="0.2">
      <c r="A3" s="2186"/>
      <c r="B3" s="1525"/>
      <c r="C3" s="1526"/>
      <c r="D3" s="1527" t="s">
        <v>256</v>
      </c>
      <c r="E3" s="1526"/>
      <c r="F3" s="1527" t="s">
        <v>257</v>
      </c>
    </row>
    <row r="4" spans="1:6" ht="13.7" customHeight="1" x14ac:dyDescent="0.2">
      <c r="A4" s="715" t="s">
        <v>1155</v>
      </c>
      <c r="B4" s="1749">
        <f>'Revenues 9-14'!C5</f>
        <v>202927</v>
      </c>
      <c r="C4" s="1524"/>
      <c r="D4" s="1752">
        <f>B4-C4</f>
        <v>202927</v>
      </c>
      <c r="E4" s="1524">
        <v>209489</v>
      </c>
      <c r="F4" s="1752">
        <f>E4-C4</f>
        <v>209489</v>
      </c>
    </row>
    <row r="5" spans="1:6" ht="13.7" customHeight="1" x14ac:dyDescent="0.2">
      <c r="A5" s="715" t="s">
        <v>870</v>
      </c>
      <c r="B5" s="1750">
        <f>'Revenues 9-14'!D5</f>
        <v>49725</v>
      </c>
      <c r="C5" s="585"/>
      <c r="D5" s="1753">
        <f t="shared" ref="D5:D18" si="0">B5-C5</f>
        <v>49725</v>
      </c>
      <c r="E5" s="585">
        <v>51335</v>
      </c>
      <c r="F5" s="1753">
        <f>E5-C5</f>
        <v>51335</v>
      </c>
    </row>
    <row r="6" spans="1:6" ht="13.7" customHeight="1" x14ac:dyDescent="0.2">
      <c r="A6" s="715" t="s">
        <v>411</v>
      </c>
      <c r="B6" s="1750">
        <f>'Revenues 9-14'!E5</f>
        <v>79356</v>
      </c>
      <c r="C6" s="585"/>
      <c r="D6" s="1753">
        <f t="shared" si="0"/>
        <v>79356</v>
      </c>
      <c r="E6" s="585">
        <v>76606</v>
      </c>
      <c r="F6" s="1753">
        <f t="shared" ref="F6:F18" si="1">E6-C6</f>
        <v>76606</v>
      </c>
    </row>
    <row r="7" spans="1:6" ht="13.7" customHeight="1" x14ac:dyDescent="0.2">
      <c r="A7" s="715" t="s">
        <v>155</v>
      </c>
      <c r="B7" s="1750">
        <f>'Revenues 9-14'!F5</f>
        <v>22234</v>
      </c>
      <c r="C7" s="585"/>
      <c r="D7" s="1753">
        <f t="shared" si="0"/>
        <v>22234</v>
      </c>
      <c r="E7" s="585">
        <v>22954</v>
      </c>
      <c r="F7" s="1753">
        <f t="shared" si="1"/>
        <v>22954</v>
      </c>
    </row>
    <row r="8" spans="1:6" ht="13.7" customHeight="1" x14ac:dyDescent="0.2">
      <c r="A8" s="715" t="s">
        <v>1179</v>
      </c>
      <c r="B8" s="1750">
        <f>'Revenues 9-14'!G5</f>
        <v>30669</v>
      </c>
      <c r="C8" s="585"/>
      <c r="D8" s="1753">
        <f t="shared" si="0"/>
        <v>30669</v>
      </c>
      <c r="E8" s="585">
        <v>31662</v>
      </c>
      <c r="F8" s="1753">
        <f t="shared" si="1"/>
        <v>31662</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4726</v>
      </c>
      <c r="C10" s="585"/>
      <c r="D10" s="1753">
        <f t="shared" si="0"/>
        <v>4726</v>
      </c>
      <c r="E10" s="585">
        <v>4881</v>
      </c>
      <c r="F10" s="1753">
        <f t="shared" si="1"/>
        <v>4881</v>
      </c>
    </row>
    <row r="11" spans="1:6" x14ac:dyDescent="0.2">
      <c r="A11" s="715" t="s">
        <v>409</v>
      </c>
      <c r="B11" s="1750">
        <f>'Revenues 9-14'!J5</f>
        <v>23149</v>
      </c>
      <c r="C11" s="585"/>
      <c r="D11" s="1753">
        <f t="shared" si="0"/>
        <v>23149</v>
      </c>
      <c r="E11" s="585">
        <v>23898</v>
      </c>
      <c r="F11" s="1753">
        <f t="shared" si="1"/>
        <v>23898</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2962</v>
      </c>
      <c r="C14" s="585"/>
      <c r="D14" s="1753">
        <f t="shared" si="0"/>
        <v>2962</v>
      </c>
      <c r="E14" s="585">
        <v>3058</v>
      </c>
      <c r="F14" s="1753">
        <f t="shared" si="1"/>
        <v>3058</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30669</v>
      </c>
      <c r="C16" s="585"/>
      <c r="D16" s="1753">
        <f t="shared" si="0"/>
        <v>30669</v>
      </c>
      <c r="E16" s="585">
        <v>31662</v>
      </c>
      <c r="F16" s="1753">
        <f t="shared" si="1"/>
        <v>31662</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446417</v>
      </c>
      <c r="C19" s="1751">
        <f>SUM(C4:C18)</f>
        <v>0</v>
      </c>
      <c r="D19" s="1751">
        <f>SUM(D4:D18)</f>
        <v>446417</v>
      </c>
      <c r="E19" s="1751">
        <f>SUM(E4:E18)</f>
        <v>455545</v>
      </c>
      <c r="F19" s="1751">
        <f>SUM(F4:F18)</f>
        <v>455545</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J32" sqref="J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1" t="s">
        <v>629</v>
      </c>
      <c r="B1" s="2192"/>
      <c r="C1" s="721"/>
    </row>
    <row r="2" spans="1:7" ht="33.75" x14ac:dyDescent="0.2">
      <c r="A2" s="2200" t="s">
        <v>1802</v>
      </c>
      <c r="B2" s="2201"/>
      <c r="C2" s="1883" t="s">
        <v>1954</v>
      </c>
      <c r="D2" s="723" t="s">
        <v>1955</v>
      </c>
      <c r="E2" s="723" t="s">
        <v>1956</v>
      </c>
      <c r="F2" s="1883" t="s">
        <v>1957</v>
      </c>
    </row>
    <row r="3" spans="1:7" ht="15.75" customHeight="1" x14ac:dyDescent="0.2">
      <c r="A3" s="2204" t="s">
        <v>1114</v>
      </c>
      <c r="B3" s="2205"/>
      <c r="C3" s="2193"/>
      <c r="D3" s="2194"/>
      <c r="E3" s="2194"/>
      <c r="F3" s="2195"/>
    </row>
    <row r="4" spans="1:7" ht="12.75" customHeight="1" thickBot="1" x14ac:dyDescent="0.25">
      <c r="A4" s="2202" t="s">
        <v>630</v>
      </c>
      <c r="B4" s="2203"/>
      <c r="C4" s="581"/>
      <c r="D4" s="581"/>
      <c r="E4" s="581"/>
      <c r="F4" s="1755">
        <f>SUM(C4+D4)-E4</f>
        <v>0</v>
      </c>
    </row>
    <row r="5" spans="1:7" ht="15.75" customHeight="1" thickTop="1" x14ac:dyDescent="0.2">
      <c r="A5" s="2187" t="s">
        <v>1110</v>
      </c>
      <c r="B5" s="2188"/>
      <c r="C5" s="2196"/>
      <c r="D5" s="2197"/>
      <c r="E5" s="2197"/>
      <c r="F5" s="2198"/>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9" t="s">
        <v>631</v>
      </c>
      <c r="B15" s="2190"/>
      <c r="C15" s="1755">
        <f>SUM(C6:C14)</f>
        <v>0</v>
      </c>
      <c r="D15" s="1755">
        <f>SUM(D6:D14)</f>
        <v>0</v>
      </c>
      <c r="E15" s="1755">
        <f>SUM(E6:E14)</f>
        <v>0</v>
      </c>
      <c r="F15" s="1755">
        <f>SUM(F6:F14)</f>
        <v>0</v>
      </c>
      <c r="G15" s="552"/>
    </row>
    <row r="16" spans="1:7" s="202" customFormat="1" ht="15.75" customHeight="1" thickTop="1" x14ac:dyDescent="0.2">
      <c r="A16" s="2199" t="s">
        <v>1111</v>
      </c>
      <c r="B16" s="2188"/>
      <c r="C16" s="2196"/>
      <c r="D16" s="2197"/>
      <c r="E16" s="2197"/>
      <c r="F16" s="2198"/>
    </row>
    <row r="17" spans="1:11" ht="12.75" customHeight="1" thickBot="1" x14ac:dyDescent="0.25">
      <c r="A17" s="2212" t="s">
        <v>64</v>
      </c>
      <c r="B17" s="2213"/>
      <c r="C17" s="726"/>
      <c r="D17" s="585"/>
      <c r="E17" s="726"/>
      <c r="F17" s="1755">
        <f>SUM(C17+D17)-E17</f>
        <v>0</v>
      </c>
    </row>
    <row r="18" spans="1:11" ht="12.75" customHeight="1" thickTop="1" thickBot="1" x14ac:dyDescent="0.25">
      <c r="A18" s="2212" t="s">
        <v>6</v>
      </c>
      <c r="B18" s="2213"/>
      <c r="C18" s="726"/>
      <c r="D18" s="585"/>
      <c r="E18" s="726"/>
      <c r="F18" s="1755">
        <f>SUM(C18+D18)-E18</f>
        <v>0</v>
      </c>
    </row>
    <row r="19" spans="1:11" ht="12.75" customHeight="1" thickTop="1" thickBot="1" x14ac:dyDescent="0.25">
      <c r="A19" s="2212" t="s">
        <v>388</v>
      </c>
      <c r="B19" s="2213"/>
      <c r="C19" s="726"/>
      <c r="D19" s="585"/>
      <c r="E19" s="726"/>
      <c r="F19" s="1755">
        <f>SUM(C19+D19)-E19</f>
        <v>0</v>
      </c>
    </row>
    <row r="20" spans="1:11" ht="12.75" customHeight="1" thickTop="1" thickBot="1" x14ac:dyDescent="0.25">
      <c r="A20" s="2212" t="s">
        <v>448</v>
      </c>
      <c r="B20" s="2213"/>
      <c r="C20" s="726"/>
      <c r="D20" s="585"/>
      <c r="E20" s="726"/>
      <c r="F20" s="1755">
        <f>SUM(C20+D20)-E20</f>
        <v>0</v>
      </c>
    </row>
    <row r="21" spans="1:11" ht="14.25" thickTop="1" thickBot="1" x14ac:dyDescent="0.25">
      <c r="A21" s="2189" t="s">
        <v>632</v>
      </c>
      <c r="B21" s="2190"/>
      <c r="C21" s="1755">
        <f>SUM(C17:C20)</f>
        <v>0</v>
      </c>
      <c r="D21" s="1755">
        <f>SUM(D17:D20)</f>
        <v>0</v>
      </c>
      <c r="E21" s="1755">
        <f>SUM(E17:E20)</f>
        <v>0</v>
      </c>
      <c r="F21" s="1755">
        <f>SUM(F17:F20)</f>
        <v>0</v>
      </c>
      <c r="G21" s="552"/>
    </row>
    <row r="22" spans="1:11" ht="15.75" customHeight="1" thickTop="1" x14ac:dyDescent="0.2">
      <c r="A22" s="2214" t="s">
        <v>1112</v>
      </c>
      <c r="B22" s="2188"/>
      <c r="C22" s="2196"/>
      <c r="D22" s="2197"/>
      <c r="E22" s="2197"/>
      <c r="F22" s="2198"/>
    </row>
    <row r="23" spans="1:11" ht="13.5" thickBot="1" x14ac:dyDescent="0.25">
      <c r="A23" s="2202" t="s">
        <v>633</v>
      </c>
      <c r="B23" s="2203"/>
      <c r="C23" s="581"/>
      <c r="D23" s="581"/>
      <c r="E23" s="581"/>
      <c r="F23" s="1755">
        <f>SUM(C23+D23)-E23</f>
        <v>0</v>
      </c>
      <c r="G23" s="552"/>
    </row>
    <row r="24" spans="1:11" ht="15.75" customHeight="1" thickTop="1" x14ac:dyDescent="0.2">
      <c r="A24" s="2214" t="s">
        <v>1113</v>
      </c>
      <c r="B24" s="2188"/>
      <c r="C24" s="2196"/>
      <c r="D24" s="2197"/>
      <c r="E24" s="2197"/>
      <c r="F24" s="2198"/>
    </row>
    <row r="25" spans="1:11" ht="13.5" thickBot="1" x14ac:dyDescent="0.25">
      <c r="A25" s="2202" t="s">
        <v>634</v>
      </c>
      <c r="B25" s="2203"/>
      <c r="C25" s="581"/>
      <c r="D25" s="581"/>
      <c r="E25" s="581"/>
      <c r="F25" s="1755">
        <f>SUM(C25+D25)-E25</f>
        <v>0</v>
      </c>
      <c r="G25" s="552"/>
    </row>
    <row r="26" spans="1:11" ht="15.75" customHeight="1" thickTop="1" x14ac:dyDescent="0.2">
      <c r="A26" s="2187" t="s">
        <v>657</v>
      </c>
      <c r="B26" s="2188"/>
      <c r="C26" s="727"/>
      <c r="D26" s="727"/>
      <c r="E26" s="727"/>
      <c r="F26" s="728"/>
    </row>
    <row r="27" spans="1:11" ht="13.5" thickBot="1" x14ac:dyDescent="0.25">
      <c r="A27" s="2189" t="s">
        <v>1070</v>
      </c>
      <c r="B27" s="2190"/>
      <c r="C27" s="585"/>
      <c r="D27" s="585"/>
      <c r="E27" s="585"/>
      <c r="F27" s="1755">
        <f>SUM(C27+D27)-E27</f>
        <v>0</v>
      </c>
      <c r="G27" s="552"/>
    </row>
    <row r="28" spans="1:11" ht="7.5" customHeight="1" thickTop="1" x14ac:dyDescent="0.2">
      <c r="A28" s="593"/>
    </row>
    <row r="29" spans="1:11" ht="23.25" customHeight="1" x14ac:dyDescent="0.2">
      <c r="A29" s="2215" t="s">
        <v>582</v>
      </c>
      <c r="B29" s="2192"/>
      <c r="C29" s="729"/>
      <c r="D29" s="729"/>
      <c r="E29" s="729"/>
      <c r="F29" s="729"/>
      <c r="G29" s="729"/>
      <c r="H29" s="729"/>
      <c r="I29" s="729"/>
      <c r="J29" s="729"/>
    </row>
    <row r="30" spans="1:11" ht="33.75" x14ac:dyDescent="0.2">
      <c r="A30" s="1529" t="s">
        <v>1071</v>
      </c>
      <c r="B30" s="730" t="s">
        <v>1124</v>
      </c>
      <c r="C30" s="1884" t="s">
        <v>583</v>
      </c>
      <c r="D30" s="1884" t="s">
        <v>1673</v>
      </c>
      <c r="E30" s="1884" t="s">
        <v>1958</v>
      </c>
      <c r="F30" s="1884" t="s">
        <v>1959</v>
      </c>
      <c r="G30" s="1884" t="s">
        <v>1910</v>
      </c>
      <c r="H30" s="1884" t="s">
        <v>1960</v>
      </c>
      <c r="I30" s="1884" t="s">
        <v>1961</v>
      </c>
      <c r="J30" s="1885" t="s">
        <v>2</v>
      </c>
      <c r="K30" s="731"/>
    </row>
    <row r="31" spans="1:11" ht="12" customHeight="1" x14ac:dyDescent="0.2">
      <c r="A31" s="732" t="s">
        <v>2083</v>
      </c>
      <c r="B31" s="733">
        <v>40725</v>
      </c>
      <c r="C31" s="734">
        <v>835000</v>
      </c>
      <c r="D31" s="735">
        <v>6</v>
      </c>
      <c r="E31" s="734">
        <v>700000</v>
      </c>
      <c r="F31" s="734"/>
      <c r="G31" s="734"/>
      <c r="H31" s="734">
        <v>35000</v>
      </c>
      <c r="I31" s="1756">
        <f>((E31+F31)-H31)+G31</f>
        <v>665000</v>
      </c>
      <c r="J31" s="734">
        <v>664040</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835000</v>
      </c>
      <c r="D49" s="745"/>
      <c r="E49" s="1756">
        <f t="shared" ref="E49:J49" si="2">SUM(E31:E48)</f>
        <v>700000</v>
      </c>
      <c r="F49" s="1756">
        <f t="shared" si="2"/>
        <v>0</v>
      </c>
      <c r="G49" s="1756">
        <f t="shared" si="2"/>
        <v>0</v>
      </c>
      <c r="H49" s="1756">
        <f t="shared" si="2"/>
        <v>35000</v>
      </c>
      <c r="I49" s="1756">
        <f t="shared" si="2"/>
        <v>665000</v>
      </c>
      <c r="J49" s="1756">
        <f t="shared" si="2"/>
        <v>664040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6" t="s">
        <v>584</v>
      </c>
      <c r="C52" s="2207"/>
      <c r="D52" s="2207"/>
      <c r="E52" s="749" t="s">
        <v>845</v>
      </c>
      <c r="F52" s="2208"/>
      <c r="G52" s="2209"/>
      <c r="H52" s="736"/>
      <c r="I52" s="736"/>
      <c r="J52" s="746"/>
    </row>
    <row r="53" spans="1:11" ht="11.25" customHeight="1" x14ac:dyDescent="0.2">
      <c r="A53" s="750" t="s">
        <v>913</v>
      </c>
      <c r="B53" s="751" t="s">
        <v>951</v>
      </c>
      <c r="C53" s="746"/>
      <c r="D53" s="737"/>
      <c r="E53" s="749" t="s">
        <v>497</v>
      </c>
      <c r="F53" s="2210"/>
      <c r="G53" s="2211"/>
      <c r="H53" s="736"/>
      <c r="I53" s="736"/>
      <c r="J53" s="746"/>
    </row>
    <row r="54" spans="1:11" ht="11.25" customHeight="1" x14ac:dyDescent="0.2">
      <c r="A54" s="752" t="s">
        <v>914</v>
      </c>
      <c r="B54" s="747" t="s">
        <v>952</v>
      </c>
      <c r="C54" s="746"/>
      <c r="D54" s="737"/>
      <c r="E54" s="749" t="s">
        <v>498</v>
      </c>
      <c r="F54" s="2210"/>
      <c r="G54" s="221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31" sqref="H31:K3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0" t="s">
        <v>856</v>
      </c>
      <c r="B1" s="2241"/>
      <c r="C1" s="2241"/>
      <c r="D1" s="2241"/>
      <c r="E1" s="2241"/>
      <c r="F1" s="2241"/>
      <c r="G1" s="2242"/>
      <c r="H1" s="1530"/>
      <c r="I1" s="760"/>
      <c r="J1" s="433"/>
    </row>
    <row r="2" spans="1:11" ht="26.25" x14ac:dyDescent="0.2">
      <c r="A2" s="2219" t="s">
        <v>1677</v>
      </c>
      <c r="B2" s="2220"/>
      <c r="C2" s="2220"/>
      <c r="D2" s="2220"/>
      <c r="E2" s="2221"/>
      <c r="F2" s="761" t="s">
        <v>904</v>
      </c>
      <c r="G2" s="762" t="s">
        <v>1674</v>
      </c>
      <c r="H2" s="762" t="s">
        <v>410</v>
      </c>
      <c r="I2" s="762" t="s">
        <v>1158</v>
      </c>
      <c r="J2" s="762" t="s">
        <v>1812</v>
      </c>
      <c r="K2" s="762" t="s">
        <v>138</v>
      </c>
    </row>
    <row r="3" spans="1:11" x14ac:dyDescent="0.2">
      <c r="A3" s="2222" t="s">
        <v>1962</v>
      </c>
      <c r="B3" s="2223"/>
      <c r="C3" s="2223"/>
      <c r="D3" s="2223"/>
      <c r="E3" s="2224"/>
      <c r="F3" s="763"/>
      <c r="G3" s="764"/>
      <c r="H3" s="764"/>
      <c r="I3" s="764"/>
      <c r="J3" s="765"/>
      <c r="K3" s="765"/>
    </row>
    <row r="4" spans="1:11" x14ac:dyDescent="0.2">
      <c r="A4" s="2225" t="s">
        <v>369</v>
      </c>
      <c r="B4" s="2226"/>
      <c r="C4" s="2226"/>
      <c r="D4" s="2226"/>
      <c r="E4" s="2207"/>
      <c r="F4" s="766"/>
      <c r="G4" s="767"/>
      <c r="H4" s="768"/>
      <c r="I4" s="767"/>
      <c r="J4" s="769"/>
      <c r="K4" s="769"/>
    </row>
    <row r="5" spans="1:11" x14ac:dyDescent="0.2">
      <c r="A5" s="2243" t="s">
        <v>1069</v>
      </c>
      <c r="B5" s="2216"/>
      <c r="C5" s="2216"/>
      <c r="D5" s="2216"/>
      <c r="E5" s="2244"/>
      <c r="F5" s="770" t="s">
        <v>848</v>
      </c>
      <c r="G5" s="771"/>
      <c r="H5" s="764">
        <v>2962</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3" t="s">
        <v>1813</v>
      </c>
      <c r="B10" s="2216"/>
      <c r="C10" s="2216"/>
      <c r="D10" s="2216"/>
      <c r="E10" s="2245"/>
      <c r="F10" s="783" t="s">
        <v>862</v>
      </c>
      <c r="G10" s="782"/>
      <c r="H10" s="784"/>
      <c r="I10" s="764"/>
      <c r="J10" s="765"/>
      <c r="K10" s="765"/>
    </row>
    <row r="11" spans="1:11" x14ac:dyDescent="0.2">
      <c r="A11" s="2243" t="s">
        <v>160</v>
      </c>
      <c r="B11" s="2216"/>
      <c r="C11" s="2216"/>
      <c r="D11" s="2216"/>
      <c r="E11" s="2244"/>
      <c r="F11" s="770" t="s">
        <v>852</v>
      </c>
      <c r="G11" s="771"/>
      <c r="H11" s="764"/>
      <c r="I11" s="764"/>
      <c r="J11" s="765"/>
      <c r="K11" s="773"/>
    </row>
    <row r="12" spans="1:11" ht="13.5" thickBot="1" x14ac:dyDescent="0.25">
      <c r="A12" s="2233" t="s">
        <v>905</v>
      </c>
      <c r="B12" s="2234"/>
      <c r="C12" s="2234"/>
      <c r="D12" s="2234"/>
      <c r="E12" s="2235"/>
      <c r="F12" s="1757"/>
      <c r="G12" s="1758">
        <f>SUM(G5:G11)</f>
        <v>0</v>
      </c>
      <c r="H12" s="1758">
        <f>SUM(H5:H11)</f>
        <v>2962</v>
      </c>
      <c r="I12" s="1758">
        <f>SUM(I5:I11)</f>
        <v>0</v>
      </c>
      <c r="J12" s="1758">
        <f>SUM(J5:J11)</f>
        <v>0</v>
      </c>
      <c r="K12" s="1758">
        <f>SUM(K5:K11)</f>
        <v>0</v>
      </c>
    </row>
    <row r="13" spans="1:11" ht="13.5" thickTop="1" x14ac:dyDescent="0.2">
      <c r="A13" s="2227" t="s">
        <v>370</v>
      </c>
      <c r="B13" s="2228"/>
      <c r="C13" s="2228"/>
      <c r="D13" s="2228"/>
      <c r="E13" s="2229"/>
      <c r="F13" s="785"/>
      <c r="G13" s="786"/>
      <c r="H13" s="787"/>
      <c r="I13" s="788"/>
      <c r="J13" s="788"/>
      <c r="K13" s="788"/>
    </row>
    <row r="14" spans="1:11" x14ac:dyDescent="0.2">
      <c r="A14" s="2249" t="s">
        <v>456</v>
      </c>
      <c r="B14" s="2249"/>
      <c r="C14" s="2249"/>
      <c r="D14" s="2249"/>
      <c r="E14" s="2250"/>
      <c r="F14" s="789" t="s">
        <v>854</v>
      </c>
      <c r="G14" s="782"/>
      <c r="H14" s="764">
        <v>2962</v>
      </c>
      <c r="I14" s="771"/>
      <c r="J14" s="773"/>
      <c r="K14" s="765"/>
    </row>
    <row r="15" spans="1:11" x14ac:dyDescent="0.2">
      <c r="A15" s="2216" t="s">
        <v>4</v>
      </c>
      <c r="B15" s="2216"/>
      <c r="C15" s="2216"/>
      <c r="D15" s="2216"/>
      <c r="E15" s="2244"/>
      <c r="F15" s="789" t="s">
        <v>855</v>
      </c>
      <c r="G15" s="771"/>
      <c r="H15" s="764"/>
      <c r="I15" s="764"/>
      <c r="J15" s="765"/>
      <c r="K15" s="765"/>
    </row>
    <row r="16" spans="1:11" x14ac:dyDescent="0.2">
      <c r="A16" s="2216" t="s">
        <v>298</v>
      </c>
      <c r="B16" s="2216"/>
      <c r="C16" s="2216"/>
      <c r="D16" s="2216"/>
      <c r="E16" s="2244"/>
      <c r="F16" s="789" t="s">
        <v>923</v>
      </c>
      <c r="G16" s="772"/>
      <c r="H16" s="767"/>
      <c r="I16" s="767"/>
      <c r="J16" s="769"/>
      <c r="K16" s="769"/>
    </row>
    <row r="17" spans="1:11" x14ac:dyDescent="0.2">
      <c r="A17" s="2238" t="s">
        <v>935</v>
      </c>
      <c r="B17" s="2238"/>
      <c r="C17" s="2238"/>
      <c r="D17" s="2238"/>
      <c r="E17" s="2239"/>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51" t="s">
        <v>1809</v>
      </c>
      <c r="B19" s="2251"/>
      <c r="C19" s="2251"/>
      <c r="D19" s="2251"/>
      <c r="E19" s="2252"/>
      <c r="F19" s="789" t="s">
        <v>933</v>
      </c>
      <c r="G19" s="782"/>
      <c r="H19" s="782"/>
      <c r="I19" s="782"/>
      <c r="J19" s="765"/>
      <c r="K19" s="795"/>
    </row>
    <row r="20" spans="1:11" x14ac:dyDescent="0.2">
      <c r="A20" s="2230" t="s">
        <v>1814</v>
      </c>
      <c r="B20" s="2231"/>
      <c r="C20" s="2231"/>
      <c r="D20" s="2231"/>
      <c r="E20" s="2232"/>
      <c r="F20" s="789" t="s">
        <v>934</v>
      </c>
      <c r="G20" s="782"/>
      <c r="H20" s="782"/>
      <c r="I20" s="782"/>
      <c r="J20" s="765"/>
      <c r="K20" s="795"/>
    </row>
    <row r="21" spans="1:11" ht="13.5" thickBot="1" x14ac:dyDescent="0.25">
      <c r="A21" s="2236" t="s">
        <v>638</v>
      </c>
      <c r="B21" s="2236"/>
      <c r="C21" s="2236"/>
      <c r="D21" s="2236"/>
      <c r="E21" s="2236"/>
      <c r="F21" s="1759"/>
      <c r="G21" s="792"/>
      <c r="H21" s="796"/>
      <c r="I21" s="796"/>
      <c r="J21" s="1760">
        <f>SUM(J18:J20)</f>
        <v>0</v>
      </c>
      <c r="K21" s="793"/>
    </row>
    <row r="22" spans="1:11" ht="13.5" thickTop="1" x14ac:dyDescent="0.2">
      <c r="A22" s="2216" t="s">
        <v>1815</v>
      </c>
      <c r="B22" s="2216"/>
      <c r="C22" s="2216"/>
      <c r="D22" s="2216"/>
      <c r="E22" s="2244"/>
      <c r="F22" s="789" t="s">
        <v>862</v>
      </c>
      <c r="G22" s="782"/>
      <c r="H22" s="764"/>
      <c r="I22" s="764"/>
      <c r="J22" s="797"/>
      <c r="K22" s="765"/>
    </row>
    <row r="23" spans="1:11" ht="13.5" thickBot="1" x14ac:dyDescent="0.25">
      <c r="A23" s="2237" t="s">
        <v>906</v>
      </c>
      <c r="B23" s="2236"/>
      <c r="C23" s="2236"/>
      <c r="D23" s="2236"/>
      <c r="E23" s="2236"/>
      <c r="F23" s="1761"/>
      <c r="G23" s="1758">
        <f>SUM(G14:G16,G21,G22)</f>
        <v>0</v>
      </c>
      <c r="H23" s="1758">
        <f>SUM(H14:H16,H21,H22)</f>
        <v>2962</v>
      </c>
      <c r="I23" s="1758">
        <f>SUM(I14:I16,I21,I22)</f>
        <v>0</v>
      </c>
      <c r="J23" s="1758">
        <f>SUM(J14:J16,J21,J22)</f>
        <v>0</v>
      </c>
      <c r="K23" s="1758">
        <f>SUM(K14:K16,K21,K22)</f>
        <v>0</v>
      </c>
    </row>
    <row r="24" spans="1:11" ht="14.25" thickTop="1" thickBot="1" x14ac:dyDescent="0.25">
      <c r="A24" s="2237" t="s">
        <v>1963</v>
      </c>
      <c r="B24" s="2236"/>
      <c r="C24" s="2236"/>
      <c r="D24" s="2236"/>
      <c r="E24" s="2236"/>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79" t="s">
        <v>1909</v>
      </c>
      <c r="B28" s="1880"/>
      <c r="C28" s="1880"/>
      <c r="D28" s="1880"/>
      <c r="E28" s="1881"/>
      <c r="F28" s="803"/>
      <c r="G28" s="804"/>
    </row>
    <row r="29" spans="1:11" x14ac:dyDescent="0.2">
      <c r="B29" s="501"/>
      <c r="C29" s="501"/>
      <c r="D29" s="501"/>
      <c r="F29" s="202"/>
      <c r="G29" s="805"/>
    </row>
    <row r="30" spans="1:11" x14ac:dyDescent="0.2">
      <c r="A30" s="806" t="s">
        <v>572</v>
      </c>
      <c r="B30" s="807"/>
      <c r="C30" s="806" t="s">
        <v>383</v>
      </c>
      <c r="D30" s="807" t="s">
        <v>2065</v>
      </c>
      <c r="E30" s="808" t="s">
        <v>768</v>
      </c>
      <c r="F30" s="202"/>
      <c r="G30" s="805"/>
    </row>
    <row r="31" spans="1:11" x14ac:dyDescent="0.2">
      <c r="A31" s="809"/>
      <c r="D31" s="237"/>
      <c r="E31" s="810" t="s">
        <v>769</v>
      </c>
      <c r="F31" s="811" t="s">
        <v>539</v>
      </c>
      <c r="G31" s="764"/>
      <c r="H31" s="2246"/>
      <c r="I31" s="2247"/>
      <c r="J31" s="2247"/>
      <c r="K31" s="2247"/>
    </row>
    <row r="32" spans="1:11" x14ac:dyDescent="0.2">
      <c r="A32" s="809"/>
      <c r="B32" s="237"/>
      <c r="C32" s="237"/>
      <c r="D32" s="237"/>
      <c r="E32" s="805"/>
      <c r="F32" s="811" t="s">
        <v>540</v>
      </c>
      <c r="G32" s="764"/>
      <c r="H32" s="2248"/>
      <c r="I32" s="2247"/>
      <c r="J32" s="2247"/>
      <c r="K32" s="2247"/>
    </row>
    <row r="33" spans="1:11" ht="1.5" customHeight="1" x14ac:dyDescent="0.2">
      <c r="A33" s="812" t="s">
        <v>1169</v>
      </c>
      <c r="B33" s="364"/>
      <c r="C33" s="364"/>
      <c r="D33" s="364"/>
      <c r="E33" s="364"/>
      <c r="F33" s="364"/>
      <c r="G33" s="813"/>
      <c r="H33" s="2248"/>
      <c r="I33" s="2247"/>
      <c r="J33" s="2247"/>
      <c r="K33" s="2247"/>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17"/>
      <c r="C41" s="2217"/>
      <c r="D41" s="2217"/>
      <c r="E41" s="2217"/>
      <c r="F41" s="2218"/>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21" sqref="D2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1908</v>
      </c>
      <c r="B1" s="2256"/>
      <c r="C1" s="2257"/>
      <c r="D1" s="826"/>
      <c r="E1" s="827"/>
      <c r="F1" s="827"/>
      <c r="G1" s="828"/>
      <c r="H1" s="829"/>
      <c r="I1" s="830"/>
      <c r="J1" s="2253"/>
      <c r="K1" s="2254"/>
      <c r="L1" s="2254"/>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3351</v>
      </c>
      <c r="D5" s="841"/>
      <c r="E5" s="841"/>
      <c r="F5" s="1760">
        <f>(C5+D5)-E5</f>
        <v>3351</v>
      </c>
      <c r="G5" s="837"/>
      <c r="H5" s="842"/>
      <c r="I5" s="842"/>
      <c r="J5" s="842"/>
      <c r="K5" s="793"/>
      <c r="L5" s="1769">
        <f>F5-K5</f>
        <v>3351</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2058011</v>
      </c>
      <c r="D8" s="844">
        <v>11356</v>
      </c>
      <c r="E8" s="844"/>
      <c r="F8" s="1760">
        <f>(C8+D8)-E8</f>
        <v>2069367</v>
      </c>
      <c r="G8" s="843">
        <v>50</v>
      </c>
      <c r="H8" s="765">
        <v>802635</v>
      </c>
      <c r="I8" s="765">
        <v>38382</v>
      </c>
      <c r="J8" s="765"/>
      <c r="K8" s="1769">
        <f>(H8+I8)-J8</f>
        <v>841017</v>
      </c>
      <c r="L8" s="1769">
        <f>F8-K8</f>
        <v>1228350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10926</v>
      </c>
      <c r="D10" s="846">
        <v>33390</v>
      </c>
      <c r="E10" s="846"/>
      <c r="F10" s="1764">
        <f>(C10+D10)-E10</f>
        <v>44316</v>
      </c>
      <c r="G10" s="843">
        <v>20</v>
      </c>
      <c r="H10" s="847">
        <v>10926</v>
      </c>
      <c r="I10" s="847"/>
      <c r="J10" s="847"/>
      <c r="K10" s="1769">
        <f>(H10+I10)-J10</f>
        <v>10926</v>
      </c>
      <c r="L10" s="1769">
        <f>F10-K10</f>
        <v>33390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46079</v>
      </c>
      <c r="D12" s="844">
        <v>117123</v>
      </c>
      <c r="E12" s="844">
        <v>500</v>
      </c>
      <c r="F12" s="1760">
        <f>(C12+D12)-E12</f>
        <v>162702</v>
      </c>
      <c r="G12" s="843">
        <v>10</v>
      </c>
      <c r="H12" s="765">
        <v>9334</v>
      </c>
      <c r="I12" s="765">
        <v>10414</v>
      </c>
      <c r="J12" s="765">
        <v>500</v>
      </c>
      <c r="K12" s="1769">
        <f>(H12+I12)-J12</f>
        <v>19248</v>
      </c>
      <c r="L12" s="1769">
        <f>F12-K12</f>
        <v>143454</v>
      </c>
    </row>
    <row r="13" spans="1:14" ht="14.25" thickTop="1" thickBot="1" x14ac:dyDescent="0.25">
      <c r="A13" s="848" t="s">
        <v>1122</v>
      </c>
      <c r="B13" s="840">
        <v>252</v>
      </c>
      <c r="C13" s="844">
        <v>22129</v>
      </c>
      <c r="D13" s="844"/>
      <c r="E13" s="844"/>
      <c r="F13" s="1760">
        <f>(C13+D13)-E13</f>
        <v>22129</v>
      </c>
      <c r="G13" s="843">
        <v>5</v>
      </c>
      <c r="H13" s="765">
        <v>22129</v>
      </c>
      <c r="I13" s="765"/>
      <c r="J13" s="765"/>
      <c r="K13" s="1769">
        <f>(H13+I13)-J13</f>
        <v>22129</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2140496</v>
      </c>
      <c r="D16" s="1760">
        <f>SUM(D3,D5:D6,D8:D10,D12:D15)</f>
        <v>161869</v>
      </c>
      <c r="E16" s="1760">
        <f>SUM(E3,E5:E6,E8:E10,E12:E15)</f>
        <v>500</v>
      </c>
      <c r="F16" s="1760">
        <f>SUM(F3,F5:F6,F8:F10,F12:F15)</f>
        <v>2301865</v>
      </c>
      <c r="G16" s="843"/>
      <c r="H16" s="1760">
        <f>SUM(H3,H6,H8:H10,H12:H14,)</f>
        <v>845024</v>
      </c>
      <c r="I16" s="1760">
        <f>SUM(I3,I6,I8:I10,I12:I14,)</f>
        <v>48796</v>
      </c>
      <c r="J16" s="1760">
        <f>SUM(J3,J6,J8:J10,J12:J14,)</f>
        <v>500</v>
      </c>
      <c r="K16" s="1760">
        <f>(H16+I16)-J16</f>
        <v>893320</v>
      </c>
      <c r="L16" s="1760">
        <f>F16-K16</f>
        <v>1408545</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48796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6" activePane="bottomLeft" state="frozen"/>
      <selection activeCell="A47" sqref="A47"/>
      <selection pane="bottomLeft" activeCell="I80" sqref="I80"/>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1973</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7">
        <f>'Expenditures 15-22'!K114</f>
        <v>1921614</v>
      </c>
      <c r="G8" s="865"/>
    </row>
    <row r="9" spans="1:7" x14ac:dyDescent="0.2">
      <c r="A9" s="869" t="s">
        <v>460</v>
      </c>
      <c r="B9" s="870" t="s">
        <v>1876</v>
      </c>
      <c r="C9" s="871"/>
      <c r="D9" s="869" t="s">
        <v>501</v>
      </c>
      <c r="E9" s="868"/>
      <c r="F9" s="1908">
        <f>'Expenditures 15-22'!K151</f>
        <v>191134</v>
      </c>
      <c r="G9" s="872"/>
    </row>
    <row r="10" spans="1:7" x14ac:dyDescent="0.2">
      <c r="A10" s="869" t="s">
        <v>499</v>
      </c>
      <c r="B10" s="870" t="s">
        <v>1877</v>
      </c>
      <c r="C10" s="871"/>
      <c r="D10" s="869" t="s">
        <v>501</v>
      </c>
      <c r="E10" s="868"/>
      <c r="F10" s="1908">
        <f>'Expenditures 15-22'!K174</f>
        <v>79323</v>
      </c>
      <c r="G10" s="872"/>
    </row>
    <row r="11" spans="1:7" x14ac:dyDescent="0.2">
      <c r="A11" s="869" t="s">
        <v>461</v>
      </c>
      <c r="B11" s="870" t="s">
        <v>1878</v>
      </c>
      <c r="C11" s="871"/>
      <c r="D11" s="869" t="s">
        <v>501</v>
      </c>
      <c r="E11" s="868"/>
      <c r="F11" s="1908">
        <f>'Expenditures 15-22'!K210</f>
        <v>78846</v>
      </c>
      <c r="G11" s="872"/>
    </row>
    <row r="12" spans="1:7" x14ac:dyDescent="0.2">
      <c r="A12" s="869" t="s">
        <v>462</v>
      </c>
      <c r="B12" s="870" t="s">
        <v>1879</v>
      </c>
      <c r="C12" s="871"/>
      <c r="D12" s="869" t="s">
        <v>501</v>
      </c>
      <c r="E12" s="868"/>
      <c r="F12" s="1908">
        <f>'Expenditures 15-22'!K295</f>
        <v>88154</v>
      </c>
      <c r="G12" s="872"/>
    </row>
    <row r="13" spans="1:7" x14ac:dyDescent="0.2">
      <c r="A13" s="869" t="s">
        <v>106</v>
      </c>
      <c r="B13" s="870" t="s">
        <v>1880</v>
      </c>
      <c r="C13" s="871"/>
      <c r="D13" s="869" t="s">
        <v>501</v>
      </c>
      <c r="E13" s="868"/>
      <c r="F13" s="1908">
        <f>'Expenditures 15-22'!K342</f>
        <v>16194</v>
      </c>
      <c r="G13" s="873"/>
    </row>
    <row r="14" spans="1:7" ht="12" customHeight="1" thickBot="1" x14ac:dyDescent="0.25">
      <c r="A14" s="1770"/>
      <c r="B14" s="1771"/>
      <c r="C14" s="1772"/>
      <c r="D14" s="1773" t="s">
        <v>501</v>
      </c>
      <c r="E14" s="1774" t="s">
        <v>958</v>
      </c>
      <c r="F14" s="1775">
        <f>SUM(F8:F13)</f>
        <v>2375265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9">
        <f>'Revenues 9-14'!F43</f>
        <v>0</v>
      </c>
      <c r="G18" s="865"/>
    </row>
    <row r="19" spans="1:7" x14ac:dyDescent="0.2">
      <c r="A19" s="869" t="s">
        <v>461</v>
      </c>
      <c r="B19" s="870" t="s">
        <v>1011</v>
      </c>
      <c r="C19" s="877">
        <f>'Revenues 9-14'!B47</f>
        <v>1421</v>
      </c>
      <c r="D19" s="878" t="str">
        <f>'Revenues 9-14'!A47</f>
        <v>Summer Sch - Transp. Fees from Pupils or Parents (In State)</v>
      </c>
      <c r="E19" s="879"/>
      <c r="F19" s="1910">
        <f>'Revenues 9-14'!F47</f>
        <v>0</v>
      </c>
      <c r="G19" s="865"/>
    </row>
    <row r="20" spans="1:7" x14ac:dyDescent="0.2">
      <c r="A20" s="869" t="s">
        <v>461</v>
      </c>
      <c r="B20" s="870" t="s">
        <v>1012</v>
      </c>
      <c r="C20" s="875">
        <f>'Revenues 9-14'!B48</f>
        <v>1422</v>
      </c>
      <c r="D20" s="876" t="str">
        <f>'Revenues 9-14'!A48</f>
        <v>Summer Sch - Transp. Fees from Other Districts (In State)</v>
      </c>
      <c r="E20" s="868"/>
      <c r="F20" s="1911">
        <f>'Revenues 9-14'!F48</f>
        <v>0</v>
      </c>
      <c r="G20" s="865"/>
    </row>
    <row r="21" spans="1:7" x14ac:dyDescent="0.2">
      <c r="A21" s="869" t="s">
        <v>461</v>
      </c>
      <c r="B21" s="870" t="s">
        <v>1013</v>
      </c>
      <c r="C21" s="877">
        <f>'Revenues 9-14'!B49</f>
        <v>1423</v>
      </c>
      <c r="D21" s="876" t="str">
        <f>'Revenues 9-14'!A49</f>
        <v>Summer Sch - Transp. Fees from Other Sources (In State)</v>
      </c>
      <c r="E21" s="868"/>
      <c r="F21" s="1912">
        <f>'Revenues 9-14'!F49</f>
        <v>0</v>
      </c>
      <c r="G21" s="865"/>
    </row>
    <row r="22" spans="1:7" x14ac:dyDescent="0.2">
      <c r="A22" s="869" t="s">
        <v>461</v>
      </c>
      <c r="B22" s="870" t="s">
        <v>1014</v>
      </c>
      <c r="C22" s="877">
        <f>'Revenues 9-14'!B50</f>
        <v>1424</v>
      </c>
      <c r="D22" s="876" t="str">
        <f>'Revenues 9-14'!A50</f>
        <v>Summer Sch - Transp. Fees from Other Sources (Out of State)</v>
      </c>
      <c r="E22" s="868"/>
      <c r="F22" s="1912">
        <f>'Revenues 9-14'!F50</f>
        <v>0</v>
      </c>
      <c r="G22" s="865"/>
    </row>
    <row r="23" spans="1:7" x14ac:dyDescent="0.2">
      <c r="A23" s="869" t="s">
        <v>461</v>
      </c>
      <c r="B23" s="870" t="s">
        <v>1015</v>
      </c>
      <c r="C23" s="875">
        <f>'Revenues 9-14'!B52</f>
        <v>1432</v>
      </c>
      <c r="D23" s="876" t="str">
        <f>'Revenues 9-14'!A52</f>
        <v>CTE - Transp Fees from Other Districts (In State)</v>
      </c>
      <c r="E23" s="868"/>
      <c r="F23" s="1912">
        <f>'Revenues 9-14'!F52</f>
        <v>0</v>
      </c>
      <c r="G23" s="865"/>
    </row>
    <row r="24" spans="1:7" x14ac:dyDescent="0.2">
      <c r="A24" s="869" t="s">
        <v>461</v>
      </c>
      <c r="B24" s="870" t="s">
        <v>1016</v>
      </c>
      <c r="C24" s="875">
        <f>'Revenues 9-14'!B56</f>
        <v>1442</v>
      </c>
      <c r="D24" s="876" t="str">
        <f>'Revenues 9-14'!A56</f>
        <v>Special Ed - Transp Fees from Other Districts (In State)</v>
      </c>
      <c r="E24" s="868"/>
      <c r="F24" s="1912">
        <f>'Revenues 9-14'!F56</f>
        <v>0</v>
      </c>
      <c r="G24" s="865"/>
    </row>
    <row r="25" spans="1:7" x14ac:dyDescent="0.2">
      <c r="A25" s="869" t="s">
        <v>461</v>
      </c>
      <c r="B25" s="870" t="s">
        <v>1017</v>
      </c>
      <c r="C25" s="875">
        <f>'Revenues 9-14'!B59</f>
        <v>1451</v>
      </c>
      <c r="D25" s="876" t="str">
        <f>'Revenues 9-14'!A59</f>
        <v>Adult - Transp Fees from Pupils or Parents (In State)</v>
      </c>
      <c r="E25" s="868"/>
      <c r="F25" s="1912">
        <f>'Revenues 9-14'!F59</f>
        <v>0</v>
      </c>
      <c r="G25" s="865"/>
    </row>
    <row r="26" spans="1:7" x14ac:dyDescent="0.2">
      <c r="A26" s="869" t="s">
        <v>461</v>
      </c>
      <c r="B26" s="870" t="s">
        <v>1018</v>
      </c>
      <c r="C26" s="875">
        <f>'Revenues 9-14'!B60</f>
        <v>1452</v>
      </c>
      <c r="D26" s="876" t="str">
        <f>'Revenues 9-14'!A60</f>
        <v>Adult - Transp Fees from Other Districts (In State)</v>
      </c>
      <c r="E26" s="868"/>
      <c r="F26" s="1912">
        <f>'Revenues 9-14'!F60</f>
        <v>0</v>
      </c>
      <c r="G26" s="865"/>
    </row>
    <row r="27" spans="1:7" x14ac:dyDescent="0.2">
      <c r="A27" s="869" t="s">
        <v>461</v>
      </c>
      <c r="B27" s="870" t="s">
        <v>1019</v>
      </c>
      <c r="C27" s="875">
        <f>'Revenues 9-14'!B61</f>
        <v>1453</v>
      </c>
      <c r="D27" s="876" t="str">
        <f>'Revenues 9-14'!A61</f>
        <v>Adult - Transp Fees from Other Sources (In State)</v>
      </c>
      <c r="E27" s="868"/>
      <c r="F27" s="1912">
        <f>'Revenues 9-14'!F61</f>
        <v>0</v>
      </c>
      <c r="G27" s="865"/>
    </row>
    <row r="28" spans="1:7" x14ac:dyDescent="0.2">
      <c r="A28" s="869" t="s">
        <v>461</v>
      </c>
      <c r="B28" s="870" t="s">
        <v>1020</v>
      </c>
      <c r="C28" s="875">
        <f>'Revenues 9-14'!B62</f>
        <v>1454</v>
      </c>
      <c r="D28" s="876" t="str">
        <f>'Revenues 9-14'!A62</f>
        <v>Adult - Transp Fees from Other Sources (Out of State)</v>
      </c>
      <c r="E28" s="868"/>
      <c r="F28" s="1912">
        <f>'Revenues 9-14'!F62</f>
        <v>0</v>
      </c>
      <c r="G28" s="865"/>
    </row>
    <row r="29" spans="1:7" x14ac:dyDescent="0.2">
      <c r="A29" s="869" t="s">
        <v>1097</v>
      </c>
      <c r="B29" s="870" t="s">
        <v>810</v>
      </c>
      <c r="C29" s="880">
        <f>'Revenues 9-14'!B149</f>
        <v>3410</v>
      </c>
      <c r="D29" s="881" t="str">
        <f>'Revenues 9-14'!A149</f>
        <v>Adult Ed (from ICCB)</v>
      </c>
      <c r="E29" s="868"/>
      <c r="F29" s="1912">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3">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2">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2">
        <f>SUM('Revenues 9-14'!D212,'Revenues 9-14'!F212)</f>
        <v>0</v>
      </c>
      <c r="G32" s="865"/>
    </row>
    <row r="33" spans="1:7" x14ac:dyDescent="0.2">
      <c r="A33" s="869" t="s">
        <v>460</v>
      </c>
      <c r="B33" s="870" t="s">
        <v>2000</v>
      </c>
      <c r="C33" s="875">
        <f>'Revenues 9-14'!B222</f>
        <v>4810</v>
      </c>
      <c r="D33" s="883" t="str">
        <f>'Revenues 9-14'!A222</f>
        <v>Federal - Adult Education</v>
      </c>
      <c r="E33" s="868"/>
      <c r="F33" s="1912">
        <f>'Revenues 9-14'!D222</f>
        <v>0</v>
      </c>
      <c r="G33" s="865"/>
    </row>
    <row r="34" spans="1:7" x14ac:dyDescent="0.2">
      <c r="A34" s="869" t="s">
        <v>459</v>
      </c>
      <c r="B34" s="869" t="s">
        <v>1469</v>
      </c>
      <c r="C34" s="886" t="str">
        <f>'Expenditures 15-22'!B7</f>
        <v>1125</v>
      </c>
      <c r="D34" s="887" t="str">
        <f>'Expenditures 15-22'!A7</f>
        <v>Pre-K Programs</v>
      </c>
      <c r="E34" s="868"/>
      <c r="F34" s="1912">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2">
        <f>'Expenditures 15-22'!K9-SUM('Expenditures 15-22'!G9+'Expenditures 15-22'!I9)</f>
        <v>66590</v>
      </c>
      <c r="G35" s="865"/>
    </row>
    <row r="36" spans="1:7" x14ac:dyDescent="0.2">
      <c r="A36" s="869" t="s">
        <v>459</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2">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2">
        <f>'Expenditures 15-22'!K20</f>
        <v>0</v>
      </c>
      <c r="G39" s="865"/>
    </row>
    <row r="40" spans="1:7" x14ac:dyDescent="0.2">
      <c r="A40" s="869" t="s">
        <v>459</v>
      </c>
      <c r="B40" s="869" t="s">
        <v>118</v>
      </c>
      <c r="C40" s="886" t="str">
        <f>'Expenditures 15-22'!B21</f>
        <v>1911</v>
      </c>
      <c r="D40" s="888" t="str">
        <f>'Expenditures 15-22'!A21</f>
        <v>Regular K-12 Programs - Private Tuition</v>
      </c>
      <c r="E40" s="868"/>
      <c r="F40" s="1912">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2">
        <f>'Expenditures 15-22'!K22</f>
        <v>17169</v>
      </c>
      <c r="G41" s="865"/>
    </row>
    <row r="42" spans="1:7" x14ac:dyDescent="0.2">
      <c r="A42" s="869" t="s">
        <v>459</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459</v>
      </c>
      <c r="B46" s="869" t="s">
        <v>124</v>
      </c>
      <c r="C46" s="886" t="str">
        <f>'Expenditures 15-22'!B27</f>
        <v>1917</v>
      </c>
      <c r="D46" s="888" t="str">
        <f>'Expenditures 15-22'!A27</f>
        <v>CTE Programs - Private Tuition</v>
      </c>
      <c r="E46" s="868"/>
      <c r="F46" s="1912">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459</v>
      </c>
      <c r="B49" s="869" t="s">
        <v>127</v>
      </c>
      <c r="C49" s="886" t="str">
        <f>'Expenditures 15-22'!B30</f>
        <v>1920</v>
      </c>
      <c r="D49" s="888" t="str">
        <f>'Expenditures 15-22'!A30</f>
        <v>Gifted Programs - Private Tuition</v>
      </c>
      <c r="E49" s="868"/>
      <c r="F49" s="1912">
        <f>'Expenditures 15-22'!K30</f>
        <v>0</v>
      </c>
      <c r="G49" s="865"/>
    </row>
    <row r="50" spans="1:7" x14ac:dyDescent="0.2">
      <c r="A50" s="869" t="s">
        <v>459</v>
      </c>
      <c r="B50" s="869" t="s">
        <v>128</v>
      </c>
      <c r="C50" s="886" t="str">
        <f>'Expenditures 15-22'!B31</f>
        <v>1921</v>
      </c>
      <c r="D50" s="888" t="str">
        <f>'Expenditures 15-22'!A31</f>
        <v>Bilingual Programs - Private Tuition</v>
      </c>
      <c r="E50" s="868"/>
      <c r="F50" s="1912">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2">
        <f>'Expenditures 15-22'!K32</f>
        <v>0</v>
      </c>
      <c r="G51" s="865"/>
    </row>
    <row r="52" spans="1:7" x14ac:dyDescent="0.2">
      <c r="A52" s="869" t="s">
        <v>459</v>
      </c>
      <c r="B52" s="869" t="s">
        <v>1474</v>
      </c>
      <c r="C52" s="889" t="str">
        <f>'Expenditures 15-22'!B75</f>
        <v>3000</v>
      </c>
      <c r="D52" s="888" t="s">
        <v>449</v>
      </c>
      <c r="E52" s="868"/>
      <c r="F52" s="1912">
        <f>'Expenditures 15-22'!K75-SUM('Expenditures 15-22'!G75,'Expenditures 15-22'!I75)</f>
        <v>444</v>
      </c>
      <c r="G52" s="865"/>
    </row>
    <row r="53" spans="1:7" x14ac:dyDescent="0.2">
      <c r="A53" s="869" t="s">
        <v>459</v>
      </c>
      <c r="B53" s="869" t="s">
        <v>1475</v>
      </c>
      <c r="C53" s="889">
        <f>'Expenditures 15-22'!B102</f>
        <v>4000</v>
      </c>
      <c r="D53" s="888" t="str">
        <f>'Expenditures 15-22'!A102</f>
        <v>Total Payments to Other Govt Units</v>
      </c>
      <c r="E53" s="868"/>
      <c r="F53" s="1912">
        <f>'Expenditures 15-22'!K102</f>
        <v>56333</v>
      </c>
      <c r="G53" s="865"/>
    </row>
    <row r="54" spans="1:7" x14ac:dyDescent="0.2">
      <c r="A54" s="869" t="s">
        <v>459</v>
      </c>
      <c r="B54" s="869" t="s">
        <v>1476</v>
      </c>
      <c r="C54" s="889" t="s">
        <v>982</v>
      </c>
      <c r="D54" s="885" t="s">
        <v>1095</v>
      </c>
      <c r="E54" s="868"/>
      <c r="F54" s="1912">
        <f>'Expenditures 15-22'!G114</f>
        <v>65966</v>
      </c>
      <c r="G54" s="865"/>
    </row>
    <row r="55" spans="1:7" x14ac:dyDescent="0.2">
      <c r="A55" s="869" t="s">
        <v>459</v>
      </c>
      <c r="B55" s="869" t="s">
        <v>1477</v>
      </c>
      <c r="C55" s="889" t="s">
        <v>982</v>
      </c>
      <c r="D55" s="885" t="s">
        <v>291</v>
      </c>
      <c r="E55" s="868"/>
      <c r="F55" s="1912">
        <f>'Expenditures 15-22'!I114</f>
        <v>0</v>
      </c>
      <c r="G55" s="865"/>
    </row>
    <row r="56" spans="1:7" x14ac:dyDescent="0.2">
      <c r="A56" s="869" t="s">
        <v>460</v>
      </c>
      <c r="B56" s="869" t="s">
        <v>1478</v>
      </c>
      <c r="C56" s="886" t="str">
        <f>'Expenditures 15-22'!B130</f>
        <v>3000</v>
      </c>
      <c r="D56" s="892" t="s">
        <v>449</v>
      </c>
      <c r="E56" s="868"/>
      <c r="F56" s="1912">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2">
        <f>'Expenditures 15-22'!K139</f>
        <v>0</v>
      </c>
      <c r="G57" s="865"/>
    </row>
    <row r="58" spans="1:7" x14ac:dyDescent="0.2">
      <c r="A58" s="869" t="s">
        <v>460</v>
      </c>
      <c r="B58" s="869" t="s">
        <v>1882</v>
      </c>
      <c r="C58" s="886" t="s">
        <v>982</v>
      </c>
      <c r="D58" s="885" t="s">
        <v>1095</v>
      </c>
      <c r="E58" s="868"/>
      <c r="F58" s="1914">
        <f>'Expenditures 15-22'!G151</f>
        <v>95903</v>
      </c>
      <c r="G58" s="865"/>
    </row>
    <row r="59" spans="1:7" x14ac:dyDescent="0.2">
      <c r="A59" s="893" t="s">
        <v>460</v>
      </c>
      <c r="B59" s="856" t="s">
        <v>1883</v>
      </c>
      <c r="C59" s="894" t="s">
        <v>982</v>
      </c>
      <c r="D59" s="856" t="s">
        <v>291</v>
      </c>
      <c r="F59" s="1915">
        <f>'Expenditures 15-22'!I151</f>
        <v>0</v>
      </c>
      <c r="G59" s="865"/>
    </row>
    <row r="60" spans="1:7" x14ac:dyDescent="0.2">
      <c r="A60" s="893" t="s">
        <v>499</v>
      </c>
      <c r="B60" s="856" t="s">
        <v>1884</v>
      </c>
      <c r="C60" s="894">
        <v>4000</v>
      </c>
      <c r="D60" s="856" t="s">
        <v>312</v>
      </c>
      <c r="F60" s="1913">
        <f>'Expenditures 15-22'!K160</f>
        <v>0</v>
      </c>
      <c r="G60" s="865"/>
    </row>
    <row r="61" spans="1:7" x14ac:dyDescent="0.2">
      <c r="A61" s="895" t="s">
        <v>499</v>
      </c>
      <c r="B61" s="895" t="s">
        <v>1885</v>
      </c>
      <c r="C61" s="896" t="str">
        <f>'Expenditures 15-22'!B170</f>
        <v>5300</v>
      </c>
      <c r="D61" s="897" t="s">
        <v>311</v>
      </c>
      <c r="E61" s="879"/>
      <c r="F61" s="1912">
        <f>'Expenditures 15-22'!K170</f>
        <v>35000</v>
      </c>
      <c r="G61" s="865"/>
    </row>
    <row r="62" spans="1:7" x14ac:dyDescent="0.2">
      <c r="A62" s="869" t="s">
        <v>461</v>
      </c>
      <c r="B62" s="869" t="s">
        <v>1886</v>
      </c>
      <c r="C62" s="886">
        <f>'Expenditures 15-22'!B185</f>
        <v>3000</v>
      </c>
      <c r="D62" s="876" t="s">
        <v>449</v>
      </c>
      <c r="E62" s="868"/>
      <c r="F62" s="1912">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2">
        <f>'Expenditures 15-22'!K196</f>
        <v>0</v>
      </c>
      <c r="G63" s="865"/>
    </row>
    <row r="64" spans="1:7" x14ac:dyDescent="0.2">
      <c r="A64" s="895" t="s">
        <v>461</v>
      </c>
      <c r="B64" s="895" t="s">
        <v>1888</v>
      </c>
      <c r="C64" s="896" t="str">
        <f>'Expenditures 15-22'!B206</f>
        <v>5300</v>
      </c>
      <c r="D64" s="892" t="s">
        <v>311</v>
      </c>
      <c r="E64" s="868"/>
      <c r="F64" s="1912">
        <f>'Expenditures 15-22'!K206</f>
        <v>0</v>
      </c>
      <c r="G64" s="865"/>
    </row>
    <row r="65" spans="1:8" x14ac:dyDescent="0.2">
      <c r="A65" s="869" t="s">
        <v>461</v>
      </c>
      <c r="B65" s="869" t="s">
        <v>1889</v>
      </c>
      <c r="C65" s="886" t="s">
        <v>982</v>
      </c>
      <c r="D65" s="885" t="s">
        <v>1095</v>
      </c>
      <c r="E65" s="868"/>
      <c r="F65" s="1912">
        <f>'Expenditures 15-22'!G210</f>
        <v>0</v>
      </c>
      <c r="G65" s="865"/>
    </row>
    <row r="66" spans="1:8" x14ac:dyDescent="0.2">
      <c r="A66" s="869" t="s">
        <v>461</v>
      </c>
      <c r="B66" s="869" t="s">
        <v>1890</v>
      </c>
      <c r="C66" s="886" t="s">
        <v>982</v>
      </c>
      <c r="D66" s="885" t="s">
        <v>291</v>
      </c>
      <c r="E66" s="868"/>
      <c r="F66" s="1912">
        <f>'Expenditures 15-22'!I210</f>
        <v>0</v>
      </c>
      <c r="G66" s="865"/>
    </row>
    <row r="67" spans="1:8" x14ac:dyDescent="0.2">
      <c r="A67" s="869" t="s">
        <v>462</v>
      </c>
      <c r="B67" s="869" t="s">
        <v>1891</v>
      </c>
      <c r="C67" s="886" t="str">
        <f>'Expenditures 15-22'!B216</f>
        <v>1125</v>
      </c>
      <c r="D67" s="892" t="str">
        <f>'Expenditures 15-22'!A216</f>
        <v>Pre-K Programs</v>
      </c>
      <c r="E67" s="868"/>
      <c r="F67" s="1912">
        <f>'Expenditures 15-22'!K216</f>
        <v>0</v>
      </c>
      <c r="G67" s="865"/>
    </row>
    <row r="68" spans="1:8" x14ac:dyDescent="0.2">
      <c r="A68" s="869" t="s">
        <v>462</v>
      </c>
      <c r="B68" s="869" t="s">
        <v>1479</v>
      </c>
      <c r="C68" s="886" t="str">
        <f>'Expenditures 15-22'!B218</f>
        <v>1225</v>
      </c>
      <c r="D68" s="892" t="str">
        <f>'Expenditures 15-22'!A218</f>
        <v>Special Education Programs - Pre-K</v>
      </c>
      <c r="E68" s="868"/>
      <c r="F68" s="1912">
        <f>'Expenditures 15-22'!K218</f>
        <v>683</v>
      </c>
      <c r="G68" s="865"/>
    </row>
    <row r="69" spans="1:8" x14ac:dyDescent="0.2">
      <c r="A69" s="869" t="s">
        <v>462</v>
      </c>
      <c r="B69" s="869" t="s">
        <v>1892</v>
      </c>
      <c r="C69" s="886" t="str">
        <f>'Expenditures 15-22'!B220</f>
        <v>1275</v>
      </c>
      <c r="D69" s="892" t="str">
        <f>'Expenditures 15-22'!A220</f>
        <v>Remedial and Supplemental Programs - Pre-K</v>
      </c>
      <c r="E69" s="868"/>
      <c r="F69" s="1912">
        <f>'Expenditures 15-22'!K220</f>
        <v>0</v>
      </c>
      <c r="G69" s="865"/>
    </row>
    <row r="70" spans="1:8" x14ac:dyDescent="0.2">
      <c r="A70" s="869" t="s">
        <v>462</v>
      </c>
      <c r="B70" s="869" t="s">
        <v>1893</v>
      </c>
      <c r="C70" s="886">
        <f>'Expenditures 15-22'!B221</f>
        <v>1300</v>
      </c>
      <c r="D70" s="887" t="str">
        <f>'Expenditures 15-22'!A221</f>
        <v>Adult/Continuing Education Programs</v>
      </c>
      <c r="E70" s="868"/>
      <c r="F70" s="1912">
        <f>'Expenditures 15-22'!K221</f>
        <v>0</v>
      </c>
      <c r="G70" s="865"/>
    </row>
    <row r="71" spans="1:8" x14ac:dyDescent="0.2">
      <c r="A71" s="869" t="s">
        <v>462</v>
      </c>
      <c r="B71" s="869" t="s">
        <v>1894</v>
      </c>
      <c r="C71" s="886">
        <f>'Expenditures 15-22'!B224</f>
        <v>1600</v>
      </c>
      <c r="D71" s="887" t="str">
        <f>'Expenditures 15-22'!A224</f>
        <v>Summer School Programs</v>
      </c>
      <c r="E71" s="868"/>
      <c r="F71" s="1912">
        <f>'Expenditures 15-22'!K224</f>
        <v>0</v>
      </c>
      <c r="G71" s="865"/>
    </row>
    <row r="72" spans="1:8" x14ac:dyDescent="0.2">
      <c r="A72" s="869" t="s">
        <v>462</v>
      </c>
      <c r="B72" s="869" t="s">
        <v>1895</v>
      </c>
      <c r="C72" s="886">
        <f>'Expenditures 15-22'!B280</f>
        <v>3000</v>
      </c>
      <c r="D72" s="876" t="s">
        <v>449</v>
      </c>
      <c r="E72" s="868"/>
      <c r="F72" s="1912">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2">
        <f>'Expenditures 15-22'!K285</f>
        <v>0</v>
      </c>
      <c r="G73" s="865"/>
    </row>
    <row r="74" spans="1:8" x14ac:dyDescent="0.2">
      <c r="A74" s="869" t="s">
        <v>436</v>
      </c>
      <c r="B74" s="869" t="s">
        <v>1897</v>
      </c>
      <c r="C74" s="886" t="s">
        <v>860</v>
      </c>
      <c r="D74" s="887" t="s">
        <v>1487</v>
      </c>
      <c r="E74" s="868"/>
      <c r="F74" s="1916">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338088</v>
      </c>
      <c r="G76" s="865"/>
    </row>
    <row r="77" spans="1:8" s="893" customFormat="1" ht="12" customHeight="1" thickTop="1" thickBot="1" x14ac:dyDescent="0.25">
      <c r="A77" s="1779"/>
      <c r="B77" s="1776"/>
      <c r="C77" s="1772"/>
      <c r="D77" s="1777" t="s">
        <v>1899</v>
      </c>
      <c r="E77" s="1774"/>
      <c r="F77" s="1780">
        <f>(F14-F76)</f>
        <v>2037177</v>
      </c>
      <c r="G77" s="869"/>
    </row>
    <row r="78" spans="1:8" s="893" customFormat="1" ht="12" customHeight="1" thickTop="1" x14ac:dyDescent="0.2">
      <c r="A78" s="1781"/>
      <c r="B78" s="1776"/>
      <c r="C78" s="1772"/>
      <c r="D78" s="1777" t="s">
        <v>2060</v>
      </c>
      <c r="E78" s="1774"/>
      <c r="F78" s="898">
        <v>195.8</v>
      </c>
      <c r="G78" s="899"/>
      <c r="H78" s="869"/>
    </row>
    <row r="79" spans="1:8" s="893" customFormat="1" ht="12" customHeight="1" thickBot="1" x14ac:dyDescent="0.25">
      <c r="A79" s="1782"/>
      <c r="B79" s="1776"/>
      <c r="C79" s="1772"/>
      <c r="D79" s="1777" t="s">
        <v>1900</v>
      </c>
      <c r="E79" s="1774" t="s">
        <v>958</v>
      </c>
      <c r="F79" s="1783">
        <f>IF(F78&gt;0,F77/F78," Complete Line 78")</f>
        <v>10404.376915219611</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6">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1377</v>
      </c>
      <c r="G94" s="912"/>
    </row>
    <row r="95" spans="1:7" x14ac:dyDescent="0.2">
      <c r="A95" s="908" t="s">
        <v>140</v>
      </c>
      <c r="B95" s="908" t="s">
        <v>175</v>
      </c>
      <c r="C95" s="910">
        <v>1700</v>
      </c>
      <c r="D95" s="918" t="str">
        <f>'Revenues 9-14'!A82</f>
        <v>Total District/School Activity Income</v>
      </c>
      <c r="E95" s="906"/>
      <c r="F95" s="1789">
        <f>SUM('Revenues 9-14'!C82,'Revenues 9-14'!D82)</f>
        <v>7866</v>
      </c>
      <c r="G95" s="912"/>
    </row>
    <row r="96" spans="1:7" x14ac:dyDescent="0.2">
      <c r="A96" s="908" t="s">
        <v>459</v>
      </c>
      <c r="B96" s="908" t="s">
        <v>176</v>
      </c>
      <c r="C96" s="910">
        <f>'Revenues 9-14'!B84</f>
        <v>1811</v>
      </c>
      <c r="D96" s="911" t="str">
        <f>'Revenues 9-14'!A84</f>
        <v>Rentals - Regular Textbooks</v>
      </c>
      <c r="E96" s="906"/>
      <c r="F96" s="1789">
        <f>'Revenues 9-14'!C84</f>
        <v>3635</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28297</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2176</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25509</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6">
        <f>SUM('Revenues 9-14'!C163:G163)</f>
        <v>0</v>
      </c>
      <c r="G118" s="912"/>
    </row>
    <row r="119" spans="1:7" x14ac:dyDescent="0.2">
      <c r="A119" s="923" t="s">
        <v>504</v>
      </c>
      <c r="B119" s="923" t="s">
        <v>2015</v>
      </c>
      <c r="C119" s="924">
        <f>'Revenues 9-14'!B164</f>
        <v>3815</v>
      </c>
      <c r="D119" s="925" t="str">
        <f>'Revenues 9-14'!A164</f>
        <v>State Charter Schools</v>
      </c>
      <c r="E119" s="906"/>
      <c r="F119" s="1906">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25616</v>
      </c>
      <c r="G124" s="930"/>
    </row>
    <row r="125" spans="1:7" x14ac:dyDescent="0.2">
      <c r="A125" s="927" t="s">
        <v>664</v>
      </c>
      <c r="B125" s="927" t="s">
        <v>2021</v>
      </c>
      <c r="C125" s="932">
        <v>4200</v>
      </c>
      <c r="D125" s="929" t="str">
        <f>'Revenues 9-14'!A198</f>
        <v>Total Food Service</v>
      </c>
      <c r="E125" s="906"/>
      <c r="F125" s="1789">
        <f>SUM('Revenues 9-14'!C198,'Revenues 9-14'!G198)</f>
        <v>139137</v>
      </c>
      <c r="G125" s="930"/>
    </row>
    <row r="126" spans="1:7" x14ac:dyDescent="0.2">
      <c r="A126" s="927" t="s">
        <v>668</v>
      </c>
      <c r="B126" s="927" t="s">
        <v>2022</v>
      </c>
      <c r="C126" s="932">
        <v>4300</v>
      </c>
      <c r="D126" s="933" t="str">
        <f>'Revenues 9-14'!A204</f>
        <v>Total Title I</v>
      </c>
      <c r="E126" s="906"/>
      <c r="F126" s="1789">
        <f>SUM('Revenues 9-14'!C204,'Revenues 9-14'!D204,'Revenues 9-14'!F204,'Revenues 9-14'!G204)</f>
        <v>75706</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76934</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6">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6">
        <f>SUM('Revenues 9-14'!C259,'Revenues 9-14'!D259,'Revenues 9-14'!F259,'Revenues 9-14'!G259)</f>
        <v>9613</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7896</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4216</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7" t="s">
        <v>5</v>
      </c>
      <c r="B171" s="1918" t="s">
        <v>1919</v>
      </c>
      <c r="C171" s="1919">
        <v>3100</v>
      </c>
      <c r="D171" s="1920" t="s">
        <v>1921</v>
      </c>
      <c r="E171" s="906"/>
      <c r="F171" s="1905">
        <v>116470</v>
      </c>
      <c r="G171" s="927"/>
    </row>
    <row r="172" spans="1:7" x14ac:dyDescent="0.2">
      <c r="A172" s="1917" t="s">
        <v>664</v>
      </c>
      <c r="B172" s="1918" t="s">
        <v>1919</v>
      </c>
      <c r="C172" s="1919">
        <v>3300</v>
      </c>
      <c r="D172" s="1920" t="s">
        <v>1922</v>
      </c>
      <c r="E172" s="906"/>
      <c r="F172" s="1905">
        <v>0</v>
      </c>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524448</v>
      </c>
    </row>
    <row r="175" spans="1:7" ht="12" customHeight="1" x14ac:dyDescent="0.2">
      <c r="A175" s="1770"/>
      <c r="B175" s="1784"/>
      <c r="C175" s="1785"/>
      <c r="D175" s="1786" t="s">
        <v>2055</v>
      </c>
      <c r="E175" s="1787"/>
      <c r="F175" s="1789">
        <f>'PCTC-OEPP 27-28'!F77-F174</f>
        <v>1512729</v>
      </c>
    </row>
    <row r="176" spans="1:7" ht="12" customHeight="1" x14ac:dyDescent="0.2">
      <c r="A176" s="1770"/>
      <c r="B176" s="1784"/>
      <c r="C176" s="1785"/>
      <c r="D176" s="1786" t="s">
        <v>1817</v>
      </c>
      <c r="E176" s="1787"/>
      <c r="F176" s="1789">
        <f>'Cap Outlay Deprec 26'!I18</f>
        <v>48796</v>
      </c>
    </row>
    <row r="177" spans="1:7" ht="12" customHeight="1" x14ac:dyDescent="0.2">
      <c r="A177" s="1770"/>
      <c r="B177" s="1784"/>
      <c r="C177" s="1785"/>
      <c r="D177" s="1786" t="s">
        <v>2056</v>
      </c>
      <c r="E177" s="1787"/>
      <c r="F177" s="1789">
        <f>F175+F176</f>
        <v>1561525</v>
      </c>
    </row>
    <row r="178" spans="1:7" ht="12" customHeight="1" x14ac:dyDescent="0.2">
      <c r="A178" s="1770"/>
      <c r="B178" s="1790"/>
      <c r="C178" s="1785"/>
      <c r="D178" s="1786" t="str">
        <f>D78</f>
        <v>9 Month ADA from District Average Daily Attendance/Prior General State Aid Inquiry 2018-2019</v>
      </c>
      <c r="E178" s="1787"/>
      <c r="F178" s="1791">
        <f>'PCTC-OEPP 27-28'!F78</f>
        <v>195.8</v>
      </c>
      <c r="G178" s="930"/>
    </row>
    <row r="179" spans="1:7" ht="12" customHeight="1" thickBot="1" x14ac:dyDescent="0.25">
      <c r="A179" s="1770"/>
      <c r="B179" s="1790"/>
      <c r="C179" s="1785"/>
      <c r="D179" s="1786" t="s">
        <v>2057</v>
      </c>
      <c r="E179" s="1787" t="s">
        <v>1545</v>
      </c>
      <c r="F179" s="1792">
        <f>F177/F178</f>
        <v>7975.1021450459648</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1" customFormat="1" ht="12.2" customHeight="1" x14ac:dyDescent="0.2">
      <c r="A182" s="1921" t="s">
        <v>1992</v>
      </c>
      <c r="B182" s="1922"/>
      <c r="C182" s="1923"/>
      <c r="D182" s="1922"/>
      <c r="E182" s="1923"/>
      <c r="F182" s="1922"/>
      <c r="G182" s="1922"/>
    </row>
    <row r="183" spans="1:7" s="1921" customFormat="1" ht="12.2" customHeight="1" x14ac:dyDescent="0.2">
      <c r="A183" s="1924" t="s">
        <v>1994</v>
      </c>
      <c r="C183" s="1923"/>
      <c r="D183" s="1922"/>
      <c r="E183" s="1923"/>
      <c r="F183" s="1922"/>
      <c r="G183" s="1922"/>
    </row>
    <row r="184" spans="1:7" ht="12" customHeight="1" x14ac:dyDescent="0.2">
      <c r="C184" s="949"/>
      <c r="D184" s="930"/>
      <c r="E184" s="949"/>
      <c r="F184" s="930"/>
      <c r="G184" s="930"/>
    </row>
    <row r="185" spans="1:7" x14ac:dyDescent="0.2">
      <c r="A185" s="1925" t="s">
        <v>1924</v>
      </c>
      <c r="B185" s="1926"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topLeftCell="A16" zoomScaleNormal="100" workbookViewId="0">
      <selection activeCell="C23" sqref="C23"/>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1818</v>
      </c>
      <c r="B4" s="2273"/>
      <c r="C4" s="2273"/>
      <c r="D4" s="2273"/>
      <c r="E4" s="2273"/>
      <c r="F4" s="2273"/>
      <c r="G4" s="2274"/>
    </row>
    <row r="5" spans="1:7" x14ac:dyDescent="0.25">
      <c r="A5" s="2275"/>
      <c r="B5" s="2276"/>
      <c r="C5" s="2276"/>
      <c r="D5" s="2276"/>
      <c r="E5" s="2276"/>
      <c r="F5" s="2276"/>
      <c r="G5" s="2277"/>
    </row>
    <row r="6" spans="1:7" ht="18.75" x14ac:dyDescent="0.25">
      <c r="A6" s="1936" t="s">
        <v>2064</v>
      </c>
      <c r="B6" s="1937"/>
      <c r="C6" s="1937"/>
      <c r="D6" s="1937"/>
      <c r="E6" s="1937"/>
      <c r="F6" s="1937"/>
      <c r="G6" s="1938"/>
    </row>
    <row r="7" spans="1:7" ht="18.75" x14ac:dyDescent="0.25">
      <c r="A7" s="1534" t="s">
        <v>1819</v>
      </c>
      <c r="B7" s="1535"/>
      <c r="C7" s="1535"/>
      <c r="D7" s="1535"/>
      <c r="E7" s="1535"/>
      <c r="F7" s="1535"/>
      <c r="G7" s="1536"/>
    </row>
    <row r="8" spans="1:7" ht="30.75" customHeight="1" x14ac:dyDescent="0.25">
      <c r="A8" s="2278" t="s">
        <v>1931</v>
      </c>
      <c r="B8" s="2279"/>
      <c r="C8" s="2279"/>
      <c r="D8" s="2279"/>
      <c r="E8" s="2279"/>
      <c r="F8" s="2279"/>
      <c r="G8" s="2280"/>
    </row>
    <row r="9" spans="1:7" ht="15.75" customHeight="1" x14ac:dyDescent="0.25">
      <c r="A9" s="2281" t="s">
        <v>1906</v>
      </c>
      <c r="B9" s="2282"/>
      <c r="C9" s="2282"/>
      <c r="D9" s="2282"/>
      <c r="E9" s="2282"/>
      <c r="F9" s="2282"/>
      <c r="G9" s="2283"/>
    </row>
    <row r="10" spans="1:7" ht="35.25" customHeight="1" x14ac:dyDescent="0.25">
      <c r="A10" s="2278" t="s">
        <v>2063</v>
      </c>
      <c r="B10" s="2279"/>
      <c r="C10" s="2279"/>
      <c r="D10" s="2279"/>
      <c r="E10" s="2279"/>
      <c r="F10" s="2279"/>
      <c r="G10" s="2280"/>
    </row>
    <row r="11" spans="1:7" ht="15" customHeight="1" x14ac:dyDescent="0.25">
      <c r="A11" s="1537" t="s">
        <v>1820</v>
      </c>
      <c r="B11" s="1538"/>
      <c r="C11" s="1538"/>
      <c r="D11" s="1538"/>
      <c r="E11" s="1538"/>
      <c r="F11" s="1538"/>
      <c r="G11" s="1539"/>
    </row>
    <row r="12" spans="1:7" ht="17.25" customHeight="1" x14ac:dyDescent="0.25">
      <c r="A12" s="2278" t="s">
        <v>1933</v>
      </c>
      <c r="B12" s="2279"/>
      <c r="C12" s="2279"/>
      <c r="D12" s="2279"/>
      <c r="E12" s="2279"/>
      <c r="F12" s="2279"/>
      <c r="G12" s="2280"/>
    </row>
    <row r="13" spans="1:7" ht="15" customHeight="1" x14ac:dyDescent="0.25">
      <c r="A13" s="1537" t="s">
        <v>1825</v>
      </c>
      <c r="B13" s="1538"/>
      <c r="C13" s="1538"/>
      <c r="D13" s="1538"/>
      <c r="E13" s="1538"/>
      <c r="F13" s="1538"/>
      <c r="G13" s="1539"/>
    </row>
    <row r="14" spans="1:7" ht="32.25" customHeight="1" x14ac:dyDescent="0.25">
      <c r="A14" s="2269" t="s">
        <v>1974</v>
      </c>
      <c r="B14" s="2270"/>
      <c r="C14" s="2270"/>
      <c r="D14" s="2270"/>
      <c r="E14" s="2270"/>
      <c r="F14" s="2270"/>
      <c r="G14" s="2271"/>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0" t="s">
        <v>2103</v>
      </c>
      <c r="B18" s="1941" t="s">
        <v>2104</v>
      </c>
      <c r="C18" s="1942" t="s">
        <v>2105</v>
      </c>
      <c r="D18" s="1844">
        <v>10020</v>
      </c>
      <c r="E18" s="1540">
        <f t="shared" ref="E18:E142" si="0">IF(D18&lt;=25000,D18,IF(D18&gt;25000,25000,0))</f>
        <v>10020</v>
      </c>
      <c r="F18" s="1935">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10020</v>
      </c>
      <c r="G18" s="1793">
        <f>IF(F18=0,0,D18-F18)</f>
        <v>0</v>
      </c>
      <c r="H18" s="1647"/>
    </row>
    <row r="19" spans="1:8" x14ac:dyDescent="0.25">
      <c r="A19" s="1940" t="s">
        <v>2103</v>
      </c>
      <c r="B19" s="1941" t="s">
        <v>2104</v>
      </c>
      <c r="C19" s="1942" t="s">
        <v>2106</v>
      </c>
      <c r="D19" s="1844">
        <v>8160</v>
      </c>
      <c r="E19" s="1540">
        <f t="shared" ref="E19:E141" si="2">IF(D19&lt;=25000,D19,IF(D19&gt;25000,25000,0))</f>
        <v>8160</v>
      </c>
      <c r="F19" s="1935">
        <f t="shared" si="1"/>
        <v>8160</v>
      </c>
      <c r="G19" s="1793">
        <f t="shared" ref="G19:G141" si="3">IF(F19=0,0,D19-F19)</f>
        <v>0</v>
      </c>
    </row>
    <row r="20" spans="1:8" x14ac:dyDescent="0.25">
      <c r="A20" s="1940" t="s">
        <v>2107</v>
      </c>
      <c r="B20" s="1941" t="s">
        <v>2108</v>
      </c>
      <c r="C20" s="1942" t="s">
        <v>2109</v>
      </c>
      <c r="D20" s="1844">
        <v>312</v>
      </c>
      <c r="E20" s="1540">
        <f t="shared" si="2"/>
        <v>312</v>
      </c>
      <c r="F20" s="1935">
        <f t="shared" si="1"/>
        <v>312</v>
      </c>
      <c r="G20" s="1793">
        <f t="shared" si="3"/>
        <v>0</v>
      </c>
    </row>
    <row r="21" spans="1:8" x14ac:dyDescent="0.25">
      <c r="A21" s="1940" t="s">
        <v>2110</v>
      </c>
      <c r="B21" s="1941" t="s">
        <v>2111</v>
      </c>
      <c r="C21" s="1942" t="s">
        <v>2112</v>
      </c>
      <c r="D21" s="1844">
        <v>513</v>
      </c>
      <c r="E21" s="1540">
        <f t="shared" si="2"/>
        <v>513</v>
      </c>
      <c r="F21" s="1935">
        <f t="shared" si="1"/>
        <v>513</v>
      </c>
      <c r="G21" s="1793">
        <f t="shared" si="3"/>
        <v>0</v>
      </c>
    </row>
    <row r="22" spans="1:8" x14ac:dyDescent="0.25">
      <c r="A22" s="1940" t="s">
        <v>2110</v>
      </c>
      <c r="B22" s="1941" t="s">
        <v>2111</v>
      </c>
      <c r="C22" s="1942" t="s">
        <v>2113</v>
      </c>
      <c r="D22" s="1844">
        <v>539</v>
      </c>
      <c r="E22" s="1540">
        <f t="shared" si="2"/>
        <v>539</v>
      </c>
      <c r="F22" s="1935">
        <f t="shared" si="1"/>
        <v>539</v>
      </c>
      <c r="G22" s="1793">
        <f t="shared" si="3"/>
        <v>0</v>
      </c>
    </row>
    <row r="23" spans="1:8" x14ac:dyDescent="0.25">
      <c r="A23" s="1940" t="s">
        <v>2110</v>
      </c>
      <c r="B23" s="1941" t="s">
        <v>2111</v>
      </c>
      <c r="C23" s="1942" t="s">
        <v>2114</v>
      </c>
      <c r="D23" s="1844">
        <v>3720</v>
      </c>
      <c r="E23" s="1540">
        <f t="shared" si="2"/>
        <v>3720</v>
      </c>
      <c r="F23" s="1935">
        <f t="shared" si="1"/>
        <v>3720</v>
      </c>
      <c r="G23" s="1793">
        <f t="shared" si="3"/>
        <v>0</v>
      </c>
    </row>
    <row r="24" spans="1:8" x14ac:dyDescent="0.25">
      <c r="A24" s="1940" t="s">
        <v>2110</v>
      </c>
      <c r="B24" s="1941" t="s">
        <v>2111</v>
      </c>
      <c r="C24" s="1942" t="s">
        <v>2115</v>
      </c>
      <c r="D24" s="1844">
        <v>11973</v>
      </c>
      <c r="E24" s="1540">
        <f t="shared" si="2"/>
        <v>11973</v>
      </c>
      <c r="F24" s="1935">
        <f t="shared" si="1"/>
        <v>11973</v>
      </c>
      <c r="G24" s="1793">
        <f t="shared" si="3"/>
        <v>0</v>
      </c>
    </row>
    <row r="25" spans="1:8" x14ac:dyDescent="0.25">
      <c r="A25" s="1940" t="s">
        <v>2110</v>
      </c>
      <c r="B25" s="1941" t="s">
        <v>2111</v>
      </c>
      <c r="C25" s="1942" t="s">
        <v>2116</v>
      </c>
      <c r="D25" s="1844">
        <v>20041</v>
      </c>
      <c r="E25" s="1540">
        <f t="shared" si="2"/>
        <v>20041</v>
      </c>
      <c r="F25" s="1935">
        <f t="shared" si="1"/>
        <v>20041</v>
      </c>
      <c r="G25" s="1793">
        <f t="shared" si="3"/>
        <v>0</v>
      </c>
    </row>
    <row r="26" spans="1:8" x14ac:dyDescent="0.25">
      <c r="A26" s="1940" t="s">
        <v>2118</v>
      </c>
      <c r="B26" s="1941" t="s">
        <v>2117</v>
      </c>
      <c r="C26" s="1942" t="s">
        <v>2089</v>
      </c>
      <c r="D26" s="1844">
        <v>58792</v>
      </c>
      <c r="E26" s="1540">
        <f t="shared" si="2"/>
        <v>25000</v>
      </c>
      <c r="F26" s="1935">
        <f t="shared" si="1"/>
        <v>25000</v>
      </c>
      <c r="G26" s="1793">
        <f t="shared" si="3"/>
        <v>33792</v>
      </c>
    </row>
    <row r="27" spans="1:8" x14ac:dyDescent="0.25">
      <c r="A27" s="1653"/>
      <c r="B27" s="1932"/>
      <c r="C27" s="1654"/>
      <c r="D27" s="1844"/>
      <c r="E27" s="1540">
        <f t="shared" si="2"/>
        <v>0</v>
      </c>
      <c r="F27" s="1935">
        <f t="shared" si="1"/>
        <v>0</v>
      </c>
      <c r="G27" s="1793">
        <f t="shared" si="3"/>
        <v>0</v>
      </c>
    </row>
    <row r="28" spans="1:8" x14ac:dyDescent="0.25">
      <c r="A28" s="1653"/>
      <c r="B28" s="1932"/>
      <c r="C28" s="1654"/>
      <c r="D28" s="1844"/>
      <c r="E28" s="1540">
        <f t="shared" si="2"/>
        <v>0</v>
      </c>
      <c r="F28" s="1935">
        <f t="shared" si="1"/>
        <v>0</v>
      </c>
      <c r="G28" s="1793">
        <f t="shared" si="3"/>
        <v>0</v>
      </c>
    </row>
    <row r="29" spans="1:8" x14ac:dyDescent="0.25">
      <c r="A29" s="1653"/>
      <c r="B29" s="1932"/>
      <c r="C29" s="1654"/>
      <c r="D29" s="1844"/>
      <c r="E29" s="1540">
        <f t="shared" si="2"/>
        <v>0</v>
      </c>
      <c r="F29" s="1935">
        <f t="shared" si="1"/>
        <v>0</v>
      </c>
      <c r="G29" s="1793">
        <f t="shared" si="3"/>
        <v>0</v>
      </c>
    </row>
    <row r="30" spans="1:8" x14ac:dyDescent="0.25">
      <c r="A30" s="1653"/>
      <c r="B30" s="1932"/>
      <c r="C30" s="1654"/>
      <c r="D30" s="1844"/>
      <c r="E30" s="1540">
        <f t="shared" si="2"/>
        <v>0</v>
      </c>
      <c r="F30" s="1935">
        <f t="shared" si="1"/>
        <v>0</v>
      </c>
      <c r="G30" s="1793">
        <f t="shared" si="3"/>
        <v>0</v>
      </c>
    </row>
    <row r="31" spans="1:8" x14ac:dyDescent="0.25">
      <c r="A31" s="1653"/>
      <c r="B31" s="1932"/>
      <c r="C31" s="1654"/>
      <c r="D31" s="1844"/>
      <c r="E31" s="1540">
        <f t="shared" si="2"/>
        <v>0</v>
      </c>
      <c r="F31" s="1935">
        <f t="shared" si="1"/>
        <v>0</v>
      </c>
      <c r="G31" s="1793">
        <f t="shared" si="3"/>
        <v>0</v>
      </c>
    </row>
    <row r="32" spans="1:8" x14ac:dyDescent="0.25">
      <c r="A32" s="1653"/>
      <c r="B32" s="1932"/>
      <c r="C32" s="1654"/>
      <c r="D32" s="1844"/>
      <c r="E32" s="1540">
        <f t="shared" si="2"/>
        <v>0</v>
      </c>
      <c r="F32" s="1935">
        <f t="shared" si="1"/>
        <v>0</v>
      </c>
      <c r="G32" s="1793">
        <f t="shared" si="3"/>
        <v>0</v>
      </c>
    </row>
    <row r="33" spans="1:7" x14ac:dyDescent="0.25">
      <c r="A33" s="1653"/>
      <c r="B33" s="1932"/>
      <c r="C33" s="1654"/>
      <c r="D33" s="1844"/>
      <c r="E33" s="1540">
        <f t="shared" si="2"/>
        <v>0</v>
      </c>
      <c r="F33" s="1935">
        <f t="shared" si="1"/>
        <v>0</v>
      </c>
      <c r="G33" s="1793">
        <f t="shared" si="3"/>
        <v>0</v>
      </c>
    </row>
    <row r="34" spans="1:7" x14ac:dyDescent="0.25">
      <c r="A34" s="1653"/>
      <c r="B34" s="1932"/>
      <c r="C34" s="1654"/>
      <c r="D34" s="1844"/>
      <c r="E34" s="1540">
        <f t="shared" si="2"/>
        <v>0</v>
      </c>
      <c r="F34" s="1935">
        <f t="shared" si="1"/>
        <v>0</v>
      </c>
      <c r="G34" s="1793">
        <f t="shared" si="3"/>
        <v>0</v>
      </c>
    </row>
    <row r="35" spans="1:7" x14ac:dyDescent="0.25">
      <c r="A35" s="1653"/>
      <c r="B35" s="1932"/>
      <c r="C35" s="1654"/>
      <c r="D35" s="1844"/>
      <c r="E35" s="1540">
        <f t="shared" si="2"/>
        <v>0</v>
      </c>
      <c r="F35" s="1935">
        <f t="shared" si="1"/>
        <v>0</v>
      </c>
      <c r="G35" s="1793">
        <f t="shared" si="3"/>
        <v>0</v>
      </c>
    </row>
    <row r="36" spans="1:7" x14ac:dyDescent="0.25">
      <c r="A36" s="1653"/>
      <c r="B36" s="1932"/>
      <c r="C36" s="1654"/>
      <c r="D36" s="1844"/>
      <c r="E36" s="1540">
        <f t="shared" si="2"/>
        <v>0</v>
      </c>
      <c r="F36" s="1935">
        <f t="shared" si="1"/>
        <v>0</v>
      </c>
      <c r="G36" s="1793">
        <f t="shared" si="3"/>
        <v>0</v>
      </c>
    </row>
    <row r="37" spans="1:7" x14ac:dyDescent="0.25">
      <c r="A37" s="1653"/>
      <c r="B37" s="1932"/>
      <c r="C37" s="1654"/>
      <c r="D37" s="1844"/>
      <c r="E37" s="1540">
        <f t="shared" si="2"/>
        <v>0</v>
      </c>
      <c r="F37" s="1935">
        <f t="shared" si="1"/>
        <v>0</v>
      </c>
      <c r="G37" s="1793">
        <f t="shared" si="3"/>
        <v>0</v>
      </c>
    </row>
    <row r="38" spans="1:7" x14ac:dyDescent="0.25">
      <c r="A38" s="1653"/>
      <c r="B38" s="1932"/>
      <c r="C38" s="1654"/>
      <c r="D38" s="1844"/>
      <c r="E38" s="1540">
        <f t="shared" si="2"/>
        <v>0</v>
      </c>
      <c r="F38" s="1935">
        <f t="shared" si="1"/>
        <v>0</v>
      </c>
      <c r="G38" s="1793">
        <f t="shared" si="3"/>
        <v>0</v>
      </c>
    </row>
    <row r="39" spans="1:7" x14ac:dyDescent="0.25">
      <c r="A39" s="1653"/>
      <c r="B39" s="1933"/>
      <c r="C39" s="1654"/>
      <c r="D39" s="1844"/>
      <c r="E39" s="1540">
        <f t="shared" si="2"/>
        <v>0</v>
      </c>
      <c r="F39" s="1935">
        <f t="shared" si="1"/>
        <v>0</v>
      </c>
      <c r="G39" s="1793">
        <f t="shared" si="3"/>
        <v>0</v>
      </c>
    </row>
    <row r="40" spans="1:7" x14ac:dyDescent="0.25">
      <c r="A40" s="1653"/>
      <c r="B40" s="1933"/>
      <c r="C40" s="1654"/>
      <c r="D40" s="1844"/>
      <c r="E40" s="1540">
        <f t="shared" si="2"/>
        <v>0</v>
      </c>
      <c r="F40" s="1935">
        <f t="shared" si="1"/>
        <v>0</v>
      </c>
      <c r="G40" s="1793">
        <f t="shared" si="3"/>
        <v>0</v>
      </c>
    </row>
    <row r="41" spans="1:7" x14ac:dyDescent="0.25">
      <c r="A41" s="1653"/>
      <c r="B41" s="1933"/>
      <c r="C41" s="1654"/>
      <c r="D41" s="1844"/>
      <c r="E41" s="1540">
        <f t="shared" si="2"/>
        <v>0</v>
      </c>
      <c r="F41" s="1935">
        <f t="shared" si="1"/>
        <v>0</v>
      </c>
      <c r="G41" s="1793">
        <f t="shared" si="3"/>
        <v>0</v>
      </c>
    </row>
    <row r="42" spans="1:7" x14ac:dyDescent="0.25">
      <c r="A42" s="1653"/>
      <c r="B42" s="1933"/>
      <c r="C42" s="1654"/>
      <c r="D42" s="1844"/>
      <c r="E42" s="1540">
        <f t="shared" si="2"/>
        <v>0</v>
      </c>
      <c r="F42" s="1935">
        <f t="shared" si="1"/>
        <v>0</v>
      </c>
      <c r="G42" s="1793">
        <f t="shared" si="3"/>
        <v>0</v>
      </c>
    </row>
    <row r="43" spans="1:7" x14ac:dyDescent="0.25">
      <c r="A43" s="1653"/>
      <c r="B43" s="1933"/>
      <c r="C43" s="1654"/>
      <c r="D43" s="1844"/>
      <c r="E43" s="1540">
        <f t="shared" si="2"/>
        <v>0</v>
      </c>
      <c r="F43" s="1935">
        <f t="shared" si="1"/>
        <v>0</v>
      </c>
      <c r="G43" s="1793">
        <f t="shared" si="3"/>
        <v>0</v>
      </c>
    </row>
    <row r="44" spans="1:7" x14ac:dyDescent="0.25">
      <c r="A44" s="1653"/>
      <c r="B44" s="1933"/>
      <c r="C44" s="1654"/>
      <c r="D44" s="1844"/>
      <c r="E44" s="1540">
        <f t="shared" si="2"/>
        <v>0</v>
      </c>
      <c r="F44" s="1935">
        <f t="shared" si="1"/>
        <v>0</v>
      </c>
      <c r="G44" s="1793">
        <f t="shared" si="3"/>
        <v>0</v>
      </c>
    </row>
    <row r="45" spans="1:7" x14ac:dyDescent="0.25">
      <c r="A45" s="1653"/>
      <c r="B45" s="1933"/>
      <c r="C45" s="1654"/>
      <c r="D45" s="1844"/>
      <c r="E45" s="1540">
        <f t="shared" si="2"/>
        <v>0</v>
      </c>
      <c r="F45" s="1935">
        <f t="shared" si="1"/>
        <v>0</v>
      </c>
      <c r="G45" s="1793">
        <f t="shared" si="3"/>
        <v>0</v>
      </c>
    </row>
    <row r="46" spans="1:7" x14ac:dyDescent="0.25">
      <c r="A46" s="1653"/>
      <c r="B46" s="1933"/>
      <c r="C46" s="1654"/>
      <c r="D46" s="1844"/>
      <c r="E46" s="1540">
        <f t="shared" si="2"/>
        <v>0</v>
      </c>
      <c r="F46" s="1935">
        <f t="shared" si="1"/>
        <v>0</v>
      </c>
      <c r="G46" s="1793">
        <f t="shared" si="3"/>
        <v>0</v>
      </c>
    </row>
    <row r="47" spans="1:7" x14ac:dyDescent="0.25">
      <c r="A47" s="1653"/>
      <c r="B47" s="1667"/>
      <c r="C47" s="1654"/>
      <c r="D47" s="1844"/>
      <c r="E47" s="1540">
        <f t="shared" si="2"/>
        <v>0</v>
      </c>
      <c r="F47" s="1935">
        <f t="shared" si="1"/>
        <v>0</v>
      </c>
      <c r="G47" s="1793">
        <f t="shared" si="3"/>
        <v>0</v>
      </c>
    </row>
    <row r="48" spans="1:7" x14ac:dyDescent="0.25">
      <c r="A48" s="1653"/>
      <c r="B48" s="1667"/>
      <c r="C48" s="1654"/>
      <c r="D48" s="1844"/>
      <c r="E48" s="1540">
        <f t="shared" si="2"/>
        <v>0</v>
      </c>
      <c r="F48" s="1935">
        <f t="shared" si="1"/>
        <v>0</v>
      </c>
      <c r="G48" s="1793">
        <f t="shared" si="3"/>
        <v>0</v>
      </c>
    </row>
    <row r="49" spans="1:7" x14ac:dyDescent="0.25">
      <c r="A49" s="1653"/>
      <c r="B49" s="1667"/>
      <c r="C49" s="1654"/>
      <c r="D49" s="1844"/>
      <c r="E49" s="1540">
        <f t="shared" si="2"/>
        <v>0</v>
      </c>
      <c r="F49" s="1935">
        <f t="shared" si="1"/>
        <v>0</v>
      </c>
      <c r="G49" s="1793">
        <f t="shared" si="3"/>
        <v>0</v>
      </c>
    </row>
    <row r="50" spans="1:7" x14ac:dyDescent="0.25">
      <c r="A50" s="1653"/>
      <c r="B50" s="1667"/>
      <c r="C50" s="1654"/>
      <c r="D50" s="1844"/>
      <c r="E50" s="1540">
        <f t="shared" si="2"/>
        <v>0</v>
      </c>
      <c r="F50" s="1935">
        <f t="shared" si="1"/>
        <v>0</v>
      </c>
      <c r="G50" s="1793">
        <f t="shared" si="3"/>
        <v>0</v>
      </c>
    </row>
    <row r="51" spans="1:7" x14ac:dyDescent="0.25">
      <c r="A51" s="1653"/>
      <c r="B51" s="1667"/>
      <c r="C51" s="1654"/>
      <c r="D51" s="1844"/>
      <c r="E51" s="1540">
        <f t="shared" si="2"/>
        <v>0</v>
      </c>
      <c r="F51" s="1935">
        <f t="shared" si="1"/>
        <v>0</v>
      </c>
      <c r="G51" s="1793">
        <f t="shared" si="3"/>
        <v>0</v>
      </c>
    </row>
    <row r="52" spans="1:7" x14ac:dyDescent="0.25">
      <c r="A52" s="1653"/>
      <c r="B52" s="1667"/>
      <c r="C52" s="1654"/>
      <c r="D52" s="1844"/>
      <c r="E52" s="1540">
        <f t="shared" si="2"/>
        <v>0</v>
      </c>
      <c r="F52" s="1935">
        <f t="shared" si="1"/>
        <v>0</v>
      </c>
      <c r="G52" s="1793">
        <f t="shared" si="3"/>
        <v>0</v>
      </c>
    </row>
    <row r="53" spans="1:7" x14ac:dyDescent="0.25">
      <c r="A53" s="1653"/>
      <c r="B53" s="1667"/>
      <c r="C53" s="1654"/>
      <c r="D53" s="1844"/>
      <c r="E53" s="1540">
        <f t="shared" si="2"/>
        <v>0</v>
      </c>
      <c r="F53" s="1935">
        <f t="shared" si="1"/>
        <v>0</v>
      </c>
      <c r="G53" s="1793">
        <f t="shared" si="3"/>
        <v>0</v>
      </c>
    </row>
    <row r="54" spans="1:7" x14ac:dyDescent="0.25">
      <c r="A54" s="1653"/>
      <c r="B54" s="1667"/>
      <c r="C54" s="1654"/>
      <c r="D54" s="1844"/>
      <c r="E54" s="1540">
        <f t="shared" si="2"/>
        <v>0</v>
      </c>
      <c r="F54" s="1935">
        <f t="shared" si="1"/>
        <v>0</v>
      </c>
      <c r="G54" s="1793">
        <f t="shared" si="3"/>
        <v>0</v>
      </c>
    </row>
    <row r="55" spans="1:7" x14ac:dyDescent="0.25">
      <c r="A55" s="1653"/>
      <c r="B55" s="1667"/>
      <c r="C55" s="1654"/>
      <c r="D55" s="1844"/>
      <c r="E55" s="1540">
        <f t="shared" si="2"/>
        <v>0</v>
      </c>
      <c r="F55" s="1935">
        <f t="shared" si="1"/>
        <v>0</v>
      </c>
      <c r="G55" s="1793">
        <f t="shared" si="3"/>
        <v>0</v>
      </c>
    </row>
    <row r="56" spans="1:7" x14ac:dyDescent="0.25">
      <c r="A56" s="1653"/>
      <c r="B56" s="1667"/>
      <c r="C56" s="1654"/>
      <c r="D56" s="1844"/>
      <c r="E56" s="1540">
        <f t="shared" si="2"/>
        <v>0</v>
      </c>
      <c r="F56" s="1935">
        <f t="shared" si="1"/>
        <v>0</v>
      </c>
      <c r="G56" s="1793">
        <f t="shared" si="3"/>
        <v>0</v>
      </c>
    </row>
    <row r="57" spans="1:7" x14ac:dyDescent="0.25">
      <c r="A57" s="1653"/>
      <c r="B57" s="1667"/>
      <c r="C57" s="1654"/>
      <c r="D57" s="1844"/>
      <c r="E57" s="1540">
        <f t="shared" si="2"/>
        <v>0</v>
      </c>
      <c r="F57" s="1935">
        <f t="shared" si="1"/>
        <v>0</v>
      </c>
      <c r="G57" s="1793">
        <f t="shared" si="3"/>
        <v>0</v>
      </c>
    </row>
    <row r="58" spans="1:7" x14ac:dyDescent="0.25">
      <c r="A58" s="1653"/>
      <c r="B58" s="1667"/>
      <c r="C58" s="1654"/>
      <c r="D58" s="1844"/>
      <c r="E58" s="1540">
        <f t="shared" si="2"/>
        <v>0</v>
      </c>
      <c r="F58" s="1935">
        <f t="shared" si="1"/>
        <v>0</v>
      </c>
      <c r="G58" s="1793">
        <f t="shared" si="3"/>
        <v>0</v>
      </c>
    </row>
    <row r="59" spans="1:7" x14ac:dyDescent="0.25">
      <c r="A59" s="1653"/>
      <c r="B59" s="1667"/>
      <c r="C59" s="1654"/>
      <c r="D59" s="1844"/>
      <c r="E59" s="1540">
        <f t="shared" si="2"/>
        <v>0</v>
      </c>
      <c r="F59" s="1935">
        <f t="shared" si="1"/>
        <v>0</v>
      </c>
      <c r="G59" s="1793">
        <f t="shared" si="3"/>
        <v>0</v>
      </c>
    </row>
    <row r="60" spans="1:7" x14ac:dyDescent="0.25">
      <c r="A60" s="1653"/>
      <c r="B60" s="1667"/>
      <c r="C60" s="1654"/>
      <c r="D60" s="1844"/>
      <c r="E60" s="1540">
        <f t="shared" si="2"/>
        <v>0</v>
      </c>
      <c r="F60" s="1935">
        <f t="shared" si="1"/>
        <v>0</v>
      </c>
      <c r="G60" s="1793">
        <f t="shared" si="3"/>
        <v>0</v>
      </c>
    </row>
    <row r="61" spans="1:7" x14ac:dyDescent="0.25">
      <c r="A61" s="1653"/>
      <c r="B61" s="1667"/>
      <c r="C61" s="1654"/>
      <c r="D61" s="1844"/>
      <c r="E61" s="1540">
        <f t="shared" si="2"/>
        <v>0</v>
      </c>
      <c r="F61" s="1935">
        <f t="shared" si="1"/>
        <v>0</v>
      </c>
      <c r="G61" s="1793">
        <f t="shared" si="3"/>
        <v>0</v>
      </c>
    </row>
    <row r="62" spans="1:7" x14ac:dyDescent="0.25">
      <c r="A62" s="1653"/>
      <c r="B62" s="1667"/>
      <c r="C62" s="1654"/>
      <c r="D62" s="1844"/>
      <c r="E62" s="1540">
        <f t="shared" si="2"/>
        <v>0</v>
      </c>
      <c r="F62" s="1935">
        <f t="shared" si="1"/>
        <v>0</v>
      </c>
      <c r="G62" s="1793">
        <f t="shared" si="3"/>
        <v>0</v>
      </c>
    </row>
    <row r="63" spans="1:7" x14ac:dyDescent="0.25">
      <c r="A63" s="1653"/>
      <c r="B63" s="1667"/>
      <c r="C63" s="1654"/>
      <c r="D63" s="1844"/>
      <c r="E63" s="1540">
        <f t="shared" si="2"/>
        <v>0</v>
      </c>
      <c r="F63" s="1935">
        <f t="shared" si="1"/>
        <v>0</v>
      </c>
      <c r="G63" s="1793">
        <f t="shared" si="3"/>
        <v>0</v>
      </c>
    </row>
    <row r="64" spans="1:7" x14ac:dyDescent="0.25">
      <c r="A64" s="1653"/>
      <c r="B64" s="1667"/>
      <c r="C64" s="1654"/>
      <c r="D64" s="1844"/>
      <c r="E64" s="1540">
        <f t="shared" si="2"/>
        <v>0</v>
      </c>
      <c r="F64" s="1935">
        <f t="shared" si="1"/>
        <v>0</v>
      </c>
      <c r="G64" s="1793">
        <f t="shared" si="3"/>
        <v>0</v>
      </c>
    </row>
    <row r="65" spans="1:7" x14ac:dyDescent="0.25">
      <c r="A65" s="1655"/>
      <c r="B65" s="1667"/>
      <c r="C65" s="1656"/>
      <c r="D65" s="1844"/>
      <c r="E65" s="1540">
        <f t="shared" si="2"/>
        <v>0</v>
      </c>
      <c r="F65" s="1935">
        <f t="shared" si="1"/>
        <v>0</v>
      </c>
      <c r="G65" s="1793">
        <f t="shared" si="3"/>
        <v>0</v>
      </c>
    </row>
    <row r="66" spans="1:7" x14ac:dyDescent="0.25">
      <c r="A66" s="1653"/>
      <c r="B66" s="1667"/>
      <c r="C66" s="1654"/>
      <c r="D66" s="1844"/>
      <c r="E66" s="1540">
        <f t="shared" si="2"/>
        <v>0</v>
      </c>
      <c r="F66" s="1935">
        <f t="shared" si="1"/>
        <v>0</v>
      </c>
      <c r="G66" s="1793">
        <f t="shared" si="3"/>
        <v>0</v>
      </c>
    </row>
    <row r="67" spans="1:7" x14ac:dyDescent="0.25">
      <c r="A67" s="1653"/>
      <c r="B67" s="1667"/>
      <c r="C67" s="1654"/>
      <c r="D67" s="1844"/>
      <c r="E67" s="1540">
        <f t="shared" si="2"/>
        <v>0</v>
      </c>
      <c r="F67" s="1935">
        <f t="shared" si="1"/>
        <v>0</v>
      </c>
      <c r="G67" s="1793">
        <f t="shared" si="3"/>
        <v>0</v>
      </c>
    </row>
    <row r="68" spans="1:7" x14ac:dyDescent="0.25">
      <c r="A68" s="1653"/>
      <c r="B68" s="1667"/>
      <c r="C68" s="1654"/>
      <c r="D68" s="1844"/>
      <c r="E68" s="1540">
        <f t="shared" si="2"/>
        <v>0</v>
      </c>
      <c r="F68" s="1935">
        <f t="shared" si="1"/>
        <v>0</v>
      </c>
      <c r="G68" s="1793">
        <f t="shared" si="3"/>
        <v>0</v>
      </c>
    </row>
    <row r="69" spans="1:7" x14ac:dyDescent="0.25">
      <c r="A69" s="1653"/>
      <c r="B69" s="1667"/>
      <c r="C69" s="1654"/>
      <c r="D69" s="1844"/>
      <c r="E69" s="1540">
        <f t="shared" si="2"/>
        <v>0</v>
      </c>
      <c r="F69" s="1935">
        <f t="shared" si="1"/>
        <v>0</v>
      </c>
      <c r="G69" s="1793">
        <f t="shared" si="3"/>
        <v>0</v>
      </c>
    </row>
    <row r="70" spans="1:7" x14ac:dyDescent="0.25">
      <c r="A70" s="1653"/>
      <c r="B70" s="1667"/>
      <c r="C70" s="1654"/>
      <c r="D70" s="1844"/>
      <c r="E70" s="1540">
        <f t="shared" si="2"/>
        <v>0</v>
      </c>
      <c r="F70" s="1935">
        <f t="shared" si="1"/>
        <v>0</v>
      </c>
      <c r="G70" s="1793">
        <f t="shared" si="3"/>
        <v>0</v>
      </c>
    </row>
    <row r="71" spans="1:7" x14ac:dyDescent="0.25">
      <c r="A71" s="1653"/>
      <c r="B71" s="1667"/>
      <c r="C71" s="1654"/>
      <c r="D71" s="1844"/>
      <c r="E71" s="1540">
        <f t="shared" si="2"/>
        <v>0</v>
      </c>
      <c r="F71" s="1935">
        <f t="shared" si="1"/>
        <v>0</v>
      </c>
      <c r="G71" s="1793">
        <f t="shared" si="3"/>
        <v>0</v>
      </c>
    </row>
    <row r="72" spans="1:7" x14ac:dyDescent="0.25">
      <c r="A72" s="1653"/>
      <c r="B72" s="1667"/>
      <c r="C72" s="1654"/>
      <c r="D72" s="1844"/>
      <c r="E72" s="1540">
        <f t="shared" si="2"/>
        <v>0</v>
      </c>
      <c r="F72" s="1935">
        <f t="shared" si="1"/>
        <v>0</v>
      </c>
      <c r="G72" s="1793">
        <f t="shared" si="3"/>
        <v>0</v>
      </c>
    </row>
    <row r="73" spans="1:7" x14ac:dyDescent="0.25">
      <c r="A73" s="1653"/>
      <c r="B73" s="1667"/>
      <c r="C73" s="1654"/>
      <c r="D73" s="1844"/>
      <c r="E73" s="1540">
        <f t="shared" si="2"/>
        <v>0</v>
      </c>
      <c r="F73" s="1935">
        <f t="shared" si="1"/>
        <v>0</v>
      </c>
      <c r="G73" s="1793">
        <f t="shared" si="3"/>
        <v>0</v>
      </c>
    </row>
    <row r="74" spans="1:7" x14ac:dyDescent="0.25">
      <c r="A74" s="1653"/>
      <c r="B74" s="1667"/>
      <c r="C74" s="1654"/>
      <c r="D74" s="1844"/>
      <c r="E74" s="1540">
        <f t="shared" ref="E74:E85" si="4">IF(D74&lt;=25000,D74,IF(D74&gt;25000,25000,0))</f>
        <v>0</v>
      </c>
      <c r="F74" s="1935">
        <f t="shared" si="1"/>
        <v>0</v>
      </c>
      <c r="G74" s="1793">
        <f t="shared" ref="G74:G85" si="5">IF(F74=0,0,D74-F74)</f>
        <v>0</v>
      </c>
    </row>
    <row r="75" spans="1:7" x14ac:dyDescent="0.25">
      <c r="A75" s="1653"/>
      <c r="B75" s="1667"/>
      <c r="C75" s="1654"/>
      <c r="D75" s="1844"/>
      <c r="E75" s="1540">
        <f t="shared" si="4"/>
        <v>0</v>
      </c>
      <c r="F75" s="1935">
        <f t="shared" si="1"/>
        <v>0</v>
      </c>
      <c r="G75" s="1793">
        <f t="shared" si="5"/>
        <v>0</v>
      </c>
    </row>
    <row r="76" spans="1:7" x14ac:dyDescent="0.25">
      <c r="A76" s="1653"/>
      <c r="B76" s="1667"/>
      <c r="C76" s="1654"/>
      <c r="D76" s="1844"/>
      <c r="E76" s="1540">
        <f t="shared" si="4"/>
        <v>0</v>
      </c>
      <c r="F76" s="1935">
        <f t="shared" si="1"/>
        <v>0</v>
      </c>
      <c r="G76" s="1793">
        <f t="shared" si="5"/>
        <v>0</v>
      </c>
    </row>
    <row r="77" spans="1:7" x14ac:dyDescent="0.25">
      <c r="A77" s="1653"/>
      <c r="B77" s="1667"/>
      <c r="C77" s="1654"/>
      <c r="D77" s="1844"/>
      <c r="E77" s="1540">
        <f t="shared" si="4"/>
        <v>0</v>
      </c>
      <c r="F77" s="1935">
        <f t="shared" si="1"/>
        <v>0</v>
      </c>
      <c r="G77" s="1793">
        <f t="shared" si="5"/>
        <v>0</v>
      </c>
    </row>
    <row r="78" spans="1:7" x14ac:dyDescent="0.25">
      <c r="A78" s="1653"/>
      <c r="B78" s="1667"/>
      <c r="C78" s="1654"/>
      <c r="D78" s="1844"/>
      <c r="E78" s="1540">
        <f t="shared" si="4"/>
        <v>0</v>
      </c>
      <c r="F78" s="1935">
        <f t="shared" si="1"/>
        <v>0</v>
      </c>
      <c r="G78" s="1793">
        <f t="shared" si="5"/>
        <v>0</v>
      </c>
    </row>
    <row r="79" spans="1:7" x14ac:dyDescent="0.25">
      <c r="A79" s="1653"/>
      <c r="B79" s="1667"/>
      <c r="C79" s="1654"/>
      <c r="D79" s="1844"/>
      <c r="E79" s="1540">
        <f t="shared" si="4"/>
        <v>0</v>
      </c>
      <c r="F79" s="1935">
        <f t="shared" si="1"/>
        <v>0</v>
      </c>
      <c r="G79" s="1793">
        <f t="shared" si="5"/>
        <v>0</v>
      </c>
    </row>
    <row r="80" spans="1:7" x14ac:dyDescent="0.25">
      <c r="A80" s="1653"/>
      <c r="B80" s="1667"/>
      <c r="C80" s="1654"/>
      <c r="D80" s="1844"/>
      <c r="E80" s="1540">
        <f t="shared" si="4"/>
        <v>0</v>
      </c>
      <c r="F80" s="1935">
        <f t="shared" si="1"/>
        <v>0</v>
      </c>
      <c r="G80" s="1793">
        <f t="shared" si="5"/>
        <v>0</v>
      </c>
    </row>
    <row r="81" spans="1:7" x14ac:dyDescent="0.25">
      <c r="A81" s="1653"/>
      <c r="B81" s="1667"/>
      <c r="C81" s="1654"/>
      <c r="D81" s="1844"/>
      <c r="E81" s="1540">
        <f t="shared" si="4"/>
        <v>0</v>
      </c>
      <c r="F81" s="1935">
        <f t="shared" si="1"/>
        <v>0</v>
      </c>
      <c r="G81" s="1793">
        <f t="shared" si="5"/>
        <v>0</v>
      </c>
    </row>
    <row r="82" spans="1:7" x14ac:dyDescent="0.25">
      <c r="A82" s="1653"/>
      <c r="B82" s="1667"/>
      <c r="C82" s="1654"/>
      <c r="D82" s="1844"/>
      <c r="E82" s="1540">
        <f t="shared" si="4"/>
        <v>0</v>
      </c>
      <c r="F82" s="1935">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5">
        <f t="shared" si="6"/>
        <v>0</v>
      </c>
      <c r="G83" s="1793">
        <f t="shared" si="5"/>
        <v>0</v>
      </c>
    </row>
    <row r="84" spans="1:7" x14ac:dyDescent="0.25">
      <c r="A84" s="1653"/>
      <c r="B84" s="1667"/>
      <c r="C84" s="1654"/>
      <c r="D84" s="1844"/>
      <c r="E84" s="1540">
        <f t="shared" si="4"/>
        <v>0</v>
      </c>
      <c r="F84" s="1935">
        <f t="shared" si="6"/>
        <v>0</v>
      </c>
      <c r="G84" s="1793">
        <f t="shared" si="5"/>
        <v>0</v>
      </c>
    </row>
    <row r="85" spans="1:7" x14ac:dyDescent="0.25">
      <c r="A85" s="1653"/>
      <c r="B85" s="1667"/>
      <c r="C85" s="1654"/>
      <c r="D85" s="1844"/>
      <c r="E85" s="1540">
        <f t="shared" si="4"/>
        <v>0</v>
      </c>
      <c r="F85" s="1935">
        <f t="shared" si="6"/>
        <v>0</v>
      </c>
      <c r="G85" s="1793">
        <f t="shared" si="5"/>
        <v>0</v>
      </c>
    </row>
    <row r="86" spans="1:7" x14ac:dyDescent="0.25">
      <c r="A86" s="1653"/>
      <c r="B86" s="1667"/>
      <c r="C86" s="1654"/>
      <c r="D86" s="1844"/>
      <c r="E86" s="1540">
        <f t="shared" si="2"/>
        <v>0</v>
      </c>
      <c r="F86" s="1935">
        <f t="shared" si="6"/>
        <v>0</v>
      </c>
      <c r="G86" s="1793">
        <f t="shared" si="3"/>
        <v>0</v>
      </c>
    </row>
    <row r="87" spans="1:7" x14ac:dyDescent="0.25">
      <c r="A87" s="1653"/>
      <c r="B87" s="1667"/>
      <c r="C87" s="1654"/>
      <c r="D87" s="1844"/>
      <c r="E87" s="1540">
        <f t="shared" si="2"/>
        <v>0</v>
      </c>
      <c r="F87" s="1935">
        <f t="shared" si="6"/>
        <v>0</v>
      </c>
      <c r="G87" s="1793">
        <f t="shared" si="3"/>
        <v>0</v>
      </c>
    </row>
    <row r="88" spans="1:7" x14ac:dyDescent="0.25">
      <c r="A88" s="1653"/>
      <c r="B88" s="1667"/>
      <c r="C88" s="1654"/>
      <c r="D88" s="1844"/>
      <c r="E88" s="1540">
        <f t="shared" si="2"/>
        <v>0</v>
      </c>
      <c r="F88" s="1935">
        <f t="shared" si="6"/>
        <v>0</v>
      </c>
      <c r="G88" s="1793">
        <f t="shared" si="3"/>
        <v>0</v>
      </c>
    </row>
    <row r="89" spans="1:7" x14ac:dyDescent="0.25">
      <c r="A89" s="1653"/>
      <c r="B89" s="1667"/>
      <c r="C89" s="1654"/>
      <c r="D89" s="1844"/>
      <c r="E89" s="1540">
        <f t="shared" si="2"/>
        <v>0</v>
      </c>
      <c r="F89" s="1935">
        <f t="shared" si="6"/>
        <v>0</v>
      </c>
      <c r="G89" s="1793">
        <f t="shared" si="3"/>
        <v>0</v>
      </c>
    </row>
    <row r="90" spans="1:7" x14ac:dyDescent="0.25">
      <c r="A90" s="1653"/>
      <c r="B90" s="1667"/>
      <c r="C90" s="1654"/>
      <c r="D90" s="1844"/>
      <c r="E90" s="1540">
        <f t="shared" si="2"/>
        <v>0</v>
      </c>
      <c r="F90" s="1935">
        <f t="shared" si="6"/>
        <v>0</v>
      </c>
      <c r="G90" s="1793">
        <f t="shared" si="3"/>
        <v>0</v>
      </c>
    </row>
    <row r="91" spans="1:7" x14ac:dyDescent="0.25">
      <c r="A91" s="1653"/>
      <c r="B91" s="1667"/>
      <c r="C91" s="1654"/>
      <c r="D91" s="1844"/>
      <c r="E91" s="1540">
        <f t="shared" si="2"/>
        <v>0</v>
      </c>
      <c r="F91" s="1935">
        <f t="shared" si="6"/>
        <v>0</v>
      </c>
      <c r="G91" s="1793">
        <f t="shared" si="3"/>
        <v>0</v>
      </c>
    </row>
    <row r="92" spans="1:7" x14ac:dyDescent="0.25">
      <c r="A92" s="1653"/>
      <c r="B92" s="1667"/>
      <c r="C92" s="1654"/>
      <c r="D92" s="1844"/>
      <c r="E92" s="1540">
        <f t="shared" si="2"/>
        <v>0</v>
      </c>
      <c r="F92" s="1935">
        <f t="shared" si="6"/>
        <v>0</v>
      </c>
      <c r="G92" s="1793">
        <f t="shared" si="3"/>
        <v>0</v>
      </c>
    </row>
    <row r="93" spans="1:7" x14ac:dyDescent="0.25">
      <c r="A93" s="1653"/>
      <c r="B93" s="1667"/>
      <c r="C93" s="1654"/>
      <c r="D93" s="1844"/>
      <c r="E93" s="1540">
        <f t="shared" si="2"/>
        <v>0</v>
      </c>
      <c r="F93" s="1935">
        <f t="shared" si="6"/>
        <v>0</v>
      </c>
      <c r="G93" s="1793">
        <f t="shared" si="3"/>
        <v>0</v>
      </c>
    </row>
    <row r="94" spans="1:7" x14ac:dyDescent="0.25">
      <c r="A94" s="1653"/>
      <c r="B94" s="1667"/>
      <c r="C94" s="1654"/>
      <c r="D94" s="1844"/>
      <c r="E94" s="1540">
        <f t="shared" ref="E94" si="7">IF(D94&lt;=25000,D94,IF(D94&gt;25000,25000,0))</f>
        <v>0</v>
      </c>
      <c r="F94" s="1935">
        <f t="shared" si="6"/>
        <v>0</v>
      </c>
      <c r="G94" s="1793">
        <f t="shared" ref="G94" si="8">IF(F94=0,0,D94-F94)</f>
        <v>0</v>
      </c>
    </row>
    <row r="95" spans="1:7" x14ac:dyDescent="0.25">
      <c r="A95" s="1653"/>
      <c r="B95" s="1667"/>
      <c r="C95" s="1654"/>
      <c r="D95" s="1844"/>
      <c r="E95" s="1540">
        <f t="shared" si="2"/>
        <v>0</v>
      </c>
      <c r="F95" s="1935">
        <f t="shared" si="6"/>
        <v>0</v>
      </c>
      <c r="G95" s="1793">
        <f t="shared" si="3"/>
        <v>0</v>
      </c>
    </row>
    <row r="96" spans="1:7" x14ac:dyDescent="0.25">
      <c r="A96" s="1653"/>
      <c r="B96" s="1667"/>
      <c r="C96" s="1654"/>
      <c r="D96" s="1844"/>
      <c r="E96" s="1540">
        <f t="shared" ref="E96:E99" si="9">IF(D96&lt;=25000,D96,IF(D96&gt;25000,25000,0))</f>
        <v>0</v>
      </c>
      <c r="F96" s="1935">
        <f t="shared" si="6"/>
        <v>0</v>
      </c>
      <c r="G96" s="1793">
        <f t="shared" ref="G96:G99" si="10">IF(F96=0,0,D96-F96)</f>
        <v>0</v>
      </c>
    </row>
    <row r="97" spans="1:7" x14ac:dyDescent="0.25">
      <c r="A97" s="1653"/>
      <c r="B97" s="1667"/>
      <c r="C97" s="1654"/>
      <c r="D97" s="1844"/>
      <c r="E97" s="1540">
        <f t="shared" si="9"/>
        <v>0</v>
      </c>
      <c r="F97" s="1935">
        <f t="shared" si="6"/>
        <v>0</v>
      </c>
      <c r="G97" s="1793">
        <f t="shared" si="10"/>
        <v>0</v>
      </c>
    </row>
    <row r="98" spans="1:7" x14ac:dyDescent="0.25">
      <c r="A98" s="1653"/>
      <c r="B98" s="1667"/>
      <c r="C98" s="1654"/>
      <c r="D98" s="1844"/>
      <c r="E98" s="1540">
        <f t="shared" si="9"/>
        <v>0</v>
      </c>
      <c r="F98" s="1935">
        <f t="shared" si="6"/>
        <v>0</v>
      </c>
      <c r="G98" s="1793">
        <f t="shared" si="10"/>
        <v>0</v>
      </c>
    </row>
    <row r="99" spans="1:7" x14ac:dyDescent="0.25">
      <c r="A99" s="1653"/>
      <c r="B99" s="1667"/>
      <c r="C99" s="1654"/>
      <c r="D99" s="1844"/>
      <c r="E99" s="1540">
        <f t="shared" si="9"/>
        <v>0</v>
      </c>
      <c r="F99" s="1935">
        <f t="shared" si="6"/>
        <v>0</v>
      </c>
      <c r="G99" s="1793">
        <f t="shared" si="10"/>
        <v>0</v>
      </c>
    </row>
    <row r="100" spans="1:7" x14ac:dyDescent="0.25">
      <c r="A100" s="1653"/>
      <c r="B100" s="1667"/>
      <c r="C100" s="1654"/>
      <c r="D100" s="1844"/>
      <c r="E100" s="1540">
        <f t="shared" ref="E100" si="11">IF(D100&lt;=25000,D100,IF(D100&gt;25000,25000,0))</f>
        <v>0</v>
      </c>
      <c r="F100" s="1935">
        <f t="shared" si="6"/>
        <v>0</v>
      </c>
      <c r="G100" s="1793">
        <f t="shared" ref="G100" si="12">IF(F100=0,0,D100-F100)</f>
        <v>0</v>
      </c>
    </row>
    <row r="101" spans="1:7" x14ac:dyDescent="0.25">
      <c r="A101" s="1653"/>
      <c r="B101" s="1667"/>
      <c r="C101" s="1654"/>
      <c r="D101" s="1844"/>
      <c r="E101" s="1540">
        <f t="shared" ref="E101:E113" si="13">IF(D101&lt;=25000,D101,IF(D101&gt;25000,25000,0))</f>
        <v>0</v>
      </c>
      <c r="F101" s="1935">
        <f t="shared" si="6"/>
        <v>0</v>
      </c>
      <c r="G101" s="1793">
        <f t="shared" ref="G101:G113" si="14">IF(F101=0,0,D101-F101)</f>
        <v>0</v>
      </c>
    </row>
    <row r="102" spans="1:7" x14ac:dyDescent="0.25">
      <c r="A102" s="1653"/>
      <c r="B102" s="1667"/>
      <c r="C102" s="1654"/>
      <c r="D102" s="1844"/>
      <c r="E102" s="1540">
        <f t="shared" si="13"/>
        <v>0</v>
      </c>
      <c r="F102" s="1935">
        <f t="shared" si="6"/>
        <v>0</v>
      </c>
      <c r="G102" s="1793">
        <f t="shared" si="14"/>
        <v>0</v>
      </c>
    </row>
    <row r="103" spans="1:7" x14ac:dyDescent="0.25">
      <c r="A103" s="1653"/>
      <c r="B103" s="1667"/>
      <c r="C103" s="1654"/>
      <c r="D103" s="1844"/>
      <c r="E103" s="1540">
        <f t="shared" si="13"/>
        <v>0</v>
      </c>
      <c r="F103" s="1935">
        <f t="shared" si="6"/>
        <v>0</v>
      </c>
      <c r="G103" s="1793">
        <f t="shared" si="14"/>
        <v>0</v>
      </c>
    </row>
    <row r="104" spans="1:7" x14ac:dyDescent="0.25">
      <c r="A104" s="1653"/>
      <c r="B104" s="1667"/>
      <c r="C104" s="1654"/>
      <c r="D104" s="1844"/>
      <c r="E104" s="1540">
        <f t="shared" si="13"/>
        <v>0</v>
      </c>
      <c r="F104" s="1935">
        <f t="shared" si="6"/>
        <v>0</v>
      </c>
      <c r="G104" s="1793">
        <f t="shared" si="14"/>
        <v>0</v>
      </c>
    </row>
    <row r="105" spans="1:7" x14ac:dyDescent="0.25">
      <c r="A105" s="1653"/>
      <c r="B105" s="1667"/>
      <c r="C105" s="1654"/>
      <c r="D105" s="1844"/>
      <c r="E105" s="1540">
        <f t="shared" si="13"/>
        <v>0</v>
      </c>
      <c r="F105" s="1935">
        <f t="shared" si="6"/>
        <v>0</v>
      </c>
      <c r="G105" s="1793">
        <f t="shared" si="14"/>
        <v>0</v>
      </c>
    </row>
    <row r="106" spans="1:7" x14ac:dyDescent="0.25">
      <c r="A106" s="1653"/>
      <c r="B106" s="1667"/>
      <c r="C106" s="1654"/>
      <c r="D106" s="1844"/>
      <c r="E106" s="1540">
        <f t="shared" si="13"/>
        <v>0</v>
      </c>
      <c r="F106" s="1935">
        <f t="shared" si="6"/>
        <v>0</v>
      </c>
      <c r="G106" s="1793">
        <f t="shared" si="14"/>
        <v>0</v>
      </c>
    </row>
    <row r="107" spans="1:7" x14ac:dyDescent="0.25">
      <c r="A107" s="1653"/>
      <c r="B107" s="1667"/>
      <c r="C107" s="1654"/>
      <c r="D107" s="1844"/>
      <c r="E107" s="1540">
        <f t="shared" si="13"/>
        <v>0</v>
      </c>
      <c r="F107" s="1935">
        <f t="shared" si="6"/>
        <v>0</v>
      </c>
      <c r="G107" s="1793">
        <f t="shared" si="14"/>
        <v>0</v>
      </c>
    </row>
    <row r="108" spans="1:7" x14ac:dyDescent="0.25">
      <c r="A108" s="1653"/>
      <c r="B108" s="1667"/>
      <c r="C108" s="1654"/>
      <c r="D108" s="1844"/>
      <c r="E108" s="1540">
        <f t="shared" si="13"/>
        <v>0</v>
      </c>
      <c r="F108" s="1935">
        <f t="shared" si="6"/>
        <v>0</v>
      </c>
      <c r="G108" s="1793">
        <f t="shared" si="14"/>
        <v>0</v>
      </c>
    </row>
    <row r="109" spans="1:7" x14ac:dyDescent="0.25">
      <c r="A109" s="1653"/>
      <c r="B109" s="1667"/>
      <c r="C109" s="1654"/>
      <c r="D109" s="1844"/>
      <c r="E109" s="1540">
        <f t="shared" si="13"/>
        <v>0</v>
      </c>
      <c r="F109" s="1935">
        <f t="shared" si="6"/>
        <v>0</v>
      </c>
      <c r="G109" s="1793">
        <f t="shared" si="14"/>
        <v>0</v>
      </c>
    </row>
    <row r="110" spans="1:7" x14ac:dyDescent="0.25">
      <c r="A110" s="1653"/>
      <c r="B110" s="1667"/>
      <c r="C110" s="1654"/>
      <c r="D110" s="1844"/>
      <c r="E110" s="1540">
        <f t="shared" si="13"/>
        <v>0</v>
      </c>
      <c r="F110" s="1935">
        <f t="shared" si="6"/>
        <v>0</v>
      </c>
      <c r="G110" s="1793">
        <f t="shared" si="14"/>
        <v>0</v>
      </c>
    </row>
    <row r="111" spans="1:7" x14ac:dyDescent="0.25">
      <c r="A111" s="1653"/>
      <c r="B111" s="1667"/>
      <c r="C111" s="1654"/>
      <c r="D111" s="1844"/>
      <c r="E111" s="1540">
        <f t="shared" si="13"/>
        <v>0</v>
      </c>
      <c r="F111" s="1935">
        <f t="shared" si="6"/>
        <v>0</v>
      </c>
      <c r="G111" s="1793">
        <f t="shared" si="14"/>
        <v>0</v>
      </c>
    </row>
    <row r="112" spans="1:7" x14ac:dyDescent="0.25">
      <c r="A112" s="1653"/>
      <c r="B112" s="1667"/>
      <c r="C112" s="1654"/>
      <c r="D112" s="1844"/>
      <c r="E112" s="1540">
        <f t="shared" si="13"/>
        <v>0</v>
      </c>
      <c r="F112" s="1935">
        <f t="shared" si="6"/>
        <v>0</v>
      </c>
      <c r="G112" s="1793">
        <f t="shared" si="14"/>
        <v>0</v>
      </c>
    </row>
    <row r="113" spans="1:7" x14ac:dyDescent="0.25">
      <c r="A113" s="1653"/>
      <c r="B113" s="1667"/>
      <c r="C113" s="1654"/>
      <c r="D113" s="1844"/>
      <c r="E113" s="1540">
        <f t="shared" si="13"/>
        <v>0</v>
      </c>
      <c r="F113" s="1935">
        <f t="shared" si="6"/>
        <v>0</v>
      </c>
      <c r="G113" s="1793">
        <f t="shared" si="14"/>
        <v>0</v>
      </c>
    </row>
    <row r="114" spans="1:7" x14ac:dyDescent="0.25">
      <c r="A114" s="1653"/>
      <c r="B114" s="1667"/>
      <c r="C114" s="1654"/>
      <c r="D114" s="1844"/>
      <c r="E114" s="1540">
        <f t="shared" ref="E114:E126" si="15">IF(D114&lt;=25000,D114,IF(D114&gt;25000,25000,0))</f>
        <v>0</v>
      </c>
      <c r="F114" s="1935">
        <f t="shared" si="6"/>
        <v>0</v>
      </c>
      <c r="G114" s="1793">
        <f t="shared" ref="G114:G126" si="16">IF(F114=0,0,D114-F114)</f>
        <v>0</v>
      </c>
    </row>
    <row r="115" spans="1:7" x14ac:dyDescent="0.25">
      <c r="A115" s="1653"/>
      <c r="B115" s="1667"/>
      <c r="C115" s="1654"/>
      <c r="D115" s="1844"/>
      <c r="E115" s="1540">
        <f t="shared" si="15"/>
        <v>0</v>
      </c>
      <c r="F115" s="1935">
        <f t="shared" si="6"/>
        <v>0</v>
      </c>
      <c r="G115" s="1793">
        <f t="shared" si="16"/>
        <v>0</v>
      </c>
    </row>
    <row r="116" spans="1:7" x14ac:dyDescent="0.25">
      <c r="A116" s="1653"/>
      <c r="B116" s="1667"/>
      <c r="C116" s="1654"/>
      <c r="D116" s="1844"/>
      <c r="E116" s="1540">
        <f t="shared" si="15"/>
        <v>0</v>
      </c>
      <c r="F116" s="1935">
        <f t="shared" si="6"/>
        <v>0</v>
      </c>
      <c r="G116" s="1793">
        <f t="shared" si="16"/>
        <v>0</v>
      </c>
    </row>
    <row r="117" spans="1:7" x14ac:dyDescent="0.25">
      <c r="A117" s="1653"/>
      <c r="B117" s="1667"/>
      <c r="C117" s="1654"/>
      <c r="D117" s="1844"/>
      <c r="E117" s="1540">
        <f t="shared" si="15"/>
        <v>0</v>
      </c>
      <c r="F117" s="1935">
        <f t="shared" si="6"/>
        <v>0</v>
      </c>
      <c r="G117" s="1793">
        <f t="shared" si="16"/>
        <v>0</v>
      </c>
    </row>
    <row r="118" spans="1:7" x14ac:dyDescent="0.25">
      <c r="A118" s="1653"/>
      <c r="B118" s="1667"/>
      <c r="C118" s="1654"/>
      <c r="D118" s="1844"/>
      <c r="E118" s="1540">
        <f t="shared" si="15"/>
        <v>0</v>
      </c>
      <c r="F118" s="1935">
        <f t="shared" si="6"/>
        <v>0</v>
      </c>
      <c r="G118" s="1793">
        <f t="shared" si="16"/>
        <v>0</v>
      </c>
    </row>
    <row r="119" spans="1:7" x14ac:dyDescent="0.25">
      <c r="A119" s="1653"/>
      <c r="B119" s="1667"/>
      <c r="C119" s="1654"/>
      <c r="D119" s="1844"/>
      <c r="E119" s="1540">
        <f t="shared" si="15"/>
        <v>0</v>
      </c>
      <c r="F119" s="1935">
        <f t="shared" si="6"/>
        <v>0</v>
      </c>
      <c r="G119" s="1793">
        <f t="shared" si="16"/>
        <v>0</v>
      </c>
    </row>
    <row r="120" spans="1:7" x14ac:dyDescent="0.25">
      <c r="A120" s="1653"/>
      <c r="B120" s="1667"/>
      <c r="C120" s="1654"/>
      <c r="D120" s="1844"/>
      <c r="E120" s="1540">
        <f t="shared" si="15"/>
        <v>0</v>
      </c>
      <c r="F120" s="1935">
        <f t="shared" si="6"/>
        <v>0</v>
      </c>
      <c r="G120" s="1793">
        <f t="shared" si="16"/>
        <v>0</v>
      </c>
    </row>
    <row r="121" spans="1:7" x14ac:dyDescent="0.25">
      <c r="A121" s="1653"/>
      <c r="B121" s="1667"/>
      <c r="C121" s="1654"/>
      <c r="D121" s="1844"/>
      <c r="E121" s="1540">
        <f t="shared" si="15"/>
        <v>0</v>
      </c>
      <c r="F121" s="1935">
        <f t="shared" si="6"/>
        <v>0</v>
      </c>
      <c r="G121" s="1793">
        <f t="shared" si="16"/>
        <v>0</v>
      </c>
    </row>
    <row r="122" spans="1:7" x14ac:dyDescent="0.25">
      <c r="A122" s="1653"/>
      <c r="B122" s="1667"/>
      <c r="C122" s="1654"/>
      <c r="D122" s="1844"/>
      <c r="E122" s="1540">
        <f t="shared" si="15"/>
        <v>0</v>
      </c>
      <c r="F122" s="1935">
        <f t="shared" si="6"/>
        <v>0</v>
      </c>
      <c r="G122" s="1793">
        <f t="shared" si="16"/>
        <v>0</v>
      </c>
    </row>
    <row r="123" spans="1:7" x14ac:dyDescent="0.25">
      <c r="A123" s="1653"/>
      <c r="B123" s="1667"/>
      <c r="C123" s="1654"/>
      <c r="D123" s="1844"/>
      <c r="E123" s="1540">
        <f t="shared" si="15"/>
        <v>0</v>
      </c>
      <c r="F123" s="1935">
        <f t="shared" si="6"/>
        <v>0</v>
      </c>
      <c r="G123" s="1793">
        <f t="shared" si="16"/>
        <v>0</v>
      </c>
    </row>
    <row r="124" spans="1:7" x14ac:dyDescent="0.25">
      <c r="A124" s="1653"/>
      <c r="B124" s="1667"/>
      <c r="C124" s="1654"/>
      <c r="D124" s="1844"/>
      <c r="E124" s="1540">
        <f t="shared" si="15"/>
        <v>0</v>
      </c>
      <c r="F124" s="1935">
        <f t="shared" si="6"/>
        <v>0</v>
      </c>
      <c r="G124" s="1793">
        <f t="shared" si="16"/>
        <v>0</v>
      </c>
    </row>
    <row r="125" spans="1:7" x14ac:dyDescent="0.25">
      <c r="A125" s="1653"/>
      <c r="B125" s="1667"/>
      <c r="C125" s="1654"/>
      <c r="D125" s="1844"/>
      <c r="E125" s="1540">
        <f t="shared" si="15"/>
        <v>0</v>
      </c>
      <c r="F125" s="1935">
        <f t="shared" si="6"/>
        <v>0</v>
      </c>
      <c r="G125" s="1793">
        <f t="shared" si="16"/>
        <v>0</v>
      </c>
    </row>
    <row r="126" spans="1:7" x14ac:dyDescent="0.25">
      <c r="A126" s="1653"/>
      <c r="B126" s="1667"/>
      <c r="C126" s="1654"/>
      <c r="D126" s="1844"/>
      <c r="E126" s="1540">
        <f t="shared" si="15"/>
        <v>0</v>
      </c>
      <c r="F126" s="1935">
        <f t="shared" si="6"/>
        <v>0</v>
      </c>
      <c r="G126" s="1793">
        <f t="shared" si="16"/>
        <v>0</v>
      </c>
    </row>
    <row r="127" spans="1:7" x14ac:dyDescent="0.25">
      <c r="A127" s="1653"/>
      <c r="B127" s="1667"/>
      <c r="C127" s="1654"/>
      <c r="D127" s="1844"/>
      <c r="E127" s="1540">
        <f t="shared" ref="E127:E135" si="17">IF(D127&lt;=25000,D127,IF(D127&gt;25000,25000,0))</f>
        <v>0</v>
      </c>
      <c r="F127" s="1935">
        <f t="shared" si="6"/>
        <v>0</v>
      </c>
      <c r="G127" s="1793">
        <f t="shared" ref="G127:G135" si="18">IF(F127=0,0,D127-F127)</f>
        <v>0</v>
      </c>
    </row>
    <row r="128" spans="1:7" x14ac:dyDescent="0.25">
      <c r="A128" s="1653"/>
      <c r="B128" s="1667"/>
      <c r="C128" s="1654"/>
      <c r="D128" s="1844"/>
      <c r="E128" s="1540">
        <f t="shared" si="17"/>
        <v>0</v>
      </c>
      <c r="F128" s="1935">
        <f t="shared" si="6"/>
        <v>0</v>
      </c>
      <c r="G128" s="1793">
        <f t="shared" si="18"/>
        <v>0</v>
      </c>
    </row>
    <row r="129" spans="1:7" x14ac:dyDescent="0.25">
      <c r="A129" s="1653"/>
      <c r="B129" s="1667"/>
      <c r="C129" s="1654"/>
      <c r="D129" s="1844"/>
      <c r="E129" s="1540">
        <f t="shared" si="17"/>
        <v>0</v>
      </c>
      <c r="F129" s="1935">
        <f t="shared" si="6"/>
        <v>0</v>
      </c>
      <c r="G129" s="1793">
        <f t="shared" si="18"/>
        <v>0</v>
      </c>
    </row>
    <row r="130" spans="1:7" x14ac:dyDescent="0.25">
      <c r="A130" s="1653"/>
      <c r="B130" s="1667"/>
      <c r="C130" s="1654"/>
      <c r="D130" s="1844"/>
      <c r="E130" s="1540">
        <f t="shared" si="17"/>
        <v>0</v>
      </c>
      <c r="F130" s="1935">
        <f t="shared" si="6"/>
        <v>0</v>
      </c>
      <c r="G130" s="1793">
        <f t="shared" si="18"/>
        <v>0</v>
      </c>
    </row>
    <row r="131" spans="1:7" x14ac:dyDescent="0.25">
      <c r="A131" s="1653"/>
      <c r="B131" s="1667"/>
      <c r="C131" s="1654"/>
      <c r="D131" s="1844"/>
      <c r="E131" s="1540">
        <f t="shared" si="17"/>
        <v>0</v>
      </c>
      <c r="F131" s="1935">
        <f t="shared" si="6"/>
        <v>0</v>
      </c>
      <c r="G131" s="1793">
        <f t="shared" si="18"/>
        <v>0</v>
      </c>
    </row>
    <row r="132" spans="1:7" x14ac:dyDescent="0.25">
      <c r="A132" s="1653"/>
      <c r="B132" s="1837"/>
      <c r="C132" s="1654"/>
      <c r="D132" s="1844"/>
      <c r="E132" s="1540">
        <f t="shared" si="17"/>
        <v>0</v>
      </c>
      <c r="F132" s="1935">
        <f t="shared" si="6"/>
        <v>0</v>
      </c>
      <c r="G132" s="1793">
        <f t="shared" si="18"/>
        <v>0</v>
      </c>
    </row>
    <row r="133" spans="1:7" x14ac:dyDescent="0.25">
      <c r="A133" s="1653"/>
      <c r="B133" s="1837"/>
      <c r="C133" s="1654"/>
      <c r="D133" s="1844"/>
      <c r="E133" s="1540">
        <f t="shared" si="17"/>
        <v>0</v>
      </c>
      <c r="F133" s="1935">
        <f t="shared" si="6"/>
        <v>0</v>
      </c>
      <c r="G133" s="1793">
        <f t="shared" si="18"/>
        <v>0</v>
      </c>
    </row>
    <row r="134" spans="1:7" x14ac:dyDescent="0.25">
      <c r="A134" s="1653"/>
      <c r="B134" s="1667"/>
      <c r="C134" s="1654"/>
      <c r="D134" s="1844"/>
      <c r="E134" s="1540">
        <f t="shared" si="17"/>
        <v>0</v>
      </c>
      <c r="F134" s="1935">
        <f t="shared" si="6"/>
        <v>0</v>
      </c>
      <c r="G134" s="1793">
        <f t="shared" si="18"/>
        <v>0</v>
      </c>
    </row>
    <row r="135" spans="1:7" x14ac:dyDescent="0.25">
      <c r="A135" s="1653"/>
      <c r="B135" s="1667"/>
      <c r="C135" s="1654"/>
      <c r="D135" s="1844"/>
      <c r="E135" s="1540">
        <f t="shared" si="17"/>
        <v>0</v>
      </c>
      <c r="F135" s="1935">
        <f t="shared" si="6"/>
        <v>0</v>
      </c>
      <c r="G135" s="1793">
        <f t="shared" si="18"/>
        <v>0</v>
      </c>
    </row>
    <row r="136" spans="1:7" x14ac:dyDescent="0.25">
      <c r="A136" s="1653"/>
      <c r="B136" s="1667"/>
      <c r="C136" s="1654"/>
      <c r="D136" s="1844"/>
      <c r="E136" s="1540">
        <f t="shared" ref="E136:E140" si="19">IF(D136&lt;=25000,D136,IF(D136&gt;25000,25000,0))</f>
        <v>0</v>
      </c>
      <c r="F136" s="1935">
        <f t="shared" si="6"/>
        <v>0</v>
      </c>
      <c r="G136" s="1793">
        <f t="shared" ref="G136:G140" si="20">IF(F136=0,0,D136-F136)</f>
        <v>0</v>
      </c>
    </row>
    <row r="137" spans="1:7" x14ac:dyDescent="0.25">
      <c r="A137" s="1653"/>
      <c r="B137" s="1667"/>
      <c r="C137" s="1654"/>
      <c r="D137" s="1844"/>
      <c r="E137" s="1540">
        <f t="shared" si="19"/>
        <v>0</v>
      </c>
      <c r="F137" s="1935">
        <f t="shared" si="6"/>
        <v>0</v>
      </c>
      <c r="G137" s="1793">
        <f t="shared" si="20"/>
        <v>0</v>
      </c>
    </row>
    <row r="138" spans="1:7" x14ac:dyDescent="0.25">
      <c r="A138" s="1653"/>
      <c r="B138" s="1667"/>
      <c r="C138" s="1654"/>
      <c r="D138" s="1844"/>
      <c r="E138" s="1540">
        <f t="shared" si="19"/>
        <v>0</v>
      </c>
      <c r="F138" s="1935">
        <f t="shared" si="6"/>
        <v>0</v>
      </c>
      <c r="G138" s="1793">
        <f t="shared" si="20"/>
        <v>0</v>
      </c>
    </row>
    <row r="139" spans="1:7" x14ac:dyDescent="0.25">
      <c r="A139" s="1653"/>
      <c r="B139" s="1667"/>
      <c r="C139" s="1654"/>
      <c r="D139" s="1844"/>
      <c r="E139" s="1540">
        <f t="shared" si="19"/>
        <v>0</v>
      </c>
      <c r="F139" s="1935">
        <f t="shared" si="6"/>
        <v>0</v>
      </c>
      <c r="G139" s="1793">
        <f t="shared" si="20"/>
        <v>0</v>
      </c>
    </row>
    <row r="140" spans="1:7" x14ac:dyDescent="0.25">
      <c r="A140" s="1653"/>
      <c r="B140" s="1667"/>
      <c r="C140" s="1654"/>
      <c r="D140" s="1844"/>
      <c r="E140" s="1540">
        <f t="shared" si="19"/>
        <v>0</v>
      </c>
      <c r="F140" s="1935">
        <f t="shared" si="6"/>
        <v>0</v>
      </c>
      <c r="G140" s="1793">
        <f t="shared" si="20"/>
        <v>0</v>
      </c>
    </row>
    <row r="141" spans="1:7" x14ac:dyDescent="0.25">
      <c r="A141" s="1653"/>
      <c r="B141" s="1666"/>
      <c r="C141" s="1654"/>
      <c r="D141" s="1844"/>
      <c r="E141" s="1540">
        <f t="shared" si="2"/>
        <v>0</v>
      </c>
      <c r="F141" s="1935">
        <f t="shared" si="6"/>
        <v>0</v>
      </c>
      <c r="G141" s="1793">
        <f t="shared" si="3"/>
        <v>0</v>
      </c>
    </row>
    <row r="142" spans="1:7" x14ac:dyDescent="0.25">
      <c r="A142" s="1796" t="s">
        <v>156</v>
      </c>
      <c r="B142" s="1797"/>
      <c r="C142" s="1798"/>
      <c r="D142" s="1794">
        <f>SUM(D18:D141)</f>
        <v>114070</v>
      </c>
      <c r="E142" s="1541">
        <f t="shared" si="0"/>
        <v>25000</v>
      </c>
      <c r="F142" s="1931">
        <f>SUM(F18:F141)</f>
        <v>80278</v>
      </c>
      <c r="G142" s="1795">
        <f>SUM(G18:G141)</f>
        <v>33792</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58859</v>
      </c>
      <c r="F10" s="974"/>
      <c r="G10" s="975"/>
      <c r="H10" s="162"/>
      <c r="I10" s="162"/>
    </row>
    <row r="11" spans="1:9" s="668" customFormat="1" ht="22.5" customHeight="1" x14ac:dyDescent="0.2">
      <c r="A11" s="2289" t="s">
        <v>1975</v>
      </c>
      <c r="B11" s="2290"/>
      <c r="C11" s="2290"/>
      <c r="D11" s="2291"/>
      <c r="E11" s="977">
        <v>8275</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1134808</v>
      </c>
      <c r="F19" s="1799"/>
      <c r="G19" s="1801">
        <f>'Expenditures 15-22'!K33-SUM('Expenditures 15-22'!G33,'Expenditures 15-22'!I33)+'Expenditures 15-22'!D229</f>
        <v>1134808</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80428</v>
      </c>
      <c r="F21" s="1802"/>
      <c r="G21" s="1805">
        <f>'Expenditures 15-22'!K42-SUM('Expenditures 15-22'!G42,'Expenditures 15-22'!I42)+'Expenditures 15-22'!K120-SUM('Expenditures 15-22'!G120,'Expenditures 15-22'!I120)+'Expenditures 15-22'!K180-SUM('Expenditures 15-22'!G180,'Expenditures 15-22'!I180)+'Expenditures 15-22'!D238</f>
        <v>80428</v>
      </c>
      <c r="H21" s="987"/>
      <c r="I21" s="162"/>
    </row>
    <row r="22" spans="1:9" s="668" customFormat="1" ht="12" customHeight="1" x14ac:dyDescent="0.2">
      <c r="A22" s="994" t="s">
        <v>564</v>
      </c>
      <c r="B22" s="995"/>
      <c r="C22" s="993">
        <v>2200</v>
      </c>
      <c r="D22" s="1802"/>
      <c r="E22" s="1804">
        <f>'Expenditures 15-22'!K47-SUM('Expenditures 15-22'!G47,'Expenditures 15-22'!I47)+'Expenditures 15-22'!D243</f>
        <v>85800</v>
      </c>
      <c r="F22" s="1802"/>
      <c r="G22" s="1805">
        <f>'Expenditures 15-22'!K47-SUM('Expenditures 15-22'!G47,'Expenditures 15-22'!I47)+'Expenditures 15-22'!D243</f>
        <v>85800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139377</v>
      </c>
      <c r="F23" s="1802"/>
      <c r="G23" s="1804">
        <f>'Expenditures 15-22'!K53-SUM('Expenditures 15-22'!G53,'Expenditures 15-22'!I53)+'Expenditures 15-22'!D257+'Expenditures 15-22'!K330-SUM('Expenditures 15-22'!G330,'Expenditures 15-22'!I330)</f>
        <v>139377</v>
      </c>
      <c r="H23" s="987"/>
      <c r="I23" s="162"/>
    </row>
    <row r="24" spans="1:9" s="668" customFormat="1" ht="12" customHeight="1" x14ac:dyDescent="0.2">
      <c r="A24" s="994" t="s">
        <v>566</v>
      </c>
      <c r="B24" s="995"/>
      <c r="C24" s="993">
        <v>2400</v>
      </c>
      <c r="D24" s="1802"/>
      <c r="E24" s="1804">
        <f>'Expenditures 15-22'!K57-SUM('Expenditures 15-22'!G57,'Expenditures 15-22'!I57)+'Expenditures 15-22'!D261</f>
        <v>167830</v>
      </c>
      <c r="F24" s="1802"/>
      <c r="G24" s="1805">
        <f>'Expenditures 15-22'!K57-SUM('Expenditures 15-22'!G57,'Expenditures 15-22'!I57)+'Expenditures 15-22'!D261</f>
        <v>167830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63337</v>
      </c>
      <c r="E27" s="1804">
        <f>E8</f>
        <v>0</v>
      </c>
      <c r="F27" s="1804">
        <f>'Expenditures 15-22'!K60-SUM('Expenditures 15-22'!G60,'Expenditures 15-22'!I60)+'Expenditures 15-22'!D264-E8</f>
        <v>63337</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207302</v>
      </c>
      <c r="F28" s="1806">
        <f>'Expenditures 15-22'!K61-SUM('Expenditures 15-22'!G61,'Expenditures 15-22'!I61)+'Expenditures 15-22'!K124-SUM('Expenditures 15-22'!G124,'Expenditures 15-22'!I124)+'Expenditures 15-22'!D266-E9</f>
        <v>207302</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81137</v>
      </c>
      <c r="F29" s="1802"/>
      <c r="G29" s="1805">
        <f>'Expenditures 15-22'!K62-SUM('Expenditures 15-22'!G62,'Expenditures 15-22'!I62)+'Expenditures 15-22'!K125-SUM('Expenditures 15-22'!G125,'Expenditures 15-22'!I125)+'Expenditures 15-22'!K182-SUM('Expenditures 15-22'!G182,'Expenditures 15-22'!I182)+'Expenditures 15-22'!D267</f>
        <v>81137</v>
      </c>
      <c r="H29" s="985"/>
    </row>
    <row r="30" spans="1:9" ht="12" customHeight="1" x14ac:dyDescent="0.2">
      <c r="A30" s="994" t="s">
        <v>100</v>
      </c>
      <c r="B30" s="997"/>
      <c r="C30" s="993">
        <v>2560</v>
      </c>
      <c r="D30" s="1802"/>
      <c r="E30" s="1804">
        <f>'Expenditures 15-22'!K63-SUM('Expenditures 15-22'!G63,'Expenditures 15-22'!I63)+'Expenditures 15-22'!D268-E10</f>
        <v>58418</v>
      </c>
      <c r="F30" s="1802"/>
      <c r="G30" s="1804">
        <f>'Expenditures 15-22'!K63-SUM('Expenditures 15-22'!G63,'Expenditures 15-22'!I63)+'Expenditures 15-22'!D268-E10</f>
        <v>58418</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444</v>
      </c>
      <c r="F39" s="1802"/>
      <c r="G39" s="1804">
        <f>'Expenditures 15-22'!K75-SUM('Expenditures 15-22'!G75,'Expenditures 15-22'!I75)+'Expenditures 15-22'!K130-SUM('Expenditures 15-22'!G130,'Expenditures 15-22'!I130)+'Expenditures 15-22'!K185-SUM('Expenditures 15-22'!G185,'Expenditures 15-22'!I185)+'Expenditures 15-22'!D280</f>
        <v>444</v>
      </c>
    </row>
    <row r="40" spans="1:7" ht="12" customHeight="1" x14ac:dyDescent="0.2">
      <c r="A40" s="990" t="s">
        <v>1823</v>
      </c>
      <c r="B40" s="991"/>
      <c r="C40" s="993"/>
      <c r="D40" s="1802"/>
      <c r="E40" s="1806">
        <f>-'Contracts Paid in CY 29'!G142</f>
        <v>-33792</v>
      </c>
      <c r="F40" s="1802"/>
      <c r="G40" s="1806">
        <f>-'Contracts Paid in CY 29'!G142</f>
        <v>-33792</v>
      </c>
    </row>
    <row r="41" spans="1:7" ht="12" customHeight="1" x14ac:dyDescent="0.2">
      <c r="A41" s="998" t="s">
        <v>156</v>
      </c>
      <c r="B41" s="999"/>
      <c r="C41" s="1000"/>
      <c r="D41" s="1806">
        <f>SUM(D19:D39)</f>
        <v>63337</v>
      </c>
      <c r="E41" s="1806">
        <f>SUM(E19:E40)</f>
        <v>1921752</v>
      </c>
      <c r="F41" s="1806">
        <f>SUM(F19:F39)</f>
        <v>270639</v>
      </c>
      <c r="G41" s="1806">
        <f>SUM(G19:G40)</f>
        <v>1714450</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63337</v>
      </c>
      <c r="F43" s="1807" t="s">
        <v>473</v>
      </c>
      <c r="G43" s="1808">
        <f>F41</f>
        <v>270639</v>
      </c>
    </row>
    <row r="44" spans="1:7" ht="12" customHeight="1" x14ac:dyDescent="0.2">
      <c r="A44" s="987"/>
      <c r="B44" s="162"/>
      <c r="C44" s="1001"/>
      <c r="D44" s="1807" t="s">
        <v>474</v>
      </c>
      <c r="E44" s="1808">
        <f>E41</f>
        <v>1921752</v>
      </c>
      <c r="F44" s="1807" t="s">
        <v>474</v>
      </c>
      <c r="G44" s="1808">
        <f>G41</f>
        <v>1714450</v>
      </c>
    </row>
    <row r="45" spans="1:7" ht="12" customHeight="1" x14ac:dyDescent="0.2">
      <c r="A45" s="987"/>
      <c r="B45" s="162"/>
      <c r="C45" s="162"/>
      <c r="D45" s="1809" t="s">
        <v>1006</v>
      </c>
      <c r="E45" s="1810">
        <f>(E43/E44)</f>
        <v>3.2957946706963226E-2</v>
      </c>
      <c r="F45" s="1809" t="s">
        <v>1006</v>
      </c>
      <c r="G45" s="1810">
        <f>(G43/G44)</f>
        <v>0.1578576219778938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1" activePane="bottomLeft" state="frozen"/>
      <selection activeCell="A47" sqref="A47"/>
      <selection pane="bottomLeft" activeCell="C22" sqref="C22"/>
    </sheetView>
  </sheetViews>
  <sheetFormatPr defaultColWidth="9.140625" defaultRowHeight="12.75" x14ac:dyDescent="0.2"/>
  <cols>
    <col min="1" max="1" width="54.5703125" style="1875" customWidth="1"/>
    <col min="2" max="2" width="4.140625" style="1875" customWidth="1"/>
    <col min="3" max="4" width="9.85546875" style="1847" customWidth="1"/>
    <col min="5" max="5" width="12.5703125" style="1876" customWidth="1"/>
    <col min="6" max="6" width="67.5703125" style="1847" customWidth="1"/>
    <col min="7" max="7" width="9.140625" style="1847" customWidth="1"/>
    <col min="8" max="8" width="5.5703125" style="1877" bestFit="1" customWidth="1"/>
    <col min="9" max="10" width="2" style="1877" bestFit="1" customWidth="1"/>
    <col min="11" max="11" width="9" style="1877" customWidth="1"/>
    <col min="12" max="16384" width="9.140625" style="1847"/>
  </cols>
  <sheetData>
    <row r="1" spans="1:10" x14ac:dyDescent="0.2">
      <c r="A1" s="2295" t="s">
        <v>1379</v>
      </c>
      <c r="B1" s="2295"/>
      <c r="C1" s="2295"/>
      <c r="D1" s="2295"/>
      <c r="E1" s="2295"/>
      <c r="F1" s="2295"/>
    </row>
    <row r="2" spans="1:10" x14ac:dyDescent="0.2">
      <c r="A2" s="1886" t="s">
        <v>1911</v>
      </c>
      <c r="B2" s="1848"/>
      <c r="C2" s="1886"/>
      <c r="D2" s="1848"/>
      <c r="E2" s="1848"/>
      <c r="F2" s="1849"/>
    </row>
    <row r="3" spans="1:10" x14ac:dyDescent="0.2">
      <c r="A3" s="1886" t="s">
        <v>1976</v>
      </c>
      <c r="B3" s="1848"/>
      <c r="C3" s="1886"/>
      <c r="D3" s="1848"/>
      <c r="E3" s="1848"/>
      <c r="F3" s="1849"/>
    </row>
    <row r="4" spans="1:10" ht="3.75" customHeight="1" x14ac:dyDescent="0.2">
      <c r="A4" s="1848"/>
      <c r="B4" s="1848"/>
      <c r="C4" s="1848"/>
      <c r="D4" s="1848"/>
      <c r="E4" s="1848"/>
      <c r="F4" s="1849"/>
    </row>
    <row r="5" spans="1:10" ht="15" x14ac:dyDescent="0.25">
      <c r="A5" s="2296" t="s">
        <v>1546</v>
      </c>
      <c r="B5" s="2297"/>
      <c r="C5" s="2298"/>
      <c r="D5" s="2298"/>
      <c r="E5" s="2298"/>
      <c r="F5" s="2298"/>
    </row>
    <row r="6" spans="1:10" ht="12" customHeight="1" x14ac:dyDescent="0.25">
      <c r="A6" s="1850"/>
      <c r="B6" s="1851"/>
      <c r="C6" s="2299" t="str">
        <f>COVER!A17</f>
        <v>South Pekin SD 137</v>
      </c>
      <c r="D6" s="2299"/>
      <c r="E6" s="2299"/>
      <c r="F6" s="1852"/>
    </row>
    <row r="7" spans="1:10" ht="11.25" customHeight="1" thickBot="1" x14ac:dyDescent="0.3">
      <c r="A7" s="1850"/>
      <c r="B7" s="1851"/>
      <c r="C7" s="2300">
        <f>COVER!A13</f>
        <v>53090137002</v>
      </c>
      <c r="D7" s="2300"/>
      <c r="E7" s="2300"/>
      <c r="F7" s="1852"/>
    </row>
    <row r="8" spans="1:10" ht="25.5" customHeight="1" thickBot="1" x14ac:dyDescent="0.25">
      <c r="A8" s="1892" t="s">
        <v>1907</v>
      </c>
      <c r="B8" s="1853"/>
      <c r="C8" s="1888" t="s">
        <v>1681</v>
      </c>
      <c r="D8" s="1887" t="s">
        <v>1682</v>
      </c>
      <c r="E8" s="1889" t="s">
        <v>1380</v>
      </c>
      <c r="F8" s="1887"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0" t="s">
        <v>1381</v>
      </c>
      <c r="F10" s="1891" t="s">
        <v>1382</v>
      </c>
    </row>
    <row r="11" spans="1:10" ht="12" customHeight="1" x14ac:dyDescent="0.2">
      <c r="A11" s="1863" t="s">
        <v>1383</v>
      </c>
      <c r="B11" s="1864"/>
      <c r="C11" s="1939" t="s">
        <v>2084</v>
      </c>
      <c r="D11" s="1939" t="s">
        <v>2084</v>
      </c>
      <c r="E11" s="1865"/>
      <c r="F11" s="1866" t="s">
        <v>2085</v>
      </c>
      <c r="H11" s="1877">
        <f>IF(C11="X",5,0)</f>
        <v>5</v>
      </c>
      <c r="I11" s="1877">
        <f>IF(D11="X",5,0)</f>
        <v>5</v>
      </c>
      <c r="J11" s="1877">
        <f>IF(E11="X",5,0)</f>
        <v>0</v>
      </c>
    </row>
    <row r="12" spans="1:10" ht="12" customHeight="1" x14ac:dyDescent="0.2">
      <c r="A12" s="1863" t="s">
        <v>1384</v>
      </c>
      <c r="B12" s="1864"/>
      <c r="C12" s="1939"/>
      <c r="D12" s="1939"/>
      <c r="E12" s="1867"/>
      <c r="F12" s="1866"/>
      <c r="H12" s="1877">
        <f t="shared" ref="H12:H33" si="0">IF(C12="X",5,0)</f>
        <v>0</v>
      </c>
      <c r="I12" s="1877">
        <f t="shared" ref="I12:I33" si="1">IF(D12="X",5,0)</f>
        <v>0</v>
      </c>
      <c r="J12" s="1877">
        <f t="shared" ref="J12:J33" si="2">IF(E12="X",5,0)</f>
        <v>0</v>
      </c>
    </row>
    <row r="13" spans="1:10" ht="12" customHeight="1" x14ac:dyDescent="0.2">
      <c r="A13" s="1863" t="s">
        <v>1385</v>
      </c>
      <c r="B13" s="1864"/>
      <c r="C13" s="1939"/>
      <c r="D13" s="1939"/>
      <c r="E13" s="1867"/>
      <c r="F13" s="1866"/>
      <c r="H13" s="1877">
        <f t="shared" si="0"/>
        <v>0</v>
      </c>
      <c r="I13" s="1877">
        <f t="shared" si="1"/>
        <v>0</v>
      </c>
      <c r="J13" s="1877">
        <f t="shared" si="2"/>
        <v>0</v>
      </c>
    </row>
    <row r="14" spans="1:10" ht="12" customHeight="1" x14ac:dyDescent="0.2">
      <c r="A14" s="1863" t="s">
        <v>1386</v>
      </c>
      <c r="B14" s="1864"/>
      <c r="C14" s="1939"/>
      <c r="D14" s="1939"/>
      <c r="E14" s="1867"/>
      <c r="F14" s="1866"/>
      <c r="H14" s="1877">
        <f t="shared" si="0"/>
        <v>0</v>
      </c>
      <c r="I14" s="1877">
        <f t="shared" si="1"/>
        <v>0</v>
      </c>
      <c r="J14" s="1877">
        <f t="shared" si="2"/>
        <v>0</v>
      </c>
    </row>
    <row r="15" spans="1:10" ht="12" customHeight="1" x14ac:dyDescent="0.2">
      <c r="A15" s="1863" t="s">
        <v>1387</v>
      </c>
      <c r="B15" s="1864"/>
      <c r="C15" s="1939"/>
      <c r="D15" s="1939"/>
      <c r="E15" s="1867"/>
      <c r="F15" s="1866"/>
      <c r="H15" s="1877">
        <f t="shared" si="0"/>
        <v>0</v>
      </c>
      <c r="I15" s="1877">
        <f t="shared" si="1"/>
        <v>0</v>
      </c>
      <c r="J15" s="1877">
        <f t="shared" si="2"/>
        <v>0</v>
      </c>
    </row>
    <row r="16" spans="1:10" ht="12" customHeight="1" x14ac:dyDescent="0.2">
      <c r="A16" s="1863" t="s">
        <v>1388</v>
      </c>
      <c r="B16" s="1864"/>
      <c r="C16" s="1939" t="s">
        <v>2084</v>
      </c>
      <c r="D16" s="1939" t="s">
        <v>2084</v>
      </c>
      <c r="E16" s="1867"/>
      <c r="F16" s="1866" t="s">
        <v>2086</v>
      </c>
      <c r="H16" s="1877">
        <f t="shared" si="0"/>
        <v>5</v>
      </c>
      <c r="I16" s="1877">
        <f t="shared" si="1"/>
        <v>5</v>
      </c>
      <c r="J16" s="1877">
        <f t="shared" si="2"/>
        <v>0</v>
      </c>
    </row>
    <row r="17" spans="1:12" ht="12" customHeight="1" x14ac:dyDescent="0.2">
      <c r="A17" s="1863" t="s">
        <v>1389</v>
      </c>
      <c r="B17" s="1864"/>
      <c r="C17" s="1939"/>
      <c r="D17" s="1939"/>
      <c r="E17" s="1867"/>
      <c r="F17" s="1866"/>
      <c r="H17" s="1877">
        <f t="shared" si="0"/>
        <v>0</v>
      </c>
      <c r="I17" s="1877">
        <f t="shared" si="1"/>
        <v>0</v>
      </c>
      <c r="J17" s="1877">
        <f t="shared" si="2"/>
        <v>0</v>
      </c>
    </row>
    <row r="18" spans="1:12" ht="12" customHeight="1" x14ac:dyDescent="0.2">
      <c r="A18" s="1863" t="s">
        <v>1390</v>
      </c>
      <c r="B18" s="1864"/>
      <c r="C18" s="1939"/>
      <c r="D18" s="1939"/>
      <c r="E18" s="1867"/>
      <c r="F18" s="1866"/>
      <c r="H18" s="1877">
        <f t="shared" si="0"/>
        <v>0</v>
      </c>
      <c r="I18" s="1877">
        <f t="shared" si="1"/>
        <v>0</v>
      </c>
      <c r="J18" s="1877">
        <f t="shared" si="2"/>
        <v>0</v>
      </c>
    </row>
    <row r="19" spans="1:12" ht="12" customHeight="1" x14ac:dyDescent="0.2">
      <c r="A19" s="1863" t="s">
        <v>1527</v>
      </c>
      <c r="B19" s="1864"/>
      <c r="C19" s="1939"/>
      <c r="D19" s="1939"/>
      <c r="E19" s="1867"/>
      <c r="F19" s="1866"/>
      <c r="H19" s="1877">
        <f t="shared" si="0"/>
        <v>0</v>
      </c>
      <c r="I19" s="1877">
        <f t="shared" si="1"/>
        <v>0</v>
      </c>
      <c r="J19" s="1877">
        <f t="shared" si="2"/>
        <v>0</v>
      </c>
    </row>
    <row r="20" spans="1:12" ht="12" customHeight="1" x14ac:dyDescent="0.2">
      <c r="A20" s="1863" t="s">
        <v>1528</v>
      </c>
      <c r="B20" s="1864"/>
      <c r="C20" s="1939"/>
      <c r="D20" s="1939"/>
      <c r="E20" s="1867"/>
      <c r="F20" s="1866"/>
      <c r="H20" s="1877">
        <f t="shared" si="0"/>
        <v>0</v>
      </c>
      <c r="I20" s="1877">
        <f t="shared" si="1"/>
        <v>0</v>
      </c>
      <c r="J20" s="1877">
        <f t="shared" si="2"/>
        <v>0</v>
      </c>
    </row>
    <row r="21" spans="1:12" ht="12" customHeight="1" x14ac:dyDescent="0.2">
      <c r="A21" s="1863" t="s">
        <v>1529</v>
      </c>
      <c r="B21" s="1864"/>
      <c r="C21" s="1939"/>
      <c r="D21" s="1939"/>
      <c r="E21" s="1867"/>
      <c r="F21" s="1866"/>
      <c r="H21" s="1877">
        <f t="shared" si="0"/>
        <v>0</v>
      </c>
      <c r="I21" s="1877">
        <f t="shared" si="1"/>
        <v>0</v>
      </c>
      <c r="J21" s="1877">
        <f t="shared" si="2"/>
        <v>0</v>
      </c>
    </row>
    <row r="22" spans="1:12" ht="12" customHeight="1" x14ac:dyDescent="0.2">
      <c r="A22" s="1863" t="s">
        <v>1530</v>
      </c>
      <c r="B22" s="1864"/>
      <c r="C22" s="1939"/>
      <c r="D22" s="1939"/>
      <c r="E22" s="1867"/>
      <c r="F22" s="1866"/>
      <c r="H22" s="1877">
        <f t="shared" si="0"/>
        <v>0</v>
      </c>
      <c r="I22" s="1877">
        <f t="shared" si="1"/>
        <v>0</v>
      </c>
      <c r="J22" s="1877">
        <f t="shared" si="2"/>
        <v>0</v>
      </c>
    </row>
    <row r="23" spans="1:12" ht="12" customHeight="1" x14ac:dyDescent="0.2">
      <c r="A23" s="1863" t="s">
        <v>1531</v>
      </c>
      <c r="B23" s="1864"/>
      <c r="C23" s="1939"/>
      <c r="D23" s="1939"/>
      <c r="E23" s="1867"/>
      <c r="F23" s="1866"/>
      <c r="H23" s="1877">
        <f t="shared" si="0"/>
        <v>0</v>
      </c>
      <c r="I23" s="1877">
        <f t="shared" si="1"/>
        <v>0</v>
      </c>
      <c r="J23" s="1877">
        <f t="shared" si="2"/>
        <v>0</v>
      </c>
    </row>
    <row r="24" spans="1:12" ht="12" customHeight="1" x14ac:dyDescent="0.2">
      <c r="A24" s="1863" t="s">
        <v>1532</v>
      </c>
      <c r="B24" s="1864"/>
      <c r="C24" s="1939"/>
      <c r="D24" s="1939" t="s">
        <v>2084</v>
      </c>
      <c r="E24" s="1867"/>
      <c r="F24" s="1866" t="s">
        <v>2119</v>
      </c>
      <c r="H24" s="1877">
        <f t="shared" si="0"/>
        <v>0</v>
      </c>
      <c r="I24" s="1877">
        <f t="shared" si="1"/>
        <v>5</v>
      </c>
      <c r="J24" s="1877">
        <f t="shared" si="2"/>
        <v>0</v>
      </c>
    </row>
    <row r="25" spans="1:12" ht="12" customHeight="1" x14ac:dyDescent="0.2">
      <c r="A25" s="1863" t="s">
        <v>1533</v>
      </c>
      <c r="B25" s="1864"/>
      <c r="C25" s="1939" t="s">
        <v>2084</v>
      </c>
      <c r="D25" s="1939" t="s">
        <v>2084</v>
      </c>
      <c r="E25" s="1867"/>
      <c r="F25" s="1866" t="s">
        <v>2087</v>
      </c>
      <c r="H25" s="1877">
        <f t="shared" si="0"/>
        <v>5</v>
      </c>
      <c r="I25" s="1877">
        <f t="shared" si="1"/>
        <v>5</v>
      </c>
      <c r="J25" s="1877">
        <f t="shared" si="2"/>
        <v>0</v>
      </c>
    </row>
    <row r="26" spans="1:12" ht="12" customHeight="1" x14ac:dyDescent="0.2">
      <c r="A26" s="1863" t="s">
        <v>1534</v>
      </c>
      <c r="B26" s="1864"/>
      <c r="C26" s="1939" t="s">
        <v>2084</v>
      </c>
      <c r="D26" s="1939" t="s">
        <v>2084</v>
      </c>
      <c r="E26" s="1867"/>
      <c r="F26" s="1866" t="s">
        <v>2087</v>
      </c>
      <c r="H26" s="1877">
        <f t="shared" si="0"/>
        <v>5</v>
      </c>
      <c r="I26" s="1877">
        <f t="shared" si="1"/>
        <v>5</v>
      </c>
      <c r="J26" s="1877">
        <f t="shared" si="2"/>
        <v>0</v>
      </c>
    </row>
    <row r="27" spans="1:12" ht="18.75" x14ac:dyDescent="0.2">
      <c r="A27" s="1863" t="s">
        <v>1535</v>
      </c>
      <c r="B27" s="1864"/>
      <c r="C27" s="1939"/>
      <c r="D27" s="1939"/>
      <c r="E27" s="1867"/>
      <c r="F27" s="1866"/>
      <c r="H27" s="1877">
        <f t="shared" si="0"/>
        <v>0</v>
      </c>
      <c r="I27" s="1877">
        <f t="shared" si="1"/>
        <v>0</v>
      </c>
      <c r="J27" s="1877">
        <f t="shared" si="2"/>
        <v>0</v>
      </c>
    </row>
    <row r="28" spans="1:12" ht="12" customHeight="1" x14ac:dyDescent="0.2">
      <c r="A28" s="1863" t="s">
        <v>1536</v>
      </c>
      <c r="B28" s="1864"/>
      <c r="C28" s="1939" t="s">
        <v>2084</v>
      </c>
      <c r="D28" s="1939" t="s">
        <v>2084</v>
      </c>
      <c r="E28" s="1867"/>
      <c r="F28" s="1866" t="s">
        <v>2088</v>
      </c>
      <c r="H28" s="1877">
        <f t="shared" si="0"/>
        <v>5</v>
      </c>
      <c r="I28" s="1877">
        <f t="shared" si="1"/>
        <v>5</v>
      </c>
      <c r="J28" s="1877">
        <f t="shared" si="2"/>
        <v>0</v>
      </c>
    </row>
    <row r="29" spans="1:12" ht="12" customHeight="1" x14ac:dyDescent="0.2">
      <c r="A29" s="1863" t="s">
        <v>1537</v>
      </c>
      <c r="B29" s="1864"/>
      <c r="C29" s="1939"/>
      <c r="D29" s="1939"/>
      <c r="E29" s="1867"/>
      <c r="F29" s="1866"/>
      <c r="H29" s="1877">
        <f t="shared" si="0"/>
        <v>0</v>
      </c>
      <c r="I29" s="1877">
        <f t="shared" si="1"/>
        <v>0</v>
      </c>
      <c r="J29" s="1877">
        <f t="shared" si="2"/>
        <v>0</v>
      </c>
    </row>
    <row r="30" spans="1:12" ht="12" customHeight="1" x14ac:dyDescent="0.2">
      <c r="A30" s="1863" t="s">
        <v>1538</v>
      </c>
      <c r="B30" s="1864"/>
      <c r="C30" s="1939" t="s">
        <v>2084</v>
      </c>
      <c r="D30" s="1939" t="s">
        <v>2084</v>
      </c>
      <c r="E30" s="1867"/>
      <c r="F30" s="1866" t="s">
        <v>2120</v>
      </c>
      <c r="H30" s="1877">
        <f t="shared" si="0"/>
        <v>5</v>
      </c>
      <c r="I30" s="1877">
        <f t="shared" si="1"/>
        <v>5</v>
      </c>
      <c r="J30" s="1877">
        <f t="shared" si="2"/>
        <v>0</v>
      </c>
    </row>
    <row r="31" spans="1:12" ht="12" customHeight="1" x14ac:dyDescent="0.2">
      <c r="A31" s="1863" t="s">
        <v>1539</v>
      </c>
      <c r="B31" s="1864"/>
      <c r="C31" s="1939"/>
      <c r="D31" s="1939"/>
      <c r="E31" s="1867"/>
      <c r="F31" s="1866"/>
      <c r="H31" s="1877">
        <f t="shared" si="0"/>
        <v>0</v>
      </c>
      <c r="I31" s="1877">
        <f t="shared" si="1"/>
        <v>0</v>
      </c>
      <c r="J31" s="1877">
        <f t="shared" si="2"/>
        <v>0</v>
      </c>
      <c r="L31" s="1868"/>
    </row>
    <row r="32" spans="1:12" ht="12" customHeight="1" x14ac:dyDescent="0.2">
      <c r="A32" s="1863" t="s">
        <v>1540</v>
      </c>
      <c r="B32" s="1864"/>
      <c r="C32" s="1939" t="s">
        <v>2084</v>
      </c>
      <c r="D32" s="1939" t="s">
        <v>2084</v>
      </c>
      <c r="E32" s="1867"/>
      <c r="F32" s="1866" t="s">
        <v>2090</v>
      </c>
      <c r="H32" s="1877">
        <f t="shared" si="0"/>
        <v>5</v>
      </c>
      <c r="I32" s="1877">
        <f t="shared" si="1"/>
        <v>5</v>
      </c>
      <c r="J32" s="1877">
        <f t="shared" si="2"/>
        <v>0</v>
      </c>
    </row>
    <row r="33" spans="1:11" ht="12" customHeight="1" x14ac:dyDescent="0.2">
      <c r="A33" s="1863" t="s">
        <v>1541</v>
      </c>
      <c r="B33" s="1864"/>
      <c r="C33" s="1939"/>
      <c r="D33" s="1939"/>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35</v>
      </c>
      <c r="I34" s="1877">
        <f>SUM(I11:I32)</f>
        <v>40</v>
      </c>
      <c r="J34" s="1877">
        <f>SUM(J11:J32)</f>
        <v>0</v>
      </c>
      <c r="K34" s="1877">
        <f>SUM(H34:J34)</f>
        <v>75</v>
      </c>
    </row>
    <row r="35" spans="1:11" ht="12" customHeight="1" x14ac:dyDescent="0.2">
      <c r="A35" s="1870" t="s">
        <v>1392</v>
      </c>
      <c r="B35" s="1871"/>
      <c r="C35" s="2301"/>
      <c r="D35" s="2301"/>
      <c r="E35" s="2301"/>
      <c r="F35" s="2302"/>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306"/>
      <c r="B38" s="2307"/>
      <c r="C38" s="2307"/>
      <c r="D38" s="2307"/>
      <c r="E38" s="2307"/>
      <c r="F38" s="2308"/>
    </row>
    <row r="39" spans="1:11" ht="4.5" hidden="1" customHeight="1" x14ac:dyDescent="0.2">
      <c r="A39" s="1872"/>
      <c r="B39" s="1872"/>
      <c r="C39" s="1872"/>
      <c r="D39" s="1872"/>
      <c r="E39" s="1872"/>
      <c r="F39" s="1872"/>
    </row>
    <row r="40" spans="1:11" s="1869" customFormat="1" ht="12" customHeight="1" x14ac:dyDescent="0.25">
      <c r="A40" s="1873" t="s">
        <v>1391</v>
      </c>
      <c r="B40" s="1874"/>
      <c r="C40" s="2309"/>
      <c r="D40" s="2309"/>
      <c r="E40" s="2309"/>
      <c r="F40" s="2310"/>
      <c r="H40" s="1878"/>
      <c r="I40" s="1878"/>
      <c r="J40" s="1878"/>
      <c r="K40" s="1878"/>
    </row>
    <row r="41" spans="1:11" s="1869" customFormat="1" ht="12" customHeight="1" x14ac:dyDescent="0.25">
      <c r="A41" s="2311"/>
      <c r="B41" s="2312"/>
      <c r="C41" s="2312"/>
      <c r="D41" s="2312"/>
      <c r="E41" s="2312"/>
      <c r="F41" s="2313"/>
      <c r="H41" s="1878"/>
      <c r="I41" s="1878"/>
      <c r="J41" s="1878"/>
      <c r="K41" s="1878"/>
    </row>
    <row r="42" spans="1:11" s="1869" customFormat="1" ht="12" customHeight="1" x14ac:dyDescent="0.25">
      <c r="A42" s="2311"/>
      <c r="B42" s="2312"/>
      <c r="C42" s="2312"/>
      <c r="D42" s="2312"/>
      <c r="E42" s="2312"/>
      <c r="F42" s="2313"/>
      <c r="H42" s="1878"/>
      <c r="I42" s="1878"/>
      <c r="J42" s="1878"/>
      <c r="K42" s="1878"/>
    </row>
    <row r="43" spans="1:11" s="1869" customFormat="1" ht="15" x14ac:dyDescent="0.25">
      <c r="A43" s="2303"/>
      <c r="B43" s="2304"/>
      <c r="C43" s="2304"/>
      <c r="D43" s="2304"/>
      <c r="E43" s="2304"/>
      <c r="F43" s="2305"/>
      <c r="H43" s="1878"/>
      <c r="I43" s="1878"/>
      <c r="J43" s="1878"/>
      <c r="K43" s="1878"/>
    </row>
    <row r="44" spans="1:11" s="1869" customFormat="1" ht="12" hidden="1" customHeight="1" x14ac:dyDescent="0.25">
      <c r="A44" s="2303"/>
      <c r="B44" s="2304"/>
      <c r="C44" s="2304"/>
      <c r="D44" s="2304"/>
      <c r="E44" s="2304"/>
      <c r="F44" s="2305"/>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7" colorId="8" zoomScale="110" zoomScaleNormal="110" workbookViewId="0">
      <selection activeCell="G23" sqref="G2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3" t="s">
        <v>672</v>
      </c>
      <c r="B6" s="1642"/>
      <c r="C6" s="1642"/>
      <c r="D6" s="1642"/>
      <c r="E6" s="1643"/>
      <c r="F6" s="1015"/>
      <c r="G6" s="1009"/>
      <c r="H6" s="1016" t="s">
        <v>1028</v>
      </c>
      <c r="I6" s="2319" t="str">
        <f>COVER!A17</f>
        <v>South Pekin SD 137</v>
      </c>
      <c r="J6" s="2320"/>
      <c r="Q6" s="1664"/>
    </row>
    <row r="7" spans="1:17" x14ac:dyDescent="0.2">
      <c r="A7" s="2321" t="s">
        <v>869</v>
      </c>
      <c r="B7" s="2322"/>
      <c r="C7" s="2322"/>
      <c r="D7" s="2322"/>
      <c r="E7" s="2323"/>
      <c r="F7" s="1017"/>
      <c r="G7" s="1009"/>
      <c r="H7" s="1016" t="s">
        <v>372</v>
      </c>
      <c r="I7" s="2324">
        <f>COVER!A13</f>
        <v>53090137002</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4" t="s">
        <v>1977</v>
      </c>
      <c r="F9" s="1023"/>
      <c r="G9" s="1023"/>
      <c r="H9" s="1895"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82908</v>
      </c>
      <c r="F12" s="1039"/>
      <c r="G12" s="1811">
        <f t="shared" ref="G12:G18" si="0">SUM(E12:F12)</f>
        <v>82908</v>
      </c>
      <c r="H12" s="1040">
        <v>86000</v>
      </c>
      <c r="I12" s="1039"/>
      <c r="J12" s="1811">
        <f t="shared" ref="J12:J18" si="1">SUM(H12:I12)</f>
        <v>86000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82908</v>
      </c>
      <c r="F19" s="1813">
        <f t="shared" si="2"/>
        <v>0</v>
      </c>
      <c r="G19" s="1813">
        <f t="shared" si="2"/>
        <v>82908</v>
      </c>
      <c r="H19" s="1813">
        <f t="shared" si="2"/>
        <v>86000</v>
      </c>
      <c r="I19" s="1813">
        <f t="shared" si="2"/>
        <v>0</v>
      </c>
      <c r="J19" s="1813">
        <f t="shared" si="2"/>
        <v>86000</v>
      </c>
    </row>
    <row r="20" spans="1:10" ht="13.5" thickTop="1" x14ac:dyDescent="0.2">
      <c r="A20" s="1035">
        <v>9</v>
      </c>
      <c r="B20" s="2331" t="s">
        <v>1979</v>
      </c>
      <c r="C20" s="2331"/>
      <c r="D20" s="2332"/>
      <c r="E20" s="1046"/>
      <c r="F20" s="1046"/>
      <c r="G20" s="1046"/>
      <c r="H20" s="1046"/>
      <c r="I20" s="1046"/>
      <c r="J20" s="1814">
        <f>IF(AND(G19&gt;0,J19&gt;0),(((J19-G19)/G19)),"Enter Budget Data")</f>
        <v>3.7294350364259182E-2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1981</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71"/>
  <sheetViews>
    <sheetView showGridLines="0" zoomScale="110" zoomScaleNormal="110" workbookViewId="0">
      <selection activeCell="B9" sqref="B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2091</v>
      </c>
    </row>
    <row r="6" spans="1:2" x14ac:dyDescent="0.2">
      <c r="A6" s="1068"/>
      <c r="B6" s="329" t="s">
        <v>2092</v>
      </c>
    </row>
    <row r="7" spans="1:2" x14ac:dyDescent="0.2">
      <c r="A7" s="1068">
        <v>2</v>
      </c>
      <c r="B7" s="329" t="s">
        <v>2121</v>
      </c>
    </row>
    <row r="8" spans="1:2" x14ac:dyDescent="0.2">
      <c r="A8" s="1068"/>
      <c r="B8" s="329" t="s">
        <v>2122</v>
      </c>
    </row>
    <row r="9" spans="1:2" x14ac:dyDescent="0.2">
      <c r="A9" s="1068">
        <v>3</v>
      </c>
      <c r="B9" s="329" t="s">
        <v>2095</v>
      </c>
    </row>
    <row r="10" spans="1:2" x14ac:dyDescent="0.2">
      <c r="A10" s="1068"/>
      <c r="B10" s="329" t="s">
        <v>2096</v>
      </c>
    </row>
    <row r="11" spans="1:2" x14ac:dyDescent="0.2">
      <c r="A11" s="1068">
        <v>4</v>
      </c>
      <c r="B11" s="329" t="s">
        <v>2097</v>
      </c>
    </row>
    <row r="12" spans="1:2" x14ac:dyDescent="0.2">
      <c r="A12" s="1068"/>
      <c r="B12" s="329" t="s">
        <v>2098</v>
      </c>
    </row>
    <row r="13" spans="1:2" x14ac:dyDescent="0.2">
      <c r="A13" s="1068">
        <v>5</v>
      </c>
      <c r="B13" s="329" t="s">
        <v>2099</v>
      </c>
    </row>
    <row r="14" spans="1:2" x14ac:dyDescent="0.2">
      <c r="A14" s="1068"/>
      <c r="B14" s="329" t="s">
        <v>2100</v>
      </c>
    </row>
    <row r="15" spans="1:2" x14ac:dyDescent="0.2">
      <c r="A15" s="1068">
        <v>6</v>
      </c>
      <c r="B15" s="329" t="s">
        <v>2101</v>
      </c>
    </row>
    <row r="16" spans="1:2" x14ac:dyDescent="0.2">
      <c r="A16" s="1068"/>
      <c r="B16" s="329" t="s">
        <v>2102</v>
      </c>
    </row>
    <row r="17" spans="1:2" x14ac:dyDescent="0.2">
      <c r="A17" s="1068">
        <v>4</v>
      </c>
      <c r="B17" s="329" t="s">
        <v>2093</v>
      </c>
    </row>
    <row r="18" spans="1:2" x14ac:dyDescent="0.2">
      <c r="A18" s="1069"/>
      <c r="B18" s="329" t="s">
        <v>2094</v>
      </c>
    </row>
    <row r="19" spans="1:2" x14ac:dyDescent="0.2">
      <c r="A19" s="1069"/>
    </row>
    <row r="20" spans="1:2" x14ac:dyDescent="0.2">
      <c r="A20" s="1069"/>
    </row>
    <row r="21" spans="1:2" x14ac:dyDescent="0.2">
      <c r="A21" s="1069"/>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row>
    <row r="66" spans="1:2" x14ac:dyDescent="0.2">
      <c r="A66" s="1069"/>
    </row>
    <row r="67" spans="1:2" x14ac:dyDescent="0.2">
      <c r="A67" s="1069"/>
    </row>
    <row r="68" spans="1:2" x14ac:dyDescent="0.2">
      <c r="A68" s="1069"/>
    </row>
    <row r="69" spans="1:2" x14ac:dyDescent="0.2">
      <c r="A69" s="1069"/>
    </row>
    <row r="70" spans="1:2" x14ac:dyDescent="0.2">
      <c r="A70" s="1069"/>
      <c r="B70" s="258" t="str">
        <f>COVER!A17</f>
        <v>South Pekin SD 137</v>
      </c>
    </row>
    <row r="71" spans="1:2" x14ac:dyDescent="0.2">
      <c r="B71" s="1070">
        <f>COVER!A13</f>
        <v>53090137002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4" sqref="D1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1</xdr:row>
                <xdr:rowOff>0</xdr:rowOff>
              </from>
              <to>
                <xdr:col>1</xdr:col>
                <xdr:colOff>790575</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1514475</xdr:colOff>
                <xdr:row>1</xdr:row>
                <xdr:rowOff>9525</xdr:rowOff>
              </from>
              <to>
                <xdr:col>1</xdr:col>
                <xdr:colOff>2428875</xdr:colOff>
                <xdr:row>5</xdr:row>
                <xdr:rowOff>47625</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A31" sqref="A31:A3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1985</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1986</v>
      </c>
      <c r="B4" s="2359"/>
      <c r="C4" s="2359"/>
      <c r="D4" s="2359"/>
      <c r="E4" s="2359"/>
      <c r="F4" s="2360"/>
      <c r="G4" s="1074"/>
      <c r="H4" s="1074"/>
    </row>
    <row r="5" spans="1:8" ht="14.25" customHeight="1" x14ac:dyDescent="0.2">
      <c r="A5" s="2361" t="s">
        <v>1982</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1947158</v>
      </c>
      <c r="C8" s="1815">
        <f>'Acct Summary 7-8'!D8</f>
        <v>219973</v>
      </c>
      <c r="D8" s="1815">
        <f>'Acct Summary 7-8'!F8</f>
        <v>79119</v>
      </c>
      <c r="E8" s="1815">
        <f>'Acct Summary 7-8'!I8</f>
        <v>6363</v>
      </c>
      <c r="F8" s="1815">
        <f>SUM(B8:E8)</f>
        <v>2252613</v>
      </c>
    </row>
    <row r="9" spans="1:8" s="1079" customFormat="1" ht="14.25" customHeight="1" thickBot="1" x14ac:dyDescent="0.25">
      <c r="A9" s="1078" t="s">
        <v>1369</v>
      </c>
      <c r="B9" s="1816">
        <f>'Acct Summary 7-8'!C17</f>
        <v>1921614</v>
      </c>
      <c r="C9" s="1816">
        <f>'Acct Summary 7-8'!D17</f>
        <v>191134</v>
      </c>
      <c r="D9" s="1816">
        <f>'Acct Summary 7-8'!F17</f>
        <v>78846</v>
      </c>
      <c r="E9" s="1815"/>
      <c r="F9" s="1815">
        <f>SUM(B9:E9)</f>
        <v>2191594</v>
      </c>
    </row>
    <row r="10" spans="1:8" s="1079" customFormat="1" ht="14.25" thickTop="1" thickBot="1" x14ac:dyDescent="0.25">
      <c r="A10" s="1080" t="s">
        <v>1370</v>
      </c>
      <c r="B10" s="1817">
        <f>(B8-B9)</f>
        <v>25544</v>
      </c>
      <c r="C10" s="1817">
        <f>(C8-C9)</f>
        <v>28839</v>
      </c>
      <c r="D10" s="1817">
        <f>(D8-D9)</f>
        <v>273</v>
      </c>
      <c r="E10" s="1816">
        <f>(E8-E9)</f>
        <v>6363</v>
      </c>
      <c r="F10" s="1818">
        <f>SUM(F8-F9)</f>
        <v>61019</v>
      </c>
    </row>
    <row r="11" spans="1:8" s="1079" customFormat="1" ht="14.25" thickTop="1" thickBot="1" x14ac:dyDescent="0.25">
      <c r="A11" s="1081" t="s">
        <v>1983</v>
      </c>
      <c r="B11" s="1819">
        <f>'Acct Summary 7-8'!C81</f>
        <v>875552</v>
      </c>
      <c r="C11" s="1819">
        <f>'Acct Summary 7-8'!D81</f>
        <v>60805</v>
      </c>
      <c r="D11" s="1819">
        <f>'Acct Summary 7-8'!F81</f>
        <v>27904</v>
      </c>
      <c r="E11" s="1819">
        <f>'Acct Summary 7-8'!I81</f>
        <v>109966</v>
      </c>
      <c r="F11" s="1820">
        <f>SUM(B11:E11)</f>
        <v>1074227</v>
      </c>
    </row>
    <row r="12" spans="1:8" ht="16.5" customHeight="1" thickTop="1" x14ac:dyDescent="0.2">
      <c r="A12" s="1082"/>
      <c r="B12" s="1083"/>
      <c r="C12" s="2343" t="str">
        <f>IF(AND(F10&lt;0,F11&gt;=0,ABS(F10*3)&gt;ABS(F11)),A16,IF(AND(F10&lt;0,F11&gt;0,ABS(F10*3)&lt;=ABS(F11)),A17,IF(AND(F10&lt;0,F11&lt;0),A16,IF(F11=0,A19,A18))))</f>
        <v>Balanced - no deficit reduction plan is required.</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20" colorId="8" zoomScale="110" zoomScaleNormal="110" workbookViewId="0">
      <selection activeCell="G84" sqref="G84"/>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6"/>
      <c r="B2" s="1897"/>
      <c r="C2" s="1898"/>
      <c r="D2" s="1899"/>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53090137002</v>
      </c>
    </row>
    <row r="3" spans="1:2" x14ac:dyDescent="0.2">
      <c r="A3" t="s">
        <v>956</v>
      </c>
      <c r="B3" s="138" t="str">
        <f>COVER!A15</f>
        <v>TAZEWELL</v>
      </c>
    </row>
    <row r="4" spans="1:2" x14ac:dyDescent="0.2">
      <c r="A4" t="s">
        <v>1007</v>
      </c>
      <c r="B4" s="138" t="str">
        <f>COVER!A17</f>
        <v>South Pekin SD 137</v>
      </c>
    </row>
    <row r="5" spans="1:2" x14ac:dyDescent="0.2">
      <c r="A5" t="s">
        <v>704</v>
      </c>
      <c r="B5" s="138" t="str">
        <f>COVER!A38</f>
        <v>Mr. Seth Mingus</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Yes</v>
      </c>
    </row>
    <row r="15" spans="1:2" x14ac:dyDescent="0.2">
      <c r="A15" t="s">
        <v>577</v>
      </c>
      <c r="B15" s="138" t="str">
        <f>COVER!T23</f>
        <v>066-004355</v>
      </c>
    </row>
    <row r="16" spans="1:2" x14ac:dyDescent="0.2">
      <c r="A16" t="s">
        <v>422</v>
      </c>
      <c r="B16" s="138" t="str">
        <f>COVER!T13</f>
        <v>Phillips, Salmi &amp; Associates, LLC</v>
      </c>
    </row>
    <row r="17" spans="1:2" x14ac:dyDescent="0.2">
      <c r="A17" t="s">
        <v>884</v>
      </c>
      <c r="B17" s="138" t="str">
        <f>COVER!T15</f>
        <v>Aaron Phillips</v>
      </c>
    </row>
    <row r="18" spans="1:2" x14ac:dyDescent="0.2">
      <c r="A18" t="s">
        <v>1150</v>
      </c>
      <c r="B18" s="138" t="str">
        <f>COVER!T17</f>
        <v>112 S Main Street</v>
      </c>
    </row>
    <row r="19" spans="1:2" x14ac:dyDescent="0.2">
      <c r="A19" t="s">
        <v>886</v>
      </c>
      <c r="B19" s="138" t="str">
        <f>COVER!T25</f>
        <v>aphillips@psa-cpa.com</v>
      </c>
    </row>
    <row r="20" spans="1:2" x14ac:dyDescent="0.2">
      <c r="A20" t="s">
        <v>887</v>
      </c>
      <c r="B20" s="138" t="str">
        <f>COVER!T19</f>
        <v>WASHINGTON</v>
      </c>
    </row>
    <row r="21" spans="1:2" x14ac:dyDescent="0.2">
      <c r="A21" t="s">
        <v>479</v>
      </c>
      <c r="B21" s="138" t="str">
        <f>COVER!X19</f>
        <v>IL</v>
      </c>
    </row>
    <row r="22" spans="1:2" x14ac:dyDescent="0.2">
      <c r="A22" t="s">
        <v>888</v>
      </c>
      <c r="B22" s="138">
        <f>COVER!Z19</f>
        <v>61571</v>
      </c>
    </row>
    <row r="23" spans="1:2" x14ac:dyDescent="0.2">
      <c r="A23" t="s">
        <v>1152</v>
      </c>
      <c r="B23" s="138" t="str">
        <f>COVER!T21</f>
        <v>(309) 444-4909</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36161</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875552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875552</v>
      </c>
      <c r="D92" s="2" t="str">
        <f t="shared" si="0"/>
        <v>Error?</v>
      </c>
    </row>
    <row r="93" spans="1:4" x14ac:dyDescent="0.2">
      <c r="A93" s="5">
        <v>32</v>
      </c>
      <c r="B93" s="138">
        <f>'Assets-Liab 5-6'!C41</f>
        <v>875552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60805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60805</v>
      </c>
      <c r="D123" s="2" t="str">
        <f t="shared" si="0"/>
        <v>Error?</v>
      </c>
    </row>
    <row r="124" spans="1:4" x14ac:dyDescent="0.2">
      <c r="A124" s="5">
        <v>63</v>
      </c>
      <c r="B124" s="138">
        <f>'Assets-Liab 5-6'!D41</f>
        <v>60805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960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960</v>
      </c>
      <c r="D140" s="2" t="str">
        <f t="shared" si="1"/>
        <v>Error?</v>
      </c>
    </row>
    <row r="141" spans="1:4" x14ac:dyDescent="0.2">
      <c r="A141" s="5">
        <v>80</v>
      </c>
      <c r="B141" s="138">
        <f>'Assets-Liab 5-6'!E41</f>
        <v>960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27904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27904</v>
      </c>
      <c r="D170" s="2" t="str">
        <f t="shared" si="1"/>
        <v>Error?</v>
      </c>
    </row>
    <row r="171" spans="1:4" x14ac:dyDescent="0.2">
      <c r="A171" s="5">
        <v>110</v>
      </c>
      <c r="B171" s="138">
        <f>'Assets-Liab 5-6'!F41</f>
        <v>27904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33242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33242</v>
      </c>
      <c r="D189" s="2" t="str">
        <f t="shared" si="1"/>
        <v>Error?</v>
      </c>
    </row>
    <row r="190" spans="1:4" x14ac:dyDescent="0.2">
      <c r="A190" s="5">
        <v>129</v>
      </c>
      <c r="B190" s="138">
        <f>'Assets-Liab 5-6'!G41</f>
        <v>33242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3351</v>
      </c>
      <c r="D273" s="2" t="str">
        <f t="shared" si="3"/>
        <v>Error?</v>
      </c>
    </row>
    <row r="274" spans="1:4" x14ac:dyDescent="0.2">
      <c r="A274" s="5">
        <v>213</v>
      </c>
      <c r="B274" s="138">
        <f>'Assets-Liab 5-6'!M17</f>
        <v>2069367</v>
      </c>
      <c r="D274" s="2" t="str">
        <f t="shared" si="3"/>
        <v>Error?</v>
      </c>
    </row>
    <row r="275" spans="1:4" x14ac:dyDescent="0.2">
      <c r="A275" s="5">
        <v>214</v>
      </c>
      <c r="B275" s="138">
        <f>'Assets-Liab 5-6'!M18</f>
        <v>44316</v>
      </c>
      <c r="D275" s="2" t="str">
        <f t="shared" si="3"/>
        <v>Error?</v>
      </c>
    </row>
    <row r="276" spans="1:4" x14ac:dyDescent="0.2">
      <c r="A276" s="5">
        <v>215</v>
      </c>
      <c r="B276" s="138">
        <f>'Assets-Liab 5-6'!M19</f>
        <v>184831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2301865</v>
      </c>
      <c r="C279" s="2" t="s">
        <v>573</v>
      </c>
      <c r="D279" s="2" t="str">
        <f t="shared" si="3"/>
        <v>Error?</v>
      </c>
    </row>
    <row r="280" spans="1:4" x14ac:dyDescent="0.2">
      <c r="A280" s="5">
        <v>219</v>
      </c>
      <c r="B280" s="138">
        <f>'Assets-Liab 5-6'!M40</f>
        <v>2301865</v>
      </c>
      <c r="D280" s="2" t="str">
        <f t="shared" si="3"/>
        <v>Error?</v>
      </c>
    </row>
    <row r="281" spans="1:4" x14ac:dyDescent="0.2">
      <c r="A281" s="5">
        <v>220</v>
      </c>
      <c r="B281" s="138">
        <f>'Assets-Liab 5-6'!M41</f>
        <v>2301865</v>
      </c>
      <c r="C281" s="2" t="s">
        <v>573</v>
      </c>
      <c r="D281" s="2" t="str">
        <f t="shared" si="3"/>
        <v>Error?</v>
      </c>
    </row>
    <row r="282" spans="1:4" x14ac:dyDescent="0.2">
      <c r="A282" s="5">
        <v>221</v>
      </c>
      <c r="B282" s="138">
        <f>'Assets-Liab 5-6'!N21</f>
        <v>960</v>
      </c>
      <c r="D282" s="2" t="str">
        <f t="shared" si="3"/>
        <v>Error?</v>
      </c>
    </row>
    <row r="283" spans="1:4" x14ac:dyDescent="0.2">
      <c r="A283" s="5">
        <v>222</v>
      </c>
      <c r="B283" s="138">
        <f>'Assets-Liab 5-6'!N22</f>
        <v>664040</v>
      </c>
      <c r="D283" s="2" t="str">
        <f t="shared" si="3"/>
        <v>Error?</v>
      </c>
    </row>
    <row r="284" spans="1:4" x14ac:dyDescent="0.2">
      <c r="A284" s="5">
        <v>223</v>
      </c>
      <c r="B284" s="138">
        <f>'Assets-Liab 5-6'!N23</f>
        <v>665000</v>
      </c>
      <c r="C284" s="2" t="s">
        <v>573</v>
      </c>
      <c r="D284" s="2" t="str">
        <f t="shared" si="3"/>
        <v>Error?</v>
      </c>
    </row>
    <row r="285" spans="1:4" x14ac:dyDescent="0.2">
      <c r="A285" s="5">
        <v>224</v>
      </c>
      <c r="B285" s="138">
        <f>'Assets-Liab 5-6'!N36</f>
        <v>665000</v>
      </c>
      <c r="D285" s="2" t="str">
        <f t="shared" si="3"/>
        <v>Error?</v>
      </c>
    </row>
    <row r="286" spans="1:4" x14ac:dyDescent="0.2">
      <c r="A286" s="10">
        <v>225</v>
      </c>
      <c r="D286" s="2" t="str">
        <f t="shared" si="3"/>
        <v>OK</v>
      </c>
    </row>
    <row r="287" spans="1:4" x14ac:dyDescent="0.2">
      <c r="A287" s="5">
        <v>226</v>
      </c>
      <c r="B287" s="138">
        <f>'Assets-Liab 5-6'!N37</f>
        <v>665000</v>
      </c>
      <c r="C287" s="2" t="s">
        <v>573</v>
      </c>
      <c r="D287" s="2" t="str">
        <f t="shared" si="3"/>
        <v>Error?</v>
      </c>
    </row>
    <row r="288" spans="1:4" x14ac:dyDescent="0.2">
      <c r="A288" s="5">
        <v>227</v>
      </c>
      <c r="B288" s="138">
        <f>'Assets-Liab 5-6'!N41</f>
        <v>665000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569992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28882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878806</v>
      </c>
      <c r="C720" s="2" t="s">
        <v>573</v>
      </c>
      <c r="D720" s="2" t="str">
        <f t="shared" si="10"/>
        <v>Error?</v>
      </c>
    </row>
    <row r="721" spans="1:4" x14ac:dyDescent="0.2">
      <c r="A721" s="5">
        <v>660</v>
      </c>
      <c r="B721" s="138">
        <f>'Expenditures 15-22'!C36</f>
        <v>13886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49225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63111</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2806</v>
      </c>
      <c r="D732" s="2" t="str">
        <f t="shared" si="10"/>
        <v>Error?</v>
      </c>
    </row>
    <row r="733" spans="1:4" x14ac:dyDescent="0.2">
      <c r="A733" s="5">
        <v>672</v>
      </c>
      <c r="B733" s="138">
        <f>'Expenditures 15-22'!C50</f>
        <v>64000</v>
      </c>
      <c r="D733" s="2" t="str">
        <f t="shared" si="10"/>
        <v>Error?</v>
      </c>
    </row>
    <row r="734" spans="1:4" x14ac:dyDescent="0.2">
      <c r="A734" s="5">
        <v>673</v>
      </c>
      <c r="B734" s="138">
        <f>'Expenditures 15-22'!C53</f>
        <v>66806</v>
      </c>
      <c r="C734" s="2" t="s">
        <v>573</v>
      </c>
      <c r="D734" s="2" t="str">
        <f t="shared" si="10"/>
        <v>Error?</v>
      </c>
    </row>
    <row r="735" spans="1:4" x14ac:dyDescent="0.2">
      <c r="A735" s="5">
        <v>674</v>
      </c>
      <c r="B735" s="138">
        <f>'Expenditures 15-22'!C55</f>
        <v>123656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123656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45900</v>
      </c>
      <c r="D739" s="2" t="str">
        <f t="shared" si="10"/>
        <v>Error?</v>
      </c>
    </row>
    <row r="740" spans="1:4" x14ac:dyDescent="0.2">
      <c r="A740" s="5">
        <v>679</v>
      </c>
      <c r="B740" s="138">
        <f>'Expenditures 15-22'!C61</f>
        <v>81560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42467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169927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423500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1302306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64690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238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112952</v>
      </c>
      <c r="C778" s="2" t="s">
        <v>573</v>
      </c>
      <c r="D778" s="2" t="str">
        <f t="shared" si="11"/>
        <v>Error?</v>
      </c>
    </row>
    <row r="779" spans="1:4" x14ac:dyDescent="0.2">
      <c r="A779" s="5">
        <v>718</v>
      </c>
      <c r="B779" s="138">
        <f>'Expenditures 15-22'!D36</f>
        <v>49</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5906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5955</v>
      </c>
      <c r="C785" s="2" t="s">
        <v>573</v>
      </c>
      <c r="D785" s="2" t="str">
        <f t="shared" si="11"/>
        <v>Error?</v>
      </c>
    </row>
    <row r="786" spans="1:4" x14ac:dyDescent="0.2">
      <c r="A786" s="5">
        <v>725</v>
      </c>
      <c r="B786" s="138">
        <f>'Expenditures 15-22'!D44</f>
        <v>126</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126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8455</v>
      </c>
      <c r="D791" s="2" t="str">
        <f t="shared" si="11"/>
        <v>Error?</v>
      </c>
    </row>
    <row r="792" spans="1:4" x14ac:dyDescent="0.2">
      <c r="A792" s="5">
        <v>731</v>
      </c>
      <c r="B792" s="138">
        <f>'Expenditures 15-22'!D53</f>
        <v>8455</v>
      </c>
      <c r="C792" s="2" t="s">
        <v>573</v>
      </c>
      <c r="D792" s="2" t="str">
        <f t="shared" si="11"/>
        <v>Error?</v>
      </c>
    </row>
    <row r="793" spans="1:4" x14ac:dyDescent="0.2">
      <c r="A793" s="5">
        <v>732</v>
      </c>
      <c r="B793" s="138">
        <f>'Expenditures 15-22'!D55</f>
        <v>33329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33329</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5581</v>
      </c>
      <c r="D797" s="2" t="str">
        <f t="shared" si="11"/>
        <v>Error?</v>
      </c>
    </row>
    <row r="798" spans="1:4" x14ac:dyDescent="0.2">
      <c r="A798" s="5">
        <v>737</v>
      </c>
      <c r="B798" s="138">
        <f>'Expenditures 15-22'!D61</f>
        <v>10433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5176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21190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69055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182007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24881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5530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33050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1743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7950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9693</v>
      </c>
      <c r="C843" s="2" t="s">
        <v>573</v>
      </c>
      <c r="D843" s="2" t="str">
        <f t="shared" si="12"/>
        <v>Error?</v>
      </c>
    </row>
    <row r="844" spans="1:4" x14ac:dyDescent="0.2">
      <c r="A844" s="5">
        <v>783</v>
      </c>
      <c r="B844" s="138">
        <f>'Expenditures 15-22'!E44</f>
        <v>13810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68953</v>
      </c>
      <c r="D846" s="2" t="str">
        <f t="shared" si="12"/>
        <v>Error?</v>
      </c>
    </row>
    <row r="847" spans="1:4" x14ac:dyDescent="0.2">
      <c r="A847" s="5">
        <v>786</v>
      </c>
      <c r="B847" s="138">
        <f>'Expenditures 15-22'!E47</f>
        <v>82763</v>
      </c>
      <c r="C847" s="2" t="s">
        <v>573</v>
      </c>
      <c r="D847" s="2" t="str">
        <f t="shared" si="12"/>
        <v>Error?</v>
      </c>
    </row>
    <row r="848" spans="1:4" x14ac:dyDescent="0.2">
      <c r="A848" s="5">
        <v>787</v>
      </c>
      <c r="B848" s="138">
        <f>'Expenditures 15-22'!E49</f>
        <v>28629</v>
      </c>
      <c r="D848" s="2" t="str">
        <f t="shared" si="12"/>
        <v>Error?</v>
      </c>
    </row>
    <row r="849" spans="1:4" x14ac:dyDescent="0.2">
      <c r="A849" s="5">
        <v>788</v>
      </c>
      <c r="B849" s="138">
        <f>'Expenditures 15-22'!E50</f>
        <v>9782</v>
      </c>
      <c r="D849" s="2" t="str">
        <f t="shared" si="12"/>
        <v>Error?</v>
      </c>
    </row>
    <row r="850" spans="1:4" x14ac:dyDescent="0.2">
      <c r="A850" s="5">
        <v>789</v>
      </c>
      <c r="B850" s="138">
        <f>'Expenditures 15-22'!E53</f>
        <v>38411</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1572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350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1922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132789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189396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34700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4914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57561</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821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821</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2911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2911</v>
      </c>
      <c r="C905" s="2" t="s">
        <v>573</v>
      </c>
      <c r="D905" s="2" t="str">
        <f t="shared" si="13"/>
        <v>Error?</v>
      </c>
    </row>
    <row r="906" spans="1:4" x14ac:dyDescent="0.2">
      <c r="A906" s="5">
        <v>845</v>
      </c>
      <c r="B906" s="138">
        <f>'Expenditures 15-22'!F49</f>
        <v>4639</v>
      </c>
      <c r="D906" s="2" t="str">
        <f t="shared" si="13"/>
        <v>Error?</v>
      </c>
    </row>
    <row r="907" spans="1:4" x14ac:dyDescent="0.2">
      <c r="A907" s="5">
        <v>846</v>
      </c>
      <c r="B907" s="138">
        <f>'Expenditures 15-22'!F50</f>
        <v>671</v>
      </c>
      <c r="D907" s="2" t="str">
        <f t="shared" si="13"/>
        <v>Error?</v>
      </c>
    </row>
    <row r="908" spans="1:4" x14ac:dyDescent="0.2">
      <c r="A908" s="5">
        <v>847</v>
      </c>
      <c r="B908" s="138">
        <f>'Expenditures 15-22'!F53</f>
        <v>5310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58859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58859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67901</v>
      </c>
      <c r="C929" s="2" t="s">
        <v>573</v>
      </c>
      <c r="D929" s="2" t="str">
        <f t="shared" si="13"/>
        <v>Error?</v>
      </c>
    </row>
    <row r="930" spans="1:4" x14ac:dyDescent="0.2">
      <c r="A930" s="5">
        <v>869</v>
      </c>
      <c r="B930" s="138">
        <f>'Expenditures 15-22'!F75</f>
        <v>444</v>
      </c>
      <c r="D930" s="2" t="str">
        <f t="shared" si="13"/>
        <v>Error?</v>
      </c>
    </row>
    <row r="931" spans="1:4" x14ac:dyDescent="0.2">
      <c r="A931" s="5">
        <v>870</v>
      </c>
      <c r="B931" s="138">
        <f>'Expenditures 15-22'!F114</f>
        <v>125906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17662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23674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5801</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5801</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36491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36491</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42292</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65966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3112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20281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2976</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2976</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2976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32776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56033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711925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42676</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1126324</v>
      </c>
      <c r="C1108" s="2" t="s">
        <v>573</v>
      </c>
      <c r="D1108" s="2" t="str">
        <f t="shared" si="16"/>
        <v>Error?</v>
      </c>
    </row>
    <row r="1109" spans="1:4" x14ac:dyDescent="0.2">
      <c r="A1109" s="5">
        <v>1048</v>
      </c>
      <c r="B1109" s="138">
        <f>'Expenditures 15-22'!K36</f>
        <v>13935</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1743</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63902</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79580</v>
      </c>
      <c r="C1115" s="2" t="s">
        <v>573</v>
      </c>
      <c r="D1115" s="2" t="str">
        <f t="shared" si="16"/>
        <v>Error?</v>
      </c>
    </row>
    <row r="1116" spans="1:4" x14ac:dyDescent="0.2">
      <c r="A1116" s="5">
        <v>1055</v>
      </c>
      <c r="B1116" s="138">
        <f>'Expenditures 15-22'!K44</f>
        <v>13936</v>
      </c>
      <c r="C1116" s="2" t="s">
        <v>573</v>
      </c>
      <c r="D1116" s="2" t="str">
        <f t="shared" si="16"/>
        <v>Error?</v>
      </c>
    </row>
    <row r="1117" spans="1:4" x14ac:dyDescent="0.2">
      <c r="A1117" s="5">
        <v>1056</v>
      </c>
      <c r="B1117" s="138">
        <f>'Expenditures 15-22'!K45</f>
        <v>8712</v>
      </c>
      <c r="C1117" s="2" t="s">
        <v>573</v>
      </c>
      <c r="D1117" s="2" t="str">
        <f t="shared" si="16"/>
        <v>Error?</v>
      </c>
    </row>
    <row r="1118" spans="1:4" x14ac:dyDescent="0.2">
      <c r="A1118" s="5">
        <v>1057</v>
      </c>
      <c r="B1118" s="138">
        <f>'Expenditures 15-22'!K46</f>
        <v>68953</v>
      </c>
      <c r="C1118" s="2" t="s">
        <v>573</v>
      </c>
      <c r="D1118" s="2" t="str">
        <f t="shared" si="16"/>
        <v>Error?</v>
      </c>
    </row>
    <row r="1119" spans="1:4" x14ac:dyDescent="0.2">
      <c r="A1119" s="5">
        <v>1058</v>
      </c>
      <c r="B1119" s="138">
        <f>'Expenditures 15-22'!K47</f>
        <v>91601</v>
      </c>
      <c r="C1119" s="2" t="s">
        <v>573</v>
      </c>
      <c r="D1119" s="2" t="str">
        <f t="shared" si="16"/>
        <v>Error?</v>
      </c>
    </row>
    <row r="1120" spans="1:4" x14ac:dyDescent="0.2">
      <c r="A1120" s="5">
        <v>1059</v>
      </c>
      <c r="B1120" s="138">
        <f>'Expenditures 15-22'!K49</f>
        <v>39050</v>
      </c>
      <c r="C1120" s="2" t="s">
        <v>573</v>
      </c>
      <c r="D1120" s="2" t="str">
        <f t="shared" si="16"/>
        <v>Error?</v>
      </c>
    </row>
    <row r="1121" spans="1:4" x14ac:dyDescent="0.2">
      <c r="A1121" s="5">
        <v>1060</v>
      </c>
      <c r="B1121" s="138">
        <f>'Expenditures 15-22'!K50</f>
        <v>82908</v>
      </c>
      <c r="C1121" s="2" t="s">
        <v>573</v>
      </c>
      <c r="D1121" s="2" t="str">
        <f t="shared" si="16"/>
        <v>Error?</v>
      </c>
    </row>
    <row r="1122" spans="1:4" x14ac:dyDescent="0.2">
      <c r="A1122" s="5">
        <v>1061</v>
      </c>
      <c r="B1122" s="138">
        <f>'Expenditures 15-22'!K53</f>
        <v>121958</v>
      </c>
      <c r="C1122" s="2" t="s">
        <v>573</v>
      </c>
      <c r="D1122" s="2" t="str">
        <f t="shared" si="16"/>
        <v>Error?</v>
      </c>
    </row>
    <row r="1123" spans="1:4" x14ac:dyDescent="0.2">
      <c r="A1123" s="5">
        <v>1062</v>
      </c>
      <c r="B1123" s="138">
        <f>'Expenditures 15-22'!K55</f>
        <v>156985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156985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51481</v>
      </c>
      <c r="C1127" s="2" t="s">
        <v>573</v>
      </c>
      <c r="D1127" s="2" t="str">
        <f t="shared" si="16"/>
        <v>Error?</v>
      </c>
    </row>
    <row r="1128" spans="1:4" x14ac:dyDescent="0.2">
      <c r="A1128" s="5">
        <v>1067</v>
      </c>
      <c r="B1128" s="138">
        <f>'Expenditures 15-22'!K61</f>
        <v>93565</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143343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288389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738513</v>
      </c>
      <c r="C1143" s="2" t="s">
        <v>573</v>
      </c>
      <c r="D1143" s="2" t="str">
        <f t="shared" si="16"/>
        <v>Error?</v>
      </c>
    </row>
    <row r="1144" spans="1:4" x14ac:dyDescent="0.2">
      <c r="A1144" s="5">
        <v>1083</v>
      </c>
      <c r="B1144" s="138">
        <f>'Expenditures 15-22'!K75</f>
        <v>444</v>
      </c>
      <c r="C1144" s="2" t="s">
        <v>573</v>
      </c>
      <c r="D1144" s="2" t="str">
        <f t="shared" si="16"/>
        <v>Error?</v>
      </c>
    </row>
    <row r="1145" spans="1:4" x14ac:dyDescent="0.2">
      <c r="A1145" s="5">
        <v>1084</v>
      </c>
      <c r="B1145" s="138">
        <f>'Expenditures 15-22'!K102</f>
        <v>56333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1921614</v>
      </c>
      <c r="C1152" s="2" t="s">
        <v>573</v>
      </c>
      <c r="D1152" s="2" t="str">
        <f t="shared" si="17"/>
        <v>Error?</v>
      </c>
    </row>
    <row r="1153" spans="1:4" x14ac:dyDescent="0.2">
      <c r="A1153" s="5">
        <v>1092</v>
      </c>
      <c r="B1153" s="138">
        <f>'Expenditures 15-22'!K115</f>
        <v>25544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28512</v>
      </c>
      <c r="D1237" s="2" t="str">
        <f t="shared" si="18"/>
        <v>Error?</v>
      </c>
    </row>
    <row r="1238" spans="1:4" x14ac:dyDescent="0.2">
      <c r="A1238" s="10">
        <v>1177</v>
      </c>
      <c r="D1238" s="2" t="str">
        <f t="shared" si="18"/>
        <v>OK</v>
      </c>
    </row>
    <row r="1239" spans="1:4" x14ac:dyDescent="0.2">
      <c r="A1239" s="5">
        <v>1178</v>
      </c>
      <c r="B1239" s="138">
        <f>'Expenditures 15-22'!E127</f>
        <v>28512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28512</v>
      </c>
      <c r="C1241" s="2" t="s">
        <v>573</v>
      </c>
      <c r="D1241" s="2" t="str">
        <f t="shared" si="18"/>
        <v>Error?</v>
      </c>
    </row>
    <row r="1242" spans="1:4" x14ac:dyDescent="0.2">
      <c r="A1242" s="5">
        <v>1181</v>
      </c>
      <c r="B1242" s="138">
        <f>'Expenditures 15-22'!E151</f>
        <v>28512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66719</v>
      </c>
      <c r="D1245" s="2" t="str">
        <f t="shared" si="18"/>
        <v>Error?</v>
      </c>
    </row>
    <row r="1246" spans="1:4" x14ac:dyDescent="0.2">
      <c r="A1246" s="10">
        <v>1185</v>
      </c>
      <c r="D1246" s="2" t="str">
        <f t="shared" si="18"/>
        <v>OK</v>
      </c>
    </row>
    <row r="1247" spans="1:4" x14ac:dyDescent="0.2">
      <c r="A1247" s="5">
        <v>1186</v>
      </c>
      <c r="B1247" s="138">
        <f>'Expenditures 15-22'!F127</f>
        <v>66719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66719</v>
      </c>
      <c r="C1249" s="2" t="s">
        <v>573</v>
      </c>
      <c r="D1249" s="2" t="str">
        <f t="shared" si="18"/>
        <v>Error?</v>
      </c>
    </row>
    <row r="1250" spans="1:4" x14ac:dyDescent="0.2">
      <c r="A1250" s="5">
        <v>1189</v>
      </c>
      <c r="B1250" s="138">
        <f>'Expenditures 15-22'!F151</f>
        <v>66719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95903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95903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95903</v>
      </c>
      <c r="C1258" s="2" t="s">
        <v>573</v>
      </c>
      <c r="D1258" s="2" t="str">
        <f t="shared" si="18"/>
        <v>Error?</v>
      </c>
    </row>
    <row r="1259" spans="1:4" x14ac:dyDescent="0.2">
      <c r="A1259" s="5">
        <v>1198</v>
      </c>
      <c r="B1259" s="138">
        <f>'Expenditures 15-22'!G151</f>
        <v>95903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191134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191134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191134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191134</v>
      </c>
      <c r="C1288" s="2" t="s">
        <v>573</v>
      </c>
      <c r="D1288" s="2" t="str">
        <f t="shared" si="19"/>
        <v>Error?</v>
      </c>
    </row>
    <row r="1289" spans="1:4" x14ac:dyDescent="0.2">
      <c r="A1289" s="5">
        <v>1228</v>
      </c>
      <c r="B1289" s="138">
        <f>'Expenditures 15-22'!K152</f>
        <v>28839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43823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35000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79323</v>
      </c>
      <c r="C1317" s="2" t="s">
        <v>573</v>
      </c>
      <c r="D1317" s="2" t="str">
        <f t="shared" si="19"/>
        <v>Error?</v>
      </c>
    </row>
    <row r="1318" spans="1:4" x14ac:dyDescent="0.2">
      <c r="A1318" s="5">
        <v>1257</v>
      </c>
      <c r="B1318" s="138">
        <f>'Expenditures 15-22'!H174</f>
        <v>79323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43823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35000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79323</v>
      </c>
      <c r="C1331" s="2" t="s">
        <v>573</v>
      </c>
      <c r="D1331" s="2" t="str">
        <f t="shared" si="19"/>
        <v>Error?</v>
      </c>
    </row>
    <row r="1332" spans="1:4" x14ac:dyDescent="0.2">
      <c r="A1332" s="5">
        <v>1271</v>
      </c>
      <c r="B1332" s="138">
        <f>'Expenditures 15-22'!K174</f>
        <v>79323</v>
      </c>
      <c r="C1332" s="2" t="s">
        <v>573</v>
      </c>
      <c r="D1332" s="2" t="str">
        <f t="shared" si="19"/>
        <v>Error?</v>
      </c>
    </row>
    <row r="1333" spans="1:4" x14ac:dyDescent="0.2">
      <c r="A1333" s="5">
        <v>1272</v>
      </c>
      <c r="B1333" s="138">
        <f>'Expenditures 15-22'!K175</f>
        <v>409</v>
      </c>
      <c r="C1333" s="2" t="s">
        <v>573</v>
      </c>
      <c r="D1333" s="2" t="str">
        <f t="shared" si="19"/>
        <v>Error?</v>
      </c>
    </row>
    <row r="1334" spans="1:4" x14ac:dyDescent="0.2">
      <c r="A1334" s="10">
        <v>1273</v>
      </c>
      <c r="D1334" s="2" t="str">
        <f t="shared" si="19"/>
        <v>OK</v>
      </c>
    </row>
    <row r="1335" spans="1:4" x14ac:dyDescent="0.2">
      <c r="A1335" s="5">
        <v>1274</v>
      </c>
      <c r="B1335" s="138">
        <f>'Expenditures 15-22'!C182</f>
        <v>14944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14944</v>
      </c>
      <c r="C1339" s="2" t="s">
        <v>573</v>
      </c>
      <c r="D1339" s="2" t="str">
        <f t="shared" si="19"/>
        <v>Error?</v>
      </c>
    </row>
    <row r="1340" spans="1:4" x14ac:dyDescent="0.2">
      <c r="A1340" s="5">
        <v>1279</v>
      </c>
      <c r="B1340" s="138">
        <f>'Expenditures 15-22'!C210</f>
        <v>14944</v>
      </c>
      <c r="C1340" s="2" t="s">
        <v>573</v>
      </c>
      <c r="D1340" s="2" t="str">
        <f t="shared" si="19"/>
        <v>Error?</v>
      </c>
    </row>
    <row r="1341" spans="1:4" x14ac:dyDescent="0.2">
      <c r="A1341" s="5">
        <v>1280</v>
      </c>
      <c r="B1341" s="138">
        <f>'Expenditures 15-22'!D182</f>
        <v>826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826</v>
      </c>
      <c r="C1345" s="2" t="s">
        <v>573</v>
      </c>
      <c r="D1345" s="2" t="str">
        <f t="shared" si="20"/>
        <v>Error?</v>
      </c>
    </row>
    <row r="1346" spans="1:4" x14ac:dyDescent="0.2">
      <c r="A1346" s="5">
        <v>1285</v>
      </c>
      <c r="B1346" s="138">
        <f>'Expenditures 15-22'!D210</f>
        <v>826</v>
      </c>
      <c r="C1346" s="2" t="s">
        <v>573</v>
      </c>
      <c r="D1346" s="2" t="str">
        <f t="shared" si="20"/>
        <v>Error?</v>
      </c>
    </row>
    <row r="1347" spans="1:4" x14ac:dyDescent="0.2">
      <c r="A1347" s="5">
        <v>1286</v>
      </c>
      <c r="B1347" s="138">
        <f>'Expenditures 15-22'!E182</f>
        <v>60831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60831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60831</v>
      </c>
      <c r="C1353" s="2" t="s">
        <v>573</v>
      </c>
      <c r="D1353" s="2" t="str">
        <f t="shared" si="20"/>
        <v>Error?</v>
      </c>
    </row>
    <row r="1354" spans="1:4" x14ac:dyDescent="0.2">
      <c r="A1354" s="5">
        <v>1293</v>
      </c>
      <c r="B1354" s="138">
        <f>'Expenditures 15-22'!F182</f>
        <v>2245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2245</v>
      </c>
      <c r="C1358" s="2" t="s">
        <v>573</v>
      </c>
      <c r="D1358" s="2" t="str">
        <f t="shared" si="20"/>
        <v>Error?</v>
      </c>
    </row>
    <row r="1359" spans="1:4" x14ac:dyDescent="0.2">
      <c r="A1359" s="5">
        <v>1298</v>
      </c>
      <c r="B1359" s="138">
        <f>'Expenditures 15-22'!F210</f>
        <v>2245</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78846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78846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78846</v>
      </c>
      <c r="C1388" s="2" t="s">
        <v>573</v>
      </c>
      <c r="D1388" s="2" t="str">
        <f t="shared" si="20"/>
        <v>Error?</v>
      </c>
    </row>
    <row r="1389" spans="1:4" x14ac:dyDescent="0.2">
      <c r="A1389" s="5">
        <v>1328</v>
      </c>
      <c r="B1389" s="138">
        <f>'Expenditures 15-22'!K211</f>
        <v>273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2512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32158</v>
      </c>
      <c r="C1410" s="2" t="s">
        <v>573</v>
      </c>
      <c r="D1410" s="2" t="str">
        <f t="shared" si="21"/>
        <v>Error?</v>
      </c>
    </row>
    <row r="1411" spans="1:4" x14ac:dyDescent="0.2">
      <c r="A1411" s="5">
        <v>1350</v>
      </c>
      <c r="B1411" s="138">
        <f>'Expenditures 15-22'!D232</f>
        <v>200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648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848</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319</v>
      </c>
      <c r="D1422" s="2" t="str">
        <f t="shared" si="21"/>
        <v>Error?</v>
      </c>
    </row>
    <row r="1423" spans="1:4" x14ac:dyDescent="0.2">
      <c r="A1423" s="5">
        <v>1362</v>
      </c>
      <c r="B1423" s="138">
        <f>'Expenditures 15-22'!D246</f>
        <v>906</v>
      </c>
      <c r="D1423" s="2" t="str">
        <f t="shared" si="21"/>
        <v>Error?</v>
      </c>
    </row>
    <row r="1424" spans="1:4" x14ac:dyDescent="0.2">
      <c r="A1424" s="5">
        <v>1363</v>
      </c>
      <c r="B1424" s="138">
        <f>'Expenditures 15-22'!D257</f>
        <v>1225</v>
      </c>
      <c r="C1424" s="2" t="s">
        <v>573</v>
      </c>
      <c r="D1424" s="2" t="str">
        <f t="shared" si="21"/>
        <v>Error?</v>
      </c>
    </row>
    <row r="1425" spans="1:4" x14ac:dyDescent="0.2">
      <c r="A1425" s="5">
        <v>1364</v>
      </c>
      <c r="B1425" s="138">
        <f>'Expenditures 15-22'!D259</f>
        <v>10845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10845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11856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18506</v>
      </c>
      <c r="D1431" s="2" t="str">
        <f t="shared" si="21"/>
        <v>Error?</v>
      </c>
    </row>
    <row r="1432" spans="1:4" x14ac:dyDescent="0.2">
      <c r="A1432" s="5">
        <v>1371</v>
      </c>
      <c r="B1432" s="138">
        <f>'Expenditures 15-22'!D267</f>
        <v>2291</v>
      </c>
      <c r="D1432" s="2" t="str">
        <f t="shared" si="21"/>
        <v>Error?</v>
      </c>
    </row>
    <row r="1433" spans="1:4" x14ac:dyDescent="0.2">
      <c r="A1433" s="5">
        <v>1372</v>
      </c>
      <c r="B1433" s="138">
        <f>'Expenditures 15-22'!D268</f>
        <v>10425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43078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55996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88154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2512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32158</v>
      </c>
      <c r="C1474" s="2" t="s">
        <v>573</v>
      </c>
      <c r="D1474" s="2" t="str">
        <f t="shared" si="22"/>
        <v>Error?</v>
      </c>
    </row>
    <row r="1475" spans="1:4" x14ac:dyDescent="0.2">
      <c r="A1475" s="5">
        <v>1414</v>
      </c>
      <c r="B1475" s="138">
        <f>'Expenditures 15-22'!K232</f>
        <v>200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648</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848</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319</v>
      </c>
      <c r="C1486" s="2" t="s">
        <v>573</v>
      </c>
      <c r="D1486" s="2" t="str">
        <f t="shared" si="22"/>
        <v>Error?</v>
      </c>
    </row>
    <row r="1487" spans="1:4" x14ac:dyDescent="0.2">
      <c r="A1487" s="5">
        <v>1426</v>
      </c>
      <c r="B1487" s="138">
        <f>'Expenditures 15-22'!K246</f>
        <v>906</v>
      </c>
      <c r="C1487" s="2" t="s">
        <v>573</v>
      </c>
      <c r="D1487" s="2" t="str">
        <f t="shared" si="22"/>
        <v>Error?</v>
      </c>
    </row>
    <row r="1488" spans="1:4" x14ac:dyDescent="0.2">
      <c r="A1488" s="5">
        <v>1427</v>
      </c>
      <c r="B1488" s="138">
        <f>'Expenditures 15-22'!K257</f>
        <v>1225</v>
      </c>
      <c r="C1488" s="2" t="s">
        <v>573</v>
      </c>
      <c r="D1488" s="2" t="str">
        <f t="shared" si="22"/>
        <v>Error?</v>
      </c>
    </row>
    <row r="1489" spans="1:4" x14ac:dyDescent="0.2">
      <c r="A1489" s="5">
        <v>1428</v>
      </c>
      <c r="B1489" s="138">
        <f>'Expenditures 15-22'!K259</f>
        <v>10845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10845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11856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18506</v>
      </c>
      <c r="C1495" s="2" t="s">
        <v>573</v>
      </c>
      <c r="D1495" s="2" t="str">
        <f t="shared" si="22"/>
        <v>Error?</v>
      </c>
    </row>
    <row r="1496" spans="1:4" x14ac:dyDescent="0.2">
      <c r="A1496" s="5">
        <v>1435</v>
      </c>
      <c r="B1496" s="138">
        <f>'Expenditures 15-22'!K267</f>
        <v>2291</v>
      </c>
      <c r="C1496" s="2" t="s">
        <v>573</v>
      </c>
      <c r="D1496" s="2" t="str">
        <f t="shared" si="22"/>
        <v>Error?</v>
      </c>
    </row>
    <row r="1497" spans="1:4" x14ac:dyDescent="0.2">
      <c r="A1497" s="5">
        <v>1436</v>
      </c>
      <c r="B1497" s="138">
        <f>'Expenditures 15-22'!K268</f>
        <v>10425</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43078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55996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88154</v>
      </c>
      <c r="C1517" s="2" t="s">
        <v>573</v>
      </c>
      <c r="D1517" s="2" t="str">
        <f t="shared" si="22"/>
        <v>Error?</v>
      </c>
    </row>
    <row r="1518" spans="1:4" x14ac:dyDescent="0.2">
      <c r="A1518" s="5">
        <v>1457</v>
      </c>
      <c r="B1518" s="138">
        <f>'Expenditures 15-22'!K296</f>
        <v>853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850008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875552</v>
      </c>
      <c r="C1630" s="2" t="s">
        <v>573</v>
      </c>
      <c r="D1630" s="2" t="str">
        <f t="shared" si="24"/>
        <v>Error?</v>
      </c>
    </row>
    <row r="1631" spans="1:4" x14ac:dyDescent="0.2">
      <c r="A1631" s="5">
        <v>1570</v>
      </c>
      <c r="B1631" s="138">
        <f>'Acct Summary 7-8'!D79</f>
        <v>31966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60805</v>
      </c>
      <c r="C1644" s="2" t="s">
        <v>573</v>
      </c>
      <c r="D1644" s="2" t="str">
        <f t="shared" si="24"/>
        <v>Error?</v>
      </c>
    </row>
    <row r="1645" spans="1:4" x14ac:dyDescent="0.2">
      <c r="A1645" s="5">
        <v>1584</v>
      </c>
      <c r="B1645" s="138">
        <f>'Acct Summary 7-8'!E79</f>
        <v>551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960</v>
      </c>
      <c r="C1658" s="2" t="s">
        <v>573</v>
      </c>
      <c r="D1658" s="2" t="str">
        <f t="shared" si="24"/>
        <v>Error?</v>
      </c>
    </row>
    <row r="1659" spans="1:4" x14ac:dyDescent="0.2">
      <c r="A1659" s="5">
        <v>1598</v>
      </c>
      <c r="B1659" s="138">
        <f>'Acct Summary 7-8'!F79</f>
        <v>27631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27904</v>
      </c>
      <c r="C1672" s="2" t="s">
        <v>573</v>
      </c>
      <c r="D1672" s="2" t="str">
        <f t="shared" si="25"/>
        <v>Error?</v>
      </c>
    </row>
    <row r="1673" spans="1:4" x14ac:dyDescent="0.2">
      <c r="A1673" s="5">
        <v>1612</v>
      </c>
      <c r="B1673" s="138">
        <f>'Acct Summary 7-8'!G79</f>
        <v>32389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33242</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202927</v>
      </c>
      <c r="C1744" s="2" t="s">
        <v>573</v>
      </c>
      <c r="D1744" s="2" t="str">
        <f t="shared" si="26"/>
        <v>Error?</v>
      </c>
    </row>
    <row r="1745" spans="1:5" x14ac:dyDescent="0.2">
      <c r="A1745" s="5">
        <v>1684</v>
      </c>
      <c r="B1745" s="138">
        <f>'Tax Sched 23'!B5</f>
        <v>49725</v>
      </c>
      <c r="C1745" s="2" t="s">
        <v>573</v>
      </c>
      <c r="D1745" s="2" t="str">
        <f t="shared" si="26"/>
        <v>Error?</v>
      </c>
    </row>
    <row r="1746" spans="1:5" x14ac:dyDescent="0.2">
      <c r="A1746" s="5">
        <v>1685</v>
      </c>
      <c r="B1746" s="138">
        <f>'Tax Sched 23'!B6</f>
        <v>79356</v>
      </c>
      <c r="C1746" s="2" t="s">
        <v>573</v>
      </c>
      <c r="D1746" s="2" t="str">
        <f t="shared" si="26"/>
        <v>Error?</v>
      </c>
    </row>
    <row r="1747" spans="1:5" x14ac:dyDescent="0.2">
      <c r="A1747" s="5">
        <v>1686</v>
      </c>
      <c r="B1747" s="138">
        <f>'Tax Sched 23'!B7</f>
        <v>22234</v>
      </c>
      <c r="C1747" s="2" t="s">
        <v>573</v>
      </c>
      <c r="D1747" s="2" t="str">
        <f t="shared" si="26"/>
        <v>Error?</v>
      </c>
    </row>
    <row r="1748" spans="1:5" x14ac:dyDescent="0.2">
      <c r="A1748" s="5">
        <v>1687</v>
      </c>
      <c r="B1748" s="138">
        <f>'Tax Sched 23'!B8</f>
        <v>30669</v>
      </c>
      <c r="C1748" s="2" t="s">
        <v>573</v>
      </c>
      <c r="D1748" s="2" t="str">
        <f t="shared" si="26"/>
        <v>Error?</v>
      </c>
    </row>
    <row r="1749" spans="1:5" x14ac:dyDescent="0.2">
      <c r="A1749" s="5">
        <v>1688</v>
      </c>
      <c r="B1749" s="138">
        <f>'Tax Sched 23'!B10</f>
        <v>4726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23149</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2962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446417</v>
      </c>
      <c r="C1759" s="2" t="s">
        <v>573</v>
      </c>
      <c r="D1759" s="2" t="str">
        <f t="shared" si="26"/>
        <v>Error?</v>
      </c>
    </row>
    <row r="1760" spans="1:5" x14ac:dyDescent="0.2">
      <c r="A1760" s="5">
        <v>1699</v>
      </c>
      <c r="B1760" s="138">
        <f>'Tax Sched 23'!D4</f>
        <v>202927</v>
      </c>
      <c r="C1760" s="2" t="s">
        <v>573</v>
      </c>
      <c r="D1760" s="2" t="str">
        <f t="shared" si="26"/>
        <v>Error?</v>
      </c>
    </row>
    <row r="1761" spans="1:5" x14ac:dyDescent="0.2">
      <c r="A1761" s="5">
        <v>1700</v>
      </c>
      <c r="B1761" s="138">
        <f>'Tax Sched 23'!D5</f>
        <v>49725</v>
      </c>
      <c r="C1761" s="2" t="s">
        <v>573</v>
      </c>
      <c r="D1761" s="2" t="str">
        <f t="shared" si="26"/>
        <v>Error?</v>
      </c>
    </row>
    <row r="1762" spans="1:5" s="8" customFormat="1" x14ac:dyDescent="0.2">
      <c r="A1762" s="5">
        <v>1701</v>
      </c>
      <c r="B1762" s="138">
        <f>'Tax Sched 23'!D6</f>
        <v>79356</v>
      </c>
      <c r="C1762" s="2" t="s">
        <v>573</v>
      </c>
      <c r="D1762" s="2" t="str">
        <f t="shared" si="26"/>
        <v>Error?</v>
      </c>
      <c r="E1762" s="9"/>
    </row>
    <row r="1763" spans="1:5" x14ac:dyDescent="0.2">
      <c r="A1763" s="5">
        <v>1702</v>
      </c>
      <c r="B1763" s="138">
        <f>'Tax Sched 23'!D7</f>
        <v>22234</v>
      </c>
      <c r="C1763" s="2" t="s">
        <v>573</v>
      </c>
      <c r="D1763" s="2" t="str">
        <f t="shared" si="26"/>
        <v>Error?</v>
      </c>
    </row>
    <row r="1764" spans="1:5" x14ac:dyDescent="0.2">
      <c r="A1764" s="5">
        <v>1703</v>
      </c>
      <c r="B1764" s="138">
        <f>'Tax Sched 23'!D8</f>
        <v>30669</v>
      </c>
      <c r="C1764" s="2" t="s">
        <v>573</v>
      </c>
      <c r="D1764" s="2" t="str">
        <f t="shared" si="26"/>
        <v>Error?</v>
      </c>
    </row>
    <row r="1765" spans="1:5" x14ac:dyDescent="0.2">
      <c r="A1765" s="5">
        <v>1704</v>
      </c>
      <c r="B1765" s="138">
        <f>'Tax Sched 23'!D10</f>
        <v>4726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23149</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2962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446417</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209489</v>
      </c>
      <c r="C1792" s="2" t="s">
        <v>573</v>
      </c>
      <c r="D1792" s="2" t="str">
        <f t="shared" si="27"/>
        <v>Error?</v>
      </c>
    </row>
    <row r="1793" spans="1:4" x14ac:dyDescent="0.2">
      <c r="A1793" s="5">
        <v>1732</v>
      </c>
      <c r="B1793" s="138">
        <f>'Tax Sched 23'!F5</f>
        <v>51335</v>
      </c>
      <c r="C1793" s="2" t="s">
        <v>573</v>
      </c>
      <c r="D1793" s="2" t="str">
        <f t="shared" si="27"/>
        <v>Error?</v>
      </c>
    </row>
    <row r="1794" spans="1:4" x14ac:dyDescent="0.2">
      <c r="A1794" s="5">
        <v>1733</v>
      </c>
      <c r="B1794" s="138">
        <f>'Tax Sched 23'!F6</f>
        <v>76606</v>
      </c>
      <c r="C1794" s="2" t="s">
        <v>573</v>
      </c>
      <c r="D1794" s="2" t="str">
        <f t="shared" si="27"/>
        <v>Error?</v>
      </c>
    </row>
    <row r="1795" spans="1:4" x14ac:dyDescent="0.2">
      <c r="A1795" s="5">
        <v>1734</v>
      </c>
      <c r="B1795" s="138">
        <f>'Tax Sched 23'!F7</f>
        <v>22954</v>
      </c>
      <c r="C1795" s="2" t="s">
        <v>573</v>
      </c>
      <c r="D1795" s="2" t="str">
        <f t="shared" si="27"/>
        <v>Error?</v>
      </c>
    </row>
    <row r="1796" spans="1:4" x14ac:dyDescent="0.2">
      <c r="A1796" s="5">
        <v>1735</v>
      </c>
      <c r="B1796" s="138">
        <f>'Tax Sched 23'!F8</f>
        <v>31662</v>
      </c>
      <c r="C1796" s="2" t="s">
        <v>573</v>
      </c>
      <c r="D1796" s="2" t="str">
        <f t="shared" si="27"/>
        <v>Error?</v>
      </c>
    </row>
    <row r="1797" spans="1:4" x14ac:dyDescent="0.2">
      <c r="A1797" s="5">
        <v>1736</v>
      </c>
      <c r="B1797" s="138">
        <f>'Tax Sched 23'!F10</f>
        <v>4881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23898</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3058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455545</v>
      </c>
      <c r="C1807" s="2" t="s">
        <v>573</v>
      </c>
      <c r="D1807" s="2" t="str">
        <f t="shared" si="27"/>
        <v>Error?</v>
      </c>
    </row>
    <row r="1808" spans="1:4" x14ac:dyDescent="0.2">
      <c r="A1808" s="5">
        <v>1747</v>
      </c>
      <c r="B1808" s="138">
        <f>'Tax Sched 23'!E4</f>
        <v>209489</v>
      </c>
      <c r="D1808" s="2" t="str">
        <f t="shared" si="27"/>
        <v>Error?</v>
      </c>
    </row>
    <row r="1809" spans="1:4" x14ac:dyDescent="0.2">
      <c r="A1809" s="5">
        <v>1748</v>
      </c>
      <c r="B1809" s="138">
        <f>'Tax Sched 23'!E5</f>
        <v>51335</v>
      </c>
      <c r="D1809" s="2" t="str">
        <f t="shared" si="27"/>
        <v>Error?</v>
      </c>
    </row>
    <row r="1810" spans="1:4" x14ac:dyDescent="0.2">
      <c r="A1810" s="5">
        <v>1749</v>
      </c>
      <c r="B1810" s="138">
        <f>'Tax Sched 23'!E6</f>
        <v>76606</v>
      </c>
      <c r="D1810" s="2" t="str">
        <f t="shared" si="27"/>
        <v>Error?</v>
      </c>
    </row>
    <row r="1811" spans="1:4" x14ac:dyDescent="0.2">
      <c r="A1811" s="5">
        <v>1750</v>
      </c>
      <c r="B1811" s="138">
        <f>'Tax Sched 23'!E7</f>
        <v>22954</v>
      </c>
      <c r="D1811" s="2" t="str">
        <f t="shared" si="27"/>
        <v>Error?</v>
      </c>
    </row>
    <row r="1812" spans="1:4" x14ac:dyDescent="0.2">
      <c r="A1812" s="5">
        <v>1751</v>
      </c>
      <c r="B1812" s="138">
        <f>'Tax Sched 23'!E8</f>
        <v>31662</v>
      </c>
      <c r="D1812" s="2" t="str">
        <f t="shared" si="27"/>
        <v>Error?</v>
      </c>
    </row>
    <row r="1813" spans="1:4" x14ac:dyDescent="0.2">
      <c r="A1813" s="5">
        <v>1752</v>
      </c>
      <c r="B1813" s="138">
        <f>'Tax Sched 23'!E10</f>
        <v>4881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23898</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3058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455545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700000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2962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2962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2962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3351</v>
      </c>
      <c r="D2008" s="2" t="str">
        <f t="shared" si="30"/>
        <v>Error?</v>
      </c>
    </row>
    <row r="2009" spans="1:4" x14ac:dyDescent="0.2">
      <c r="A2009" s="5">
        <v>1948</v>
      </c>
      <c r="B2009" s="138">
        <f>'Cap Outlay Deprec 26'!C8</f>
        <v>2058011</v>
      </c>
      <c r="D2009" s="2" t="str">
        <f t="shared" si="30"/>
        <v>Error?</v>
      </c>
    </row>
    <row r="2010" spans="1:4" x14ac:dyDescent="0.2">
      <c r="A2010" s="5">
        <v>1949</v>
      </c>
      <c r="B2010" s="138">
        <f>'Cap Outlay Deprec 26'!C10</f>
        <v>10926</v>
      </c>
      <c r="D2010" s="2" t="str">
        <f t="shared" si="30"/>
        <v>Error?</v>
      </c>
    </row>
    <row r="2011" spans="1:4" x14ac:dyDescent="0.2">
      <c r="A2011" s="5">
        <v>1950</v>
      </c>
      <c r="B2011" s="138">
        <f>'Cap Outlay Deprec 26'!C12</f>
        <v>46079</v>
      </c>
      <c r="D2011" s="2" t="str">
        <f t="shared" si="30"/>
        <v>Error?</v>
      </c>
    </row>
    <row r="2012" spans="1:4" x14ac:dyDescent="0.2">
      <c r="A2012" s="5">
        <v>1951</v>
      </c>
      <c r="B2012" s="138">
        <f>'Cap Outlay Deprec 26'!C13</f>
        <v>22129</v>
      </c>
      <c r="D2012" s="2" t="str">
        <f t="shared" si="30"/>
        <v>Error?</v>
      </c>
    </row>
    <row r="2013" spans="1:4" x14ac:dyDescent="0.2">
      <c r="A2013" s="5">
        <v>1952</v>
      </c>
      <c r="B2013" s="138">
        <f>'Cap Outlay Deprec 26'!C16</f>
        <v>2140496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11356</v>
      </c>
      <c r="D2015" s="2" t="str">
        <f t="shared" si="30"/>
        <v>Error?</v>
      </c>
    </row>
    <row r="2016" spans="1:4" x14ac:dyDescent="0.2">
      <c r="A2016" s="5">
        <v>1955</v>
      </c>
      <c r="B2016" s="138">
        <f>'Cap Outlay Deprec 26'!D10</f>
        <v>33390</v>
      </c>
      <c r="D2016" s="2" t="str">
        <f t="shared" si="30"/>
        <v>Error?</v>
      </c>
    </row>
    <row r="2017" spans="1:4" x14ac:dyDescent="0.2">
      <c r="A2017" s="5">
        <v>1956</v>
      </c>
      <c r="B2017" s="138">
        <f>'Cap Outlay Deprec 26'!D12</f>
        <v>117123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161869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500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500</v>
      </c>
      <c r="C2025" s="2" t="s">
        <v>573</v>
      </c>
      <c r="D2025" s="2" t="str">
        <f t="shared" si="30"/>
        <v>Error?</v>
      </c>
    </row>
    <row r="2026" spans="1:4" x14ac:dyDescent="0.2">
      <c r="A2026" s="5">
        <v>1965</v>
      </c>
      <c r="B2026" s="138">
        <f>'Cap Outlay Deprec 26'!F5</f>
        <v>3351</v>
      </c>
      <c r="C2026" s="2" t="s">
        <v>573</v>
      </c>
      <c r="D2026" s="2" t="str">
        <f t="shared" si="30"/>
        <v>Error?</v>
      </c>
    </row>
    <row r="2027" spans="1:4" x14ac:dyDescent="0.2">
      <c r="A2027" s="5">
        <v>1966</v>
      </c>
      <c r="B2027" s="138">
        <f>'Cap Outlay Deprec 26'!F8</f>
        <v>2069367</v>
      </c>
      <c r="C2027" s="2" t="s">
        <v>573</v>
      </c>
      <c r="D2027" s="2" t="str">
        <f t="shared" si="30"/>
        <v>Error?</v>
      </c>
    </row>
    <row r="2028" spans="1:4" x14ac:dyDescent="0.2">
      <c r="A2028" s="5">
        <v>1967</v>
      </c>
      <c r="B2028" s="138">
        <f>'Cap Outlay Deprec 26'!F10</f>
        <v>44316</v>
      </c>
      <c r="C2028" s="2" t="s">
        <v>573</v>
      </c>
      <c r="D2028" s="2" t="str">
        <f t="shared" si="30"/>
        <v>Error?</v>
      </c>
    </row>
    <row r="2029" spans="1:4" x14ac:dyDescent="0.2">
      <c r="A2029" s="5">
        <v>1968</v>
      </c>
      <c r="B2029" s="138">
        <f>'Cap Outlay Deprec 26'!F12</f>
        <v>162702</v>
      </c>
      <c r="C2029" s="2" t="s">
        <v>573</v>
      </c>
      <c r="D2029" s="2" t="str">
        <f t="shared" si="30"/>
        <v>Error?</v>
      </c>
    </row>
    <row r="2030" spans="1:4" x14ac:dyDescent="0.2">
      <c r="A2030" s="5">
        <v>1969</v>
      </c>
      <c r="B2030" s="138">
        <f>'Cap Outlay Deprec 26'!F13</f>
        <v>22129</v>
      </c>
      <c r="C2030" s="2" t="s">
        <v>573</v>
      </c>
      <c r="D2030" s="2" t="str">
        <f t="shared" si="30"/>
        <v>Error?</v>
      </c>
    </row>
    <row r="2031" spans="1:4" x14ac:dyDescent="0.2">
      <c r="A2031" s="5">
        <v>1970</v>
      </c>
      <c r="B2031" s="138">
        <f>'Cap Outlay Deprec 26'!F16</f>
        <v>2301865</v>
      </c>
      <c r="C2031" s="2" t="s">
        <v>573</v>
      </c>
      <c r="D2031" s="2" t="str">
        <f t="shared" si="30"/>
        <v>Error?</v>
      </c>
    </row>
    <row r="2032" spans="1:4" x14ac:dyDescent="0.2">
      <c r="A2032" s="10">
        <v>1971</v>
      </c>
      <c r="D2032" s="2" t="str">
        <f t="shared" si="30"/>
        <v>OK</v>
      </c>
    </row>
    <row r="2033" spans="1:4" x14ac:dyDescent="0.2">
      <c r="A2033" s="5">
        <v>1972</v>
      </c>
      <c r="B2033" s="138">
        <f>'Cap Outlay Deprec 26'!H8</f>
        <v>802635</v>
      </c>
      <c r="D2033" s="2" t="str">
        <f t="shared" si="30"/>
        <v>Error?</v>
      </c>
    </row>
    <row r="2034" spans="1:4" x14ac:dyDescent="0.2">
      <c r="A2034" s="5">
        <v>1973</v>
      </c>
      <c r="B2034" s="138">
        <f>'Cap Outlay Deprec 26'!H10</f>
        <v>10926</v>
      </c>
      <c r="D2034" s="2" t="str">
        <f t="shared" si="30"/>
        <v>Error?</v>
      </c>
    </row>
    <row r="2035" spans="1:4" x14ac:dyDescent="0.2">
      <c r="A2035" s="5">
        <v>1974</v>
      </c>
      <c r="B2035" s="138">
        <f>'Cap Outlay Deprec 26'!H12</f>
        <v>9334</v>
      </c>
      <c r="D2035" s="2" t="str">
        <f t="shared" si="30"/>
        <v>Error?</v>
      </c>
    </row>
    <row r="2036" spans="1:4" x14ac:dyDescent="0.2">
      <c r="A2036" s="5">
        <v>1975</v>
      </c>
      <c r="B2036" s="138">
        <f>'Cap Outlay Deprec 26'!H13</f>
        <v>22129</v>
      </c>
      <c r="D2036" s="2" t="str">
        <f t="shared" si="30"/>
        <v>Error?</v>
      </c>
    </row>
    <row r="2037" spans="1:4" x14ac:dyDescent="0.2">
      <c r="A2037" s="5">
        <v>1976</v>
      </c>
      <c r="B2037" s="138">
        <f>'Cap Outlay Deprec 26'!H16</f>
        <v>845024</v>
      </c>
      <c r="C2037" s="2" t="s">
        <v>573</v>
      </c>
      <c r="D2037" s="2" t="str">
        <f t="shared" si="30"/>
        <v>Error?</v>
      </c>
    </row>
    <row r="2038" spans="1:4" x14ac:dyDescent="0.2">
      <c r="A2038" s="10">
        <v>1977</v>
      </c>
      <c r="D2038" s="2" t="str">
        <f t="shared" si="30"/>
        <v>OK</v>
      </c>
    </row>
    <row r="2039" spans="1:4" x14ac:dyDescent="0.2">
      <c r="A2039" s="5">
        <v>1978</v>
      </c>
      <c r="B2039" s="138">
        <f>'Cap Outlay Deprec 26'!I8</f>
        <v>38382</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10414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48796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500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500</v>
      </c>
      <c r="C2049" s="2" t="s">
        <v>573</v>
      </c>
      <c r="D2049" s="2" t="str">
        <f t="shared" si="31"/>
        <v>Error?</v>
      </c>
    </row>
    <row r="2050" spans="1:4" x14ac:dyDescent="0.2">
      <c r="A2050" s="10">
        <v>1989</v>
      </c>
      <c r="D2050" s="2" t="str">
        <f t="shared" si="31"/>
        <v>OK</v>
      </c>
    </row>
    <row r="2051" spans="1:4" x14ac:dyDescent="0.2">
      <c r="A2051" s="5">
        <v>1990</v>
      </c>
      <c r="B2051" s="138">
        <f>'Cap Outlay Deprec 26'!K8</f>
        <v>841017</v>
      </c>
      <c r="C2051" s="2" t="s">
        <v>573</v>
      </c>
      <c r="D2051" s="2" t="str">
        <f t="shared" si="31"/>
        <v>Error?</v>
      </c>
    </row>
    <row r="2052" spans="1:4" x14ac:dyDescent="0.2">
      <c r="A2052" s="5">
        <v>1991</v>
      </c>
      <c r="B2052" s="138">
        <f>'Cap Outlay Deprec 26'!K10</f>
        <v>10926</v>
      </c>
      <c r="C2052" s="2" t="s">
        <v>573</v>
      </c>
      <c r="D2052" s="2" t="str">
        <f t="shared" si="31"/>
        <v>Error?</v>
      </c>
    </row>
    <row r="2053" spans="1:4" x14ac:dyDescent="0.2">
      <c r="A2053" s="5">
        <v>1992</v>
      </c>
      <c r="B2053" s="138">
        <f>'Cap Outlay Deprec 26'!K12</f>
        <v>19248</v>
      </c>
      <c r="C2053" s="2" t="s">
        <v>573</v>
      </c>
      <c r="D2053" s="2" t="str">
        <f t="shared" si="31"/>
        <v>Error?</v>
      </c>
    </row>
    <row r="2054" spans="1:4" x14ac:dyDescent="0.2">
      <c r="A2054" s="5">
        <v>1993</v>
      </c>
      <c r="B2054" s="138">
        <f>'Cap Outlay Deprec 26'!K13</f>
        <v>22129</v>
      </c>
      <c r="C2054" s="2" t="s">
        <v>573</v>
      </c>
      <c r="D2054" s="2" t="str">
        <f t="shared" si="31"/>
        <v>Error?</v>
      </c>
    </row>
    <row r="2055" spans="1:4" x14ac:dyDescent="0.2">
      <c r="A2055" s="5">
        <v>1994</v>
      </c>
      <c r="B2055" s="138">
        <f>'Cap Outlay Deprec 26'!K16</f>
        <v>893320</v>
      </c>
      <c r="C2055" s="2" t="s">
        <v>573</v>
      </c>
      <c r="D2055" s="2" t="str">
        <f t="shared" si="31"/>
        <v>Error?</v>
      </c>
    </row>
    <row r="2056" spans="1:4" x14ac:dyDescent="0.2">
      <c r="A2056" s="5">
        <v>1995</v>
      </c>
      <c r="B2056" s="138">
        <f>'Cap Outlay Deprec 26'!L5</f>
        <v>3351</v>
      </c>
      <c r="C2056" s="2" t="s">
        <v>573</v>
      </c>
      <c r="D2056" s="2" t="str">
        <f t="shared" si="31"/>
        <v>Error?</v>
      </c>
    </row>
    <row r="2057" spans="1:4" x14ac:dyDescent="0.2">
      <c r="A2057" s="5">
        <v>1996</v>
      </c>
      <c r="B2057" s="138">
        <f>'Cap Outlay Deprec 26'!L8</f>
        <v>1228350</v>
      </c>
      <c r="C2057" s="2" t="s">
        <v>573</v>
      </c>
      <c r="D2057" s="2" t="str">
        <f t="shared" si="31"/>
        <v>Error?</v>
      </c>
    </row>
    <row r="2058" spans="1:4" x14ac:dyDescent="0.2">
      <c r="A2058" s="5">
        <v>1997</v>
      </c>
      <c r="B2058" s="138">
        <f>'Cap Outlay Deprec 26'!L10</f>
        <v>33390</v>
      </c>
      <c r="C2058" s="2" t="s">
        <v>573</v>
      </c>
      <c r="D2058" s="2" t="str">
        <f t="shared" si="31"/>
        <v>Error?</v>
      </c>
    </row>
    <row r="2059" spans="1:4" x14ac:dyDescent="0.2">
      <c r="A2059" s="5">
        <v>1998</v>
      </c>
      <c r="B2059" s="138">
        <f>'Cap Outlay Deprec 26'!L12</f>
        <v>143454</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1408545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23419</v>
      </c>
      <c r="C2088" s="2" t="s">
        <v>573</v>
      </c>
      <c r="D2088" s="2" t="str">
        <f t="shared" si="31"/>
        <v>Error?</v>
      </c>
    </row>
    <row r="2089" spans="1:4" x14ac:dyDescent="0.2">
      <c r="A2089" s="5">
        <v>2028</v>
      </c>
      <c r="B2089" s="138">
        <f>'Expenditures 15-22'!K92</f>
        <v>32776</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276346</v>
      </c>
      <c r="C2551" s="2" t="s">
        <v>573</v>
      </c>
      <c r="D2551" s="2" t="str">
        <f t="shared" si="38"/>
        <v>Error?</v>
      </c>
    </row>
    <row r="2552" spans="1:4" x14ac:dyDescent="0.2">
      <c r="A2552" s="10">
        <v>2491</v>
      </c>
      <c r="D2552" s="2" t="str">
        <f t="shared" si="38"/>
        <v>OK</v>
      </c>
    </row>
    <row r="2553" spans="1:4" x14ac:dyDescent="0.2">
      <c r="A2553" s="5">
        <v>2492</v>
      </c>
      <c r="B2553" s="138">
        <f>'Acct Summary 7-8'!C6</f>
        <v>1331694</v>
      </c>
      <c r="C2553" s="2" t="s">
        <v>573</v>
      </c>
      <c r="D2553" s="2" t="str">
        <f t="shared" si="38"/>
        <v>Error?</v>
      </c>
    </row>
    <row r="2554" spans="1:4" x14ac:dyDescent="0.2">
      <c r="A2554" s="5">
        <v>2493</v>
      </c>
      <c r="B2554" s="138">
        <f>'Acct Summary 7-8'!C7</f>
        <v>339118</v>
      </c>
      <c r="C2554" s="2" t="s">
        <v>573</v>
      </c>
      <c r="D2554" s="2" t="str">
        <f t="shared" si="38"/>
        <v>Error?</v>
      </c>
    </row>
    <row r="2555" spans="1:4" x14ac:dyDescent="0.2">
      <c r="A2555" s="5">
        <v>2494</v>
      </c>
      <c r="B2555" s="138">
        <f>'Acct Summary 7-8'!C8</f>
        <v>1947158</v>
      </c>
      <c r="C2555" s="2" t="s">
        <v>573</v>
      </c>
      <c r="D2555" s="2" t="str">
        <f t="shared" si="38"/>
        <v>Error?</v>
      </c>
    </row>
    <row r="2556" spans="1:4" x14ac:dyDescent="0.2">
      <c r="A2556" s="5">
        <v>2495</v>
      </c>
      <c r="B2556" s="138">
        <f>'Acct Summary 7-8'!C12</f>
        <v>1126324</v>
      </c>
      <c r="C2556" s="2" t="s">
        <v>573</v>
      </c>
      <c r="D2556" s="2" t="str">
        <f t="shared" si="38"/>
        <v>Error?</v>
      </c>
    </row>
    <row r="2557" spans="1:4" x14ac:dyDescent="0.2">
      <c r="A2557" s="5">
        <v>2496</v>
      </c>
      <c r="B2557" s="138">
        <f>'Acct Summary 7-8'!C13</f>
        <v>738513</v>
      </c>
      <c r="C2557" s="2" t="s">
        <v>573</v>
      </c>
      <c r="D2557" s="2" t="str">
        <f t="shared" si="38"/>
        <v>Error?</v>
      </c>
    </row>
    <row r="2558" spans="1:4" x14ac:dyDescent="0.2">
      <c r="A2558" s="5">
        <v>2497</v>
      </c>
      <c r="B2558" s="138">
        <f>'Acct Summary 7-8'!C14</f>
        <v>444</v>
      </c>
      <c r="C2558" s="2" t="s">
        <v>573</v>
      </c>
      <c r="D2558" s="2" t="str">
        <f t="shared" si="38"/>
        <v>Error?</v>
      </c>
    </row>
    <row r="2559" spans="1:4" x14ac:dyDescent="0.2">
      <c r="A2559" s="5">
        <v>2498</v>
      </c>
      <c r="B2559" s="138">
        <f>'Acct Summary 7-8'!C15</f>
        <v>56333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1921614</v>
      </c>
      <c r="C2561" s="2" t="s">
        <v>573</v>
      </c>
      <c r="D2561" s="2" t="str">
        <f t="shared" si="39"/>
        <v>Error?</v>
      </c>
    </row>
    <row r="2562" spans="1:4" x14ac:dyDescent="0.2">
      <c r="A2562" s="5">
        <v>2501</v>
      </c>
      <c r="B2562" s="138">
        <f>'Acct Summary 7-8'!C20</f>
        <v>25544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65973</v>
      </c>
      <c r="C2564" s="2" t="s">
        <v>573</v>
      </c>
      <c r="D2564" s="2" t="str">
        <f t="shared" si="39"/>
        <v>Error?</v>
      </c>
    </row>
    <row r="2565" spans="1:4" x14ac:dyDescent="0.2">
      <c r="A2565" s="10">
        <v>2504</v>
      </c>
      <c r="D2565" s="2" t="str">
        <f t="shared" si="39"/>
        <v>OK</v>
      </c>
    </row>
    <row r="2566" spans="1:4" x14ac:dyDescent="0.2">
      <c r="A2566" s="5">
        <v>2505</v>
      </c>
      <c r="B2566" s="138">
        <f>'Acct Summary 7-8'!D6</f>
        <v>154000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219973</v>
      </c>
      <c r="C2568" s="2" t="s">
        <v>573</v>
      </c>
      <c r="D2568" s="2" t="str">
        <f t="shared" si="39"/>
        <v>Error?</v>
      </c>
    </row>
    <row r="2569" spans="1:4" x14ac:dyDescent="0.2">
      <c r="A2569" s="5">
        <v>2508</v>
      </c>
      <c r="B2569" s="138">
        <f>'Acct Summary 7-8'!D13</f>
        <v>191134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191134</v>
      </c>
      <c r="C2573" s="2" t="s">
        <v>573</v>
      </c>
      <c r="D2573" s="2" t="str">
        <f t="shared" si="39"/>
        <v>Error?</v>
      </c>
    </row>
    <row r="2574" spans="1:4" x14ac:dyDescent="0.2">
      <c r="A2574" s="5">
        <v>2513</v>
      </c>
      <c r="B2574" s="138">
        <f>'Acct Summary 7-8'!D20</f>
        <v>28839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22610</v>
      </c>
      <c r="C2591" s="2" t="s">
        <v>573</v>
      </c>
      <c r="D2591" s="2" t="str">
        <f t="shared" si="39"/>
        <v>Error?</v>
      </c>
    </row>
    <row r="2592" spans="1:4" x14ac:dyDescent="0.2">
      <c r="A2592" s="10">
        <v>2531</v>
      </c>
      <c r="D2592" s="2" t="str">
        <f t="shared" si="39"/>
        <v>OK</v>
      </c>
    </row>
    <row r="2593" spans="1:4" x14ac:dyDescent="0.2">
      <c r="A2593" s="5">
        <v>2532</v>
      </c>
      <c r="B2593" s="138">
        <f>'Acct Summary 7-8'!F6</f>
        <v>56509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79119</v>
      </c>
      <c r="C2595" s="2" t="s">
        <v>573</v>
      </c>
      <c r="D2595" s="2" t="str">
        <f t="shared" si="39"/>
        <v>Error?</v>
      </c>
    </row>
    <row r="2596" spans="1:4" x14ac:dyDescent="0.2">
      <c r="A2596" s="5">
        <v>2535</v>
      </c>
      <c r="B2596" s="138">
        <f>'Acct Summary 7-8'!F13</f>
        <v>78846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78846</v>
      </c>
      <c r="C2600" s="2" t="s">
        <v>573</v>
      </c>
      <c r="D2600" s="2" t="str">
        <f t="shared" si="39"/>
        <v>Error?</v>
      </c>
    </row>
    <row r="2601" spans="1:4" x14ac:dyDescent="0.2">
      <c r="A2601" s="5">
        <v>2540</v>
      </c>
      <c r="B2601" s="138">
        <f>'Acct Summary 7-8'!F20</f>
        <v>273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68007</v>
      </c>
      <c r="C2603" s="2" t="s">
        <v>573</v>
      </c>
      <c r="D2603" s="2" t="str">
        <f t="shared" si="39"/>
        <v>Error?</v>
      </c>
    </row>
    <row r="2604" spans="1:4" x14ac:dyDescent="0.2">
      <c r="A2604" s="5">
        <v>2543</v>
      </c>
      <c r="B2604" s="138">
        <f>'Acct Summary 7-8'!G6</f>
        <v>21000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89007</v>
      </c>
      <c r="C2606" s="2" t="s">
        <v>573</v>
      </c>
      <c r="D2606" s="2" t="str">
        <f t="shared" si="39"/>
        <v>Error?</v>
      </c>
    </row>
    <row r="2607" spans="1:4" x14ac:dyDescent="0.2">
      <c r="A2607" s="5">
        <v>2546</v>
      </c>
      <c r="B2607" s="138">
        <f>'Acct Summary 7-8'!G12</f>
        <v>32158</v>
      </c>
      <c r="C2607" s="2" t="s">
        <v>573</v>
      </c>
      <c r="D2607" s="2" t="str">
        <f t="shared" si="39"/>
        <v>Error?</v>
      </c>
    </row>
    <row r="2608" spans="1:4" x14ac:dyDescent="0.2">
      <c r="A2608" s="5">
        <v>2547</v>
      </c>
      <c r="B2608" s="138">
        <f>'Acct Summary 7-8'!G13</f>
        <v>55996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88154</v>
      </c>
      <c r="C2612" s="2" t="s">
        <v>573</v>
      </c>
      <c r="D2612" s="2" t="str">
        <f t="shared" si="39"/>
        <v>Error?</v>
      </c>
    </row>
    <row r="2613" spans="1:4" x14ac:dyDescent="0.2">
      <c r="A2613" s="5">
        <v>2552</v>
      </c>
      <c r="B2613" s="138">
        <f>'Acct Summary 7-8'!G20</f>
        <v>853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79732</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79732</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79323</v>
      </c>
      <c r="C2634" s="2" t="s">
        <v>573</v>
      </c>
      <c r="D2634" s="2" t="str">
        <f t="shared" si="40"/>
        <v>Error?</v>
      </c>
    </row>
    <row r="2635" spans="1:4" x14ac:dyDescent="0.2">
      <c r="A2635" s="5">
        <v>2574</v>
      </c>
      <c r="B2635" s="138">
        <f>'Acct Summary 7-8'!E17</f>
        <v>79323</v>
      </c>
      <c r="C2635" s="2" t="s">
        <v>573</v>
      </c>
      <c r="D2635" s="2" t="str">
        <f t="shared" si="40"/>
        <v>Error?</v>
      </c>
    </row>
    <row r="2636" spans="1:4" x14ac:dyDescent="0.2">
      <c r="A2636" s="5">
        <v>2575</v>
      </c>
      <c r="B2636" s="138">
        <f>'Acct Summary 7-8'!E20</f>
        <v>409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23419</v>
      </c>
      <c r="C2789" s="2" t="s">
        <v>573</v>
      </c>
      <c r="D2789" s="2" t="str">
        <f t="shared" si="42"/>
        <v>Error?</v>
      </c>
    </row>
    <row r="2790" spans="1:4" x14ac:dyDescent="0.2">
      <c r="A2790" s="5">
        <v>2729</v>
      </c>
      <c r="B2790" s="138">
        <f>'Expenditures 15-22'!E102</f>
        <v>23557</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109966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13590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109966</v>
      </c>
      <c r="D2912" s="2" t="str">
        <f t="shared" si="44"/>
        <v>Error?</v>
      </c>
    </row>
    <row r="2913" spans="1:4" x14ac:dyDescent="0.2">
      <c r="A2913" s="5">
        <v>2852</v>
      </c>
      <c r="B2913" s="138">
        <f>'Assets-Liab 5-6'!I41</f>
        <v>109966</v>
      </c>
      <c r="C2913" s="2" t="s">
        <v>573</v>
      </c>
      <c r="D2913" s="2" t="str">
        <f t="shared" si="44"/>
        <v>Error?</v>
      </c>
    </row>
    <row r="2914" spans="1:4" x14ac:dyDescent="0.2">
      <c r="A2914" s="5">
        <v>2853</v>
      </c>
      <c r="B2914" s="138">
        <f>'Assets-Liab 5-6'!L33</f>
        <v>13590</v>
      </c>
      <c r="D2914" s="2" t="str">
        <f t="shared" si="44"/>
        <v>Error?</v>
      </c>
    </row>
    <row r="2915" spans="1:4" x14ac:dyDescent="0.2">
      <c r="A2915" s="10">
        <v>2854</v>
      </c>
      <c r="D2915" s="2" t="str">
        <f t="shared" si="44"/>
        <v>OK</v>
      </c>
    </row>
    <row r="2916" spans="1:4" x14ac:dyDescent="0.2">
      <c r="A2916" s="5">
        <v>2855</v>
      </c>
      <c r="B2916" s="138">
        <f>'Assets-Liab 5-6'!L34</f>
        <v>13590</v>
      </c>
      <c r="C2916" s="2" t="s">
        <v>573</v>
      </c>
      <c r="D2916" s="2" t="str">
        <f t="shared" si="44"/>
        <v>Error?</v>
      </c>
    </row>
    <row r="2917" spans="1:4" x14ac:dyDescent="0.2">
      <c r="A2917" s="5">
        <v>2856</v>
      </c>
      <c r="B2917" s="138">
        <f>'Assets-Liab 5-6'!L41</f>
        <v>13590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138</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23184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235</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23184</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235</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46136</v>
      </c>
      <c r="D3055" s="2" t="str">
        <f t="shared" si="46"/>
        <v>Error?</v>
      </c>
    </row>
    <row r="3056" spans="1:4" x14ac:dyDescent="0.2">
      <c r="A3056" s="5">
        <v>2995</v>
      </c>
      <c r="B3056" s="138">
        <f>'Expenditures 15-22'!D10</f>
        <v>7543</v>
      </c>
      <c r="D3056" s="2" t="str">
        <f t="shared" si="46"/>
        <v>Error?</v>
      </c>
    </row>
    <row r="3057" spans="1:4" x14ac:dyDescent="0.2">
      <c r="A3057" s="5">
        <v>2996</v>
      </c>
      <c r="B3057" s="138">
        <f>'Expenditures 15-22'!E10</f>
        <v>1041</v>
      </c>
      <c r="D3057" s="2" t="str">
        <f t="shared" si="46"/>
        <v>Error?</v>
      </c>
    </row>
    <row r="3058" spans="1:4" x14ac:dyDescent="0.2">
      <c r="A3058" s="5">
        <v>2997</v>
      </c>
      <c r="B3058" s="138">
        <f>'Expenditures 15-22'!F10</f>
        <v>17111</v>
      </c>
      <c r="D3058" s="2" t="str">
        <f t="shared" si="46"/>
        <v>Error?</v>
      </c>
    </row>
    <row r="3059" spans="1:4" x14ac:dyDescent="0.2">
      <c r="A3059" s="5">
        <v>2998</v>
      </c>
      <c r="B3059" s="138">
        <f>'Expenditures 15-22'!G10</f>
        <v>6012</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77843</v>
      </c>
      <c r="C3062" s="2" t="s">
        <v>573</v>
      </c>
      <c r="D3062" s="2" t="str">
        <f t="shared" si="46"/>
        <v>Error?</v>
      </c>
    </row>
    <row r="3063" spans="1:4" x14ac:dyDescent="0.2">
      <c r="A3063" s="10">
        <v>3002</v>
      </c>
      <c r="D3063" s="2" t="str">
        <f t="shared" si="46"/>
        <v>OK</v>
      </c>
    </row>
    <row r="3064" spans="1:4" x14ac:dyDescent="0.2">
      <c r="A3064" s="5">
        <v>3003</v>
      </c>
      <c r="B3064" s="138">
        <f>'Expenditures 15-22'!D219</f>
        <v>4045</v>
      </c>
      <c r="D3064" s="2" t="str">
        <f t="shared" si="46"/>
        <v>Error?</v>
      </c>
    </row>
    <row r="3065" spans="1:4" x14ac:dyDescent="0.2">
      <c r="A3065" s="5">
        <v>3004</v>
      </c>
      <c r="B3065" s="138">
        <f>'Expenditures 15-22'!K219</f>
        <v>4045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6363</v>
      </c>
      <c r="C3225" s="2" t="s">
        <v>573</v>
      </c>
      <c r="D3225" s="2" t="str">
        <f t="shared" si="49"/>
        <v>Error?</v>
      </c>
    </row>
    <row r="3226" spans="1:4" x14ac:dyDescent="0.2">
      <c r="A3226" s="5">
        <v>3165</v>
      </c>
      <c r="B3226" s="138">
        <f>'Acct Summary 7-8'!I8</f>
        <v>6363</v>
      </c>
      <c r="C3226" s="2" t="s">
        <v>573</v>
      </c>
      <c r="D3226" s="2" t="str">
        <f t="shared" si="49"/>
        <v>Error?</v>
      </c>
    </row>
    <row r="3227" spans="1:4" x14ac:dyDescent="0.2">
      <c r="A3227" s="5">
        <v>3166</v>
      </c>
      <c r="B3227" s="138">
        <f>'Acct Summary 7-8'!I20</f>
        <v>6363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25544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28839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273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853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409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6363</v>
      </c>
      <c r="C3320" s="2" t="s">
        <v>573</v>
      </c>
      <c r="D3320" s="2" t="str">
        <f t="shared" si="50"/>
        <v>Error?</v>
      </c>
    </row>
    <row r="3321" spans="1:4" x14ac:dyDescent="0.2">
      <c r="A3321" s="5">
        <v>3260</v>
      </c>
      <c r="B3321" s="138">
        <f>'Acct Summary 7-8'!I79</f>
        <v>103603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109966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182348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25339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1598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836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210121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8226</v>
      </c>
      <c r="D3387" s="2" t="str">
        <f t="shared" si="51"/>
        <v>Error?</v>
      </c>
    </row>
    <row r="3388" spans="1:4" x14ac:dyDescent="0.2">
      <c r="A3388" s="5">
        <v>3327</v>
      </c>
      <c r="B3388" s="138">
        <f>'Expenditures 15-22'!D217</f>
        <v>16692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8226</v>
      </c>
      <c r="C3390" s="2" t="s">
        <v>573</v>
      </c>
      <c r="D3390" s="2" t="str">
        <f t="shared" si="51"/>
        <v>Error?</v>
      </c>
    </row>
    <row r="3391" spans="1:4" x14ac:dyDescent="0.2">
      <c r="A3391" s="5">
        <v>3330</v>
      </c>
      <c r="B3391" s="138">
        <f>'Expenditures 15-22'!K217</f>
        <v>16692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875552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60805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960</v>
      </c>
      <c r="D3417" s="2" t="str">
        <f t="shared" si="52"/>
        <v>Error?</v>
      </c>
    </row>
    <row r="3418" spans="1:4" x14ac:dyDescent="0.2">
      <c r="A3418" s="10">
        <v>3357</v>
      </c>
      <c r="D3418" s="2" t="str">
        <f t="shared" si="52"/>
        <v>OK</v>
      </c>
    </row>
    <row r="3419" spans="1:4" x14ac:dyDescent="0.2">
      <c r="A3419" s="5">
        <v>3358</v>
      </c>
      <c r="B3419" s="138">
        <f>'Assets-Liab 5-6'!F4</f>
        <v>27904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33242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109966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13590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30669</v>
      </c>
      <c r="C3446" s="2" t="s">
        <v>573</v>
      </c>
      <c r="D3446" s="2" t="str">
        <f t="shared" si="52"/>
        <v>Error?</v>
      </c>
    </row>
    <row r="3447" spans="1:4" x14ac:dyDescent="0.2">
      <c r="A3447" s="5">
        <v>3386</v>
      </c>
      <c r="B3447" s="138">
        <f>'Tax Sched 23'!D16</f>
        <v>30669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31662</v>
      </c>
      <c r="C3449" s="2" t="s">
        <v>573</v>
      </c>
      <c r="D3449" s="2" t="str">
        <f t="shared" si="52"/>
        <v>Error?</v>
      </c>
    </row>
    <row r="3450" spans="1:4" x14ac:dyDescent="0.2">
      <c r="A3450" s="5">
        <v>3389</v>
      </c>
      <c r="B3450" s="138">
        <f>'Tax Sched 23'!E16</f>
        <v>31662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58859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768987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2716145</v>
      </c>
      <c r="C4122" s="2" t="s">
        <v>573</v>
      </c>
      <c r="D4122" s="2" t="str">
        <f t="shared" si="63"/>
        <v>Error?</v>
      </c>
    </row>
    <row r="4123" spans="1:4" x14ac:dyDescent="0.2">
      <c r="A4123" s="5">
        <v>4062</v>
      </c>
      <c r="B4123" s="138">
        <f>'Acct Summary 7-8'!D10</f>
        <v>219973</v>
      </c>
      <c r="C4123" s="2" t="s">
        <v>573</v>
      </c>
      <c r="D4123" s="2" t="str">
        <f t="shared" si="63"/>
        <v>Error?</v>
      </c>
    </row>
    <row r="4124" spans="1:4" x14ac:dyDescent="0.2">
      <c r="A4124" s="5">
        <v>4063</v>
      </c>
      <c r="B4124" s="138">
        <f>'Acct Summary 7-8'!E10</f>
        <v>79732</v>
      </c>
      <c r="C4124" s="2" t="s">
        <v>573</v>
      </c>
      <c r="D4124" s="2" t="str">
        <f t="shared" si="63"/>
        <v>Error?</v>
      </c>
    </row>
    <row r="4125" spans="1:4" x14ac:dyDescent="0.2">
      <c r="A4125" s="5">
        <v>4064</v>
      </c>
      <c r="B4125" s="138">
        <f>'Acct Summary 7-8'!F10</f>
        <v>79119</v>
      </c>
      <c r="C4125" s="2" t="s">
        <v>573</v>
      </c>
      <c r="D4125" s="2" t="str">
        <f t="shared" si="63"/>
        <v>Error?</v>
      </c>
    </row>
    <row r="4126" spans="1:4" x14ac:dyDescent="0.2">
      <c r="A4126" s="5">
        <v>4065</v>
      </c>
      <c r="B4126" s="138">
        <f>'Acct Summary 7-8'!G10</f>
        <v>89007</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6363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768987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2690601</v>
      </c>
      <c r="C4136" s="2" t="s">
        <v>573</v>
      </c>
      <c r="D4136" s="2" t="str">
        <f t="shared" si="63"/>
        <v>Error?</v>
      </c>
    </row>
    <row r="4137" spans="1:4" x14ac:dyDescent="0.2">
      <c r="A4137" s="5">
        <v>4076</v>
      </c>
      <c r="B4137" s="138">
        <f>'Acct Summary 7-8'!D19</f>
        <v>191134</v>
      </c>
      <c r="C4137" s="2" t="s">
        <v>573</v>
      </c>
      <c r="D4137" s="2" t="str">
        <f t="shared" si="63"/>
        <v>Error?</v>
      </c>
    </row>
    <row r="4138" spans="1:4" x14ac:dyDescent="0.2">
      <c r="A4138" s="5">
        <v>4077</v>
      </c>
      <c r="B4138" s="138">
        <f>'Acct Summary 7-8'!E19</f>
        <v>79323</v>
      </c>
      <c r="C4138" s="2" t="s">
        <v>573</v>
      </c>
      <c r="D4138" s="2" t="str">
        <f t="shared" si="63"/>
        <v>Error?</v>
      </c>
    </row>
    <row r="4139" spans="1:4" x14ac:dyDescent="0.2">
      <c r="A4139" s="5">
        <v>4078</v>
      </c>
      <c r="B4139" s="138">
        <f>'Acct Summary 7-8'!F19</f>
        <v>78846</v>
      </c>
      <c r="C4139" s="2" t="s">
        <v>573</v>
      </c>
      <c r="D4139" s="2" t="str">
        <f t="shared" si="63"/>
        <v>Error?</v>
      </c>
    </row>
    <row r="4140" spans="1:4" x14ac:dyDescent="0.2">
      <c r="A4140" s="5">
        <v>4079</v>
      </c>
      <c r="B4140" s="138">
        <f>'Acct Summary 7-8'!G19</f>
        <v>88154</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665000</v>
      </c>
      <c r="C4171" s="2" t="s">
        <v>573</v>
      </c>
      <c r="D4171" s="2" t="str">
        <f t="shared" si="64"/>
        <v>Error?</v>
      </c>
    </row>
    <row r="4172" spans="1:4" x14ac:dyDescent="0.2">
      <c r="A4172" s="5">
        <v>4111</v>
      </c>
      <c r="B4172" s="138">
        <f>'Short-Term Long-Term Debt 24'!J49</f>
        <v>664040</v>
      </c>
      <c r="C4172" s="2" t="s">
        <v>573</v>
      </c>
      <c r="D4172" s="2" t="str">
        <f t="shared" si="64"/>
        <v>Error?</v>
      </c>
    </row>
    <row r="4173" spans="1:4" x14ac:dyDescent="0.2">
      <c r="A4173" s="5">
        <v>4112</v>
      </c>
      <c r="B4173" s="138">
        <f>'Short-Term Long-Term Debt 24'!H49</f>
        <v>35000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1384.29</v>
      </c>
      <c r="C4265" s="2" t="s">
        <v>573</v>
      </c>
      <c r="D4265" s="2" t="str">
        <f t="shared" si="65"/>
        <v>Error?</v>
      </c>
      <c r="E4265" s="128"/>
    </row>
    <row r="4266" spans="1:5" x14ac:dyDescent="0.2">
      <c r="A4266" s="12">
        <v>4205</v>
      </c>
      <c r="B4266" s="138">
        <f>('FP Info 3'!F10)*100000</f>
        <v>339.2</v>
      </c>
      <c r="C4266" s="2" t="s">
        <v>573</v>
      </c>
      <c r="D4266" s="2" t="str">
        <f t="shared" si="65"/>
        <v>Error?</v>
      </c>
      <c r="E4266" s="128"/>
    </row>
    <row r="4267" spans="1:5" x14ac:dyDescent="0.2">
      <c r="A4267" s="12">
        <v>4206</v>
      </c>
      <c r="B4267" s="138">
        <f>('FP Info 3'!H10)*100000</f>
        <v>151.68</v>
      </c>
      <c r="C4267" s="2" t="s">
        <v>573</v>
      </c>
      <c r="D4267" s="2" t="str">
        <f t="shared" si="65"/>
        <v>Error?</v>
      </c>
      <c r="E4267" s="128"/>
    </row>
    <row r="4268" spans="1:5" x14ac:dyDescent="0.2">
      <c r="A4268" s="12">
        <v>4207</v>
      </c>
      <c r="B4268" s="138">
        <f>('FP Info 3'!J10)*100000</f>
        <v>1875</v>
      </c>
      <c r="C4268" s="2" t="s">
        <v>573</v>
      </c>
      <c r="D4268" s="2" t="str">
        <f t="shared" si="65"/>
        <v>Error?</v>
      </c>
    </row>
    <row r="4269" spans="1:5" x14ac:dyDescent="0.2">
      <c r="A4269" s="12">
        <v>4208</v>
      </c>
      <c r="B4269" s="138">
        <f>'FP Info 3'!J16</f>
        <v>1074227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36491</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7896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4216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25616</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25616</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9613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32.25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15133290</v>
      </c>
      <c r="D4995" s="2" t="str">
        <f t="shared" si="77"/>
        <v>Error?</v>
      </c>
    </row>
    <row r="4996" spans="1:4" x14ac:dyDescent="0.2">
      <c r="A4996" s="12">
        <v>4935</v>
      </c>
      <c r="B4996" s="138">
        <f>'FP Info 3'!H31</f>
        <v>1044197.0100000001</v>
      </c>
      <c r="D4996" s="2" t="str">
        <f t="shared" si="77"/>
        <v>Error?</v>
      </c>
    </row>
    <row r="4997" spans="1:4" x14ac:dyDescent="0.2">
      <c r="A4997" s="12">
        <v>4936</v>
      </c>
      <c r="B4997" s="138">
        <f>'FP Info 3'!H37</f>
        <v>665000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202927</v>
      </c>
      <c r="D5061" s="2" t="str">
        <f t="shared" si="78"/>
        <v>Error?</v>
      </c>
    </row>
    <row r="5062" spans="1:4" x14ac:dyDescent="0.2">
      <c r="A5062" s="10">
        <v>5001</v>
      </c>
      <c r="D5062" s="2" t="str">
        <f t="shared" si="78"/>
        <v>OK</v>
      </c>
    </row>
    <row r="5063" spans="1:4" x14ac:dyDescent="0.2">
      <c r="A5063" s="5">
        <v>5002</v>
      </c>
      <c r="B5063" s="138">
        <f>'Revenues 9-14'!C7</f>
        <v>2962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205889</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1419</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1419</v>
      </c>
      <c r="C5087" s="2" t="s">
        <v>573</v>
      </c>
      <c r="D5087" s="2" t="str">
        <f t="shared" si="78"/>
        <v>Error?</v>
      </c>
    </row>
    <row r="5088" spans="1:4" x14ac:dyDescent="0.2">
      <c r="A5088" s="5">
        <v>5027</v>
      </c>
      <c r="B5088" s="138">
        <f>'Revenues 9-14'!C65</f>
        <v>13812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13812</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318</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1059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1377</v>
      </c>
      <c r="C5096" s="2" t="s">
        <v>573</v>
      </c>
      <c r="D5096" s="2" t="str">
        <f t="shared" si="78"/>
        <v>Error?</v>
      </c>
    </row>
    <row r="5097" spans="1:4" x14ac:dyDescent="0.2">
      <c r="A5097" s="5">
        <v>5036</v>
      </c>
      <c r="B5097" s="138">
        <f>'Revenues 9-14'!C77</f>
        <v>7020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846</v>
      </c>
      <c r="D5101" s="2" t="str">
        <f t="shared" si="78"/>
        <v>Error?</v>
      </c>
    </row>
    <row r="5102" spans="1:4" x14ac:dyDescent="0.2">
      <c r="A5102" s="5">
        <v>5041</v>
      </c>
      <c r="B5102" s="138">
        <f>'Revenues 9-14'!C82</f>
        <v>7866</v>
      </c>
      <c r="C5102" s="2" t="s">
        <v>573</v>
      </c>
      <c r="D5102" s="2" t="str">
        <f t="shared" si="78"/>
        <v>Error?</v>
      </c>
    </row>
    <row r="5103" spans="1:4" x14ac:dyDescent="0.2">
      <c r="A5103" s="5">
        <v>5042</v>
      </c>
      <c r="B5103" s="138">
        <f>'Revenues 9-14'!C84</f>
        <v>3635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3635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653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21271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20424</v>
      </c>
      <c r="D5119" s="2" t="str">
        <f t="shared" ref="D5119:D5182" si="79">IF(ISBLANK(B5119),"OK",IF(A5119-B5119=0,"OK","Error?"))</f>
        <v>Error?</v>
      </c>
    </row>
    <row r="5120" spans="1:4" x14ac:dyDescent="0.2">
      <c r="A5120" s="5">
        <v>5059</v>
      </c>
      <c r="B5120" s="138">
        <f>'Revenues 9-14'!C108</f>
        <v>42348</v>
      </c>
      <c r="C5120" s="2" t="s">
        <v>573</v>
      </c>
      <c r="D5120" s="2" t="str">
        <f t="shared" si="79"/>
        <v>Error?</v>
      </c>
    </row>
    <row r="5121" spans="1:4" x14ac:dyDescent="0.2">
      <c r="A5121" s="5">
        <v>5060</v>
      </c>
      <c r="B5121" s="138">
        <f>'Revenues 9-14'!C109</f>
        <v>276346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1301221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1301221</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28297</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28297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2176</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30473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1331694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71770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30876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139137</v>
      </c>
      <c r="C5246" s="2" t="s">
        <v>573</v>
      </c>
      <c r="D5246" s="2" t="str">
        <f t="shared" si="80"/>
        <v>Error?</v>
      </c>
    </row>
    <row r="5247" spans="1:4" x14ac:dyDescent="0.2">
      <c r="A5247" s="5">
        <v>5186</v>
      </c>
      <c r="B5247" s="138">
        <f>'Revenues 9-14'!C200</f>
        <v>75706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75706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76934</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76934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339118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339118</v>
      </c>
      <c r="C5326" s="2" t="s">
        <v>573</v>
      </c>
      <c r="D5326" s="2" t="str">
        <f t="shared" si="82"/>
        <v>Error?</v>
      </c>
    </row>
    <row r="5327" spans="1:5" x14ac:dyDescent="0.2">
      <c r="A5327" s="5">
        <v>5266</v>
      </c>
      <c r="B5327" s="138">
        <f>'Revenues 9-14'!C268</f>
        <v>1947158</v>
      </c>
      <c r="C5327" s="2" t="s">
        <v>573</v>
      </c>
      <c r="D5327" s="2" t="str">
        <f t="shared" si="82"/>
        <v>Error?</v>
      </c>
    </row>
    <row r="5328" spans="1:5" x14ac:dyDescent="0.2">
      <c r="A5328" s="5">
        <v>5267</v>
      </c>
      <c r="B5328" s="138">
        <f>'Revenues 9-14'!D5</f>
        <v>49725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49725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15836</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15836</v>
      </c>
      <c r="C5339" s="2" t="s">
        <v>573</v>
      </c>
      <c r="D5339" s="2" t="str">
        <f t="shared" si="82"/>
        <v>Error?</v>
      </c>
    </row>
    <row r="5340" spans="1:4" x14ac:dyDescent="0.2">
      <c r="A5340" s="5">
        <v>5279</v>
      </c>
      <c r="B5340" s="138">
        <f>'Revenues 9-14'!D65</f>
        <v>412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412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65973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154000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154000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154000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219973</v>
      </c>
      <c r="C5508" s="2" t="s">
        <v>573</v>
      </c>
      <c r="D5508" s="2" t="str">
        <f t="shared" si="85"/>
        <v>Error?</v>
      </c>
    </row>
    <row r="5509" spans="1:4" x14ac:dyDescent="0.2">
      <c r="A5509" s="5">
        <v>5448</v>
      </c>
      <c r="B5509" s="138">
        <f>'Revenues 9-14'!E5</f>
        <v>79356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79356</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376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376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79732</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79732</v>
      </c>
      <c r="C5552" s="2" t="s">
        <v>573</v>
      </c>
      <c r="D5552" s="2" t="str">
        <f t="shared" si="85"/>
        <v>Error?</v>
      </c>
    </row>
    <row r="5553" spans="1:4" x14ac:dyDescent="0.2">
      <c r="A5553" s="5">
        <v>5492</v>
      </c>
      <c r="B5553" s="138">
        <f>'Revenues 9-14'!F5</f>
        <v>22234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22234</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376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376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22610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31000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31000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14125</v>
      </c>
      <c r="D5615" s="2" t="str">
        <f t="shared" si="86"/>
        <v>Error?</v>
      </c>
    </row>
    <row r="5616" spans="1:4" x14ac:dyDescent="0.2">
      <c r="A5616" s="10">
        <v>5555</v>
      </c>
      <c r="D5616" s="2" t="str">
        <f t="shared" si="86"/>
        <v>OK</v>
      </c>
    </row>
    <row r="5617" spans="1:5" x14ac:dyDescent="0.2">
      <c r="A5617" s="5">
        <v>5556</v>
      </c>
      <c r="B5617" s="138">
        <f>'Revenues 9-14'!F153</f>
        <v>11384</v>
      </c>
      <c r="D5617" s="2" t="str">
        <f t="shared" si="86"/>
        <v>Error?</v>
      </c>
    </row>
    <row r="5618" spans="1:5" x14ac:dyDescent="0.2">
      <c r="A5618" s="5">
        <v>5557</v>
      </c>
      <c r="B5618" s="138">
        <f>'Revenues 9-14'!F155</f>
        <v>25509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25509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56509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79119</v>
      </c>
      <c r="C5720" s="2" t="s">
        <v>573</v>
      </c>
      <c r="D5720" s="2" t="str">
        <f t="shared" si="88"/>
        <v>Error?</v>
      </c>
    </row>
    <row r="5721" spans="1:4" x14ac:dyDescent="0.2">
      <c r="A5721" s="5">
        <v>5660</v>
      </c>
      <c r="B5721" s="138">
        <f>'Revenues 9-14'!G5</f>
        <v>30669</v>
      </c>
      <c r="D5721" s="2" t="str">
        <f t="shared" si="88"/>
        <v>Error?</v>
      </c>
    </row>
    <row r="5722" spans="1:4" x14ac:dyDescent="0.2">
      <c r="A5722" s="5">
        <v>5661</v>
      </c>
      <c r="B5722" s="138">
        <f>'Revenues 9-14'!G7</f>
        <v>0</v>
      </c>
      <c r="D5722" s="2" t="str">
        <f t="shared" si="88"/>
        <v>Error?</v>
      </c>
    </row>
    <row r="5723" spans="1:4" x14ac:dyDescent="0.2">
      <c r="A5723" s="5">
        <v>5662</v>
      </c>
      <c r="B5723" s="138">
        <f>'Revenues 9-14'!G8</f>
        <v>30669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61338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6000</v>
      </c>
      <c r="C5730" s="2" t="s">
        <v>573</v>
      </c>
      <c r="D5730" s="2" t="str">
        <f t="shared" si="88"/>
        <v>Error?</v>
      </c>
    </row>
    <row r="5731" spans="1:4" x14ac:dyDescent="0.2">
      <c r="A5731" s="5">
        <v>5670</v>
      </c>
      <c r="B5731" s="138">
        <f>'Revenues 9-14'!G65</f>
        <v>669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669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21000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21000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21000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89007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4726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4726</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1637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1637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6363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68007</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6363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8275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195.8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21708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21708</v>
      </c>
      <c r="D6215" s="2" t="str">
        <f t="shared" si="96"/>
        <v>Error?</v>
      </c>
      <c r="E6215" s="2" t="s">
        <v>190</v>
      </c>
    </row>
    <row r="6216" spans="1:5" x14ac:dyDescent="0.2">
      <c r="A6216">
        <v>6155</v>
      </c>
      <c r="B6216" s="138">
        <f>'Assets-Liab 5-6'!J41</f>
        <v>21708</v>
      </c>
      <c r="D6216" s="2" t="str">
        <f t="shared" si="96"/>
        <v>Error?</v>
      </c>
      <c r="E6216" s="2" t="s">
        <v>190</v>
      </c>
    </row>
    <row r="6217" spans="1:5" x14ac:dyDescent="0.2">
      <c r="A6217">
        <v>6156</v>
      </c>
      <c r="B6217" s="138">
        <f>'Assets-Liab 5-6'!J4</f>
        <v>21708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23429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23429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23429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16194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16194</v>
      </c>
      <c r="D6229" s="2" t="str">
        <f t="shared" si="96"/>
        <v>Error?</v>
      </c>
      <c r="E6229" s="2" t="s">
        <v>190</v>
      </c>
    </row>
    <row r="6230" spans="1:5" x14ac:dyDescent="0.2">
      <c r="A6230">
        <v>6169</v>
      </c>
      <c r="B6230" s="138">
        <f>'Acct Summary 7-8'!J20</f>
        <v>7235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7235</v>
      </c>
      <c r="D6263" s="2" t="str">
        <f t="shared" si="96"/>
        <v>Error?</v>
      </c>
      <c r="E6263" s="2" t="s">
        <v>190</v>
      </c>
    </row>
    <row r="6264" spans="1:5" x14ac:dyDescent="0.2">
      <c r="A6264">
        <v>6203</v>
      </c>
      <c r="B6264" s="138">
        <f>'Acct Summary 7-8'!J79</f>
        <v>14473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21708</v>
      </c>
      <c r="D6266" s="2" t="str">
        <f t="shared" si="96"/>
        <v>Error?</v>
      </c>
      <c r="E6266" s="2" t="s">
        <v>190</v>
      </c>
    </row>
    <row r="6267" spans="1:5" x14ac:dyDescent="0.2">
      <c r="A6267">
        <v>6206</v>
      </c>
      <c r="B6267" s="138">
        <f>'Acct Summary 7-8'!C82</f>
        <v>25544</v>
      </c>
      <c r="D6267" s="2" t="str">
        <f t="shared" si="96"/>
        <v>Error?</v>
      </c>
      <c r="E6267" s="2" t="s">
        <v>190</v>
      </c>
    </row>
    <row r="6268" spans="1:5" x14ac:dyDescent="0.2">
      <c r="A6268">
        <v>6207</v>
      </c>
      <c r="B6268" s="138">
        <f>'Acct Summary 7-8'!D82</f>
        <v>28839</v>
      </c>
      <c r="D6268" s="2" t="str">
        <f t="shared" si="96"/>
        <v>Error?</v>
      </c>
      <c r="E6268" s="2" t="s">
        <v>190</v>
      </c>
    </row>
    <row r="6269" spans="1:5" x14ac:dyDescent="0.2">
      <c r="A6269">
        <v>6208</v>
      </c>
      <c r="B6269" s="138">
        <f>'Acct Summary 7-8'!E82</f>
        <v>409</v>
      </c>
      <c r="D6269" s="2" t="str">
        <f t="shared" si="96"/>
        <v>Error?</v>
      </c>
      <c r="E6269" s="2" t="s">
        <v>190</v>
      </c>
    </row>
    <row r="6270" spans="1:5" x14ac:dyDescent="0.2">
      <c r="A6270">
        <v>6209</v>
      </c>
      <c r="B6270" s="138">
        <f>'Acct Summary 7-8'!F82</f>
        <v>273</v>
      </c>
      <c r="D6270" s="2" t="str">
        <f t="shared" si="96"/>
        <v>Error?</v>
      </c>
      <c r="E6270" s="2" t="s">
        <v>190</v>
      </c>
    </row>
    <row r="6271" spans="1:5" x14ac:dyDescent="0.2">
      <c r="A6271">
        <v>6210</v>
      </c>
      <c r="B6271" s="138">
        <f>'Acct Summary 7-8'!G82</f>
        <v>853</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6363</v>
      </c>
      <c r="D6273" s="2" t="str">
        <f t="shared" si="97"/>
        <v>Error?</v>
      </c>
      <c r="E6273" s="2" t="s">
        <v>190</v>
      </c>
    </row>
    <row r="6274" spans="1:5" x14ac:dyDescent="0.2">
      <c r="A6274">
        <v>6213</v>
      </c>
      <c r="B6274" s="138">
        <f>'Acct Summary 7-8'!J82</f>
        <v>7235</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2.917473776543255E-2</v>
      </c>
      <c r="D6276" s="2" t="str">
        <f t="shared" si="97"/>
        <v>Error?</v>
      </c>
      <c r="E6276" s="2" t="s">
        <v>190</v>
      </c>
    </row>
    <row r="6277" spans="1:5" x14ac:dyDescent="0.2">
      <c r="A6277">
        <v>6216</v>
      </c>
      <c r="B6277" s="138">
        <f>'Acct Summary 7-8'!D83</f>
        <v>0.47428665405805442</v>
      </c>
      <c r="D6277" s="2" t="str">
        <f t="shared" si="97"/>
        <v>Error?</v>
      </c>
      <c r="E6277" s="2" t="s">
        <v>190</v>
      </c>
    </row>
    <row r="6278" spans="1:5" x14ac:dyDescent="0.2">
      <c r="A6278">
        <v>6217</v>
      </c>
      <c r="B6278" s="138">
        <f>'Acct Summary 7-8'!E83</f>
        <v>0.42604166666666665</v>
      </c>
      <c r="D6278" s="2" t="str">
        <f t="shared" si="97"/>
        <v>Error?</v>
      </c>
      <c r="E6278" s="2" t="s">
        <v>190</v>
      </c>
    </row>
    <row r="6279" spans="1:5" x14ac:dyDescent="0.2">
      <c r="A6279">
        <v>6218</v>
      </c>
      <c r="B6279" s="138">
        <f>'Acct Summary 7-8'!F83</f>
        <v>9.7835435779816508E-3</v>
      </c>
      <c r="D6279" s="2" t="str">
        <f t="shared" si="97"/>
        <v>Error?</v>
      </c>
      <c r="E6279" s="2" t="s">
        <v>190</v>
      </c>
    </row>
    <row r="6280" spans="1:5" x14ac:dyDescent="0.2">
      <c r="A6280">
        <v>6219</v>
      </c>
      <c r="B6280" s="138">
        <f>'Acct Summary 7-8'!G83</f>
        <v>2.5660309247337705E-2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5.7863339577687647E-2</v>
      </c>
      <c r="D6282" s="2" t="str">
        <f t="shared" si="97"/>
        <v>Error?</v>
      </c>
      <c r="E6282" s="2" t="s">
        <v>190</v>
      </c>
    </row>
    <row r="6283" spans="1:5" x14ac:dyDescent="0.2">
      <c r="A6283">
        <v>6222</v>
      </c>
      <c r="B6283" s="138">
        <f>'Acct Summary 7-8'!J83</f>
        <v>0.33328726736686937</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23149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23149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280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280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23429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66590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17169</v>
      </c>
      <c r="D6880" s="2" t="str">
        <f t="shared" si="106"/>
        <v>Error?</v>
      </c>
    </row>
    <row r="6881" spans="1:4" x14ac:dyDescent="0.2">
      <c r="A6881">
        <v>6820</v>
      </c>
      <c r="B6881" s="138">
        <f>'Expenditures 15-22'!K22</f>
        <v>17169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32776</v>
      </c>
      <c r="D6983" s="2" t="str">
        <f t="shared" si="108"/>
        <v>Error?</v>
      </c>
    </row>
    <row r="6984" spans="1:4" x14ac:dyDescent="0.2">
      <c r="A6984">
        <v>6923</v>
      </c>
      <c r="B6984" s="138">
        <f>'Expenditures 15-22'!K86</f>
        <v>32776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32776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138</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16194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23429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683</v>
      </c>
      <c r="D7075" s="2" t="str">
        <f t="shared" si="109"/>
        <v>Error?</v>
      </c>
    </row>
    <row r="7076" spans="1:4" x14ac:dyDescent="0.2">
      <c r="A7076">
        <v>7015</v>
      </c>
      <c r="B7076" s="138">
        <f>'Expenditures 15-22'!K218</f>
        <v>683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11852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11852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4342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4342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16194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16194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16194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16194</v>
      </c>
      <c r="D7224" s="2" t="str">
        <f t="shared" si="111"/>
        <v>Error?</v>
      </c>
    </row>
    <row r="7225" spans="1:4" x14ac:dyDescent="0.2">
      <c r="A7225">
        <v>7164</v>
      </c>
      <c r="B7225" s="138">
        <f>'Expenditures 15-22'!K343</f>
        <v>7235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51448</v>
      </c>
      <c r="D7251" s="2" t="str">
        <f t="shared" si="112"/>
        <v>Error?</v>
      </c>
    </row>
    <row r="7252" spans="1:4" x14ac:dyDescent="0.2">
      <c r="A7252">
        <f t="shared" si="113"/>
        <v>7191</v>
      </c>
      <c r="B7252" s="138">
        <f>'Expenditures 15-22'!D9</f>
        <v>15142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48796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2962</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114070</v>
      </c>
      <c r="D7797" s="2" t="str">
        <f t="shared" si="127"/>
        <v>Error?</v>
      </c>
      <c r="E7797" s="4" t="s">
        <v>1903</v>
      </c>
    </row>
    <row r="7798" spans="1:5" x14ac:dyDescent="0.2">
      <c r="A7798">
        <v>7737</v>
      </c>
      <c r="B7798" s="138">
        <f>'Contracts Paid in CY 29'!F142</f>
        <v>80278</v>
      </c>
      <c r="D7798" s="2" t="str">
        <f t="shared" si="127"/>
        <v>Error?</v>
      </c>
      <c r="E7798" s="4" t="s">
        <v>1903</v>
      </c>
    </row>
    <row r="7799" spans="1:5" x14ac:dyDescent="0.2">
      <c r="A7799">
        <v>7738</v>
      </c>
      <c r="B7799" s="138">
        <f>'Contracts Paid in CY 29'!G142</f>
        <v>33792</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3" t="s">
        <v>1191</v>
      </c>
      <c r="B2" s="2383"/>
      <c r="C2" s="2383"/>
      <c r="D2" s="2383"/>
      <c r="E2" s="2383"/>
      <c r="F2" s="2383"/>
      <c r="G2" s="2383"/>
      <c r="H2" s="2383"/>
      <c r="I2" s="2383"/>
      <c r="J2" s="2383"/>
      <c r="K2" s="2383"/>
      <c r="L2" s="2383"/>
    </row>
    <row r="3" spans="1:29" ht="13.5" customHeight="1" x14ac:dyDescent="0.2">
      <c r="A3" s="2414" t="s">
        <v>1190</v>
      </c>
      <c r="B3" s="2414"/>
      <c r="C3" s="2414"/>
      <c r="D3" s="2414"/>
      <c r="E3" s="2414"/>
      <c r="F3" s="2414"/>
      <c r="G3" s="2414"/>
      <c r="H3" s="2414"/>
      <c r="I3" s="2414"/>
      <c r="J3" s="2414"/>
      <c r="K3" s="2414"/>
      <c r="L3" s="2414"/>
    </row>
    <row r="4" spans="1:29" ht="13.5" customHeight="1" x14ac:dyDescent="0.2">
      <c r="A4" s="2383" t="s">
        <v>1987</v>
      </c>
      <c r="B4" s="2404"/>
      <c r="C4" s="2404"/>
      <c r="D4" s="2404"/>
      <c r="E4" s="2404"/>
      <c r="F4" s="2404"/>
      <c r="G4" s="2404"/>
      <c r="H4" s="2404"/>
      <c r="I4" s="2404"/>
      <c r="J4" s="2404"/>
      <c r="K4" s="2404"/>
      <c r="L4" s="240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5" t="str">
        <f>COVER!A17</f>
        <v>South Pekin SD 137</v>
      </c>
      <c r="B7" s="2406"/>
      <c r="C7" s="2406"/>
      <c r="D7" s="2407"/>
      <c r="E7" s="2408">
        <f>COVER!A13</f>
        <v>53090137002</v>
      </c>
      <c r="F7" s="2409"/>
      <c r="G7" s="2415" t="str">
        <f>COVER!T23</f>
        <v>066-004355</v>
      </c>
      <c r="H7" s="2416"/>
      <c r="I7" s="2416"/>
      <c r="J7" s="2416"/>
      <c r="K7" s="2416"/>
      <c r="L7" s="241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8"/>
      <c r="B9" s="2419"/>
      <c r="C9" s="2419"/>
      <c r="D9" s="2419"/>
      <c r="E9" s="2419"/>
      <c r="F9" s="2420"/>
      <c r="G9" s="2389" t="str">
        <f>COVER!T13</f>
        <v>Phillips, Salmi &amp; Associates, LLC</v>
      </c>
      <c r="H9" s="2421"/>
      <c r="I9" s="2421"/>
      <c r="J9" s="2421"/>
      <c r="K9" s="2421"/>
      <c r="L9" s="2422"/>
    </row>
    <row r="10" spans="1:29" ht="13.5" customHeight="1" x14ac:dyDescent="0.2">
      <c r="A10" s="2395" t="str">
        <f>COVER!A38</f>
        <v>Mr. Seth Mingus</v>
      </c>
      <c r="B10" s="2396"/>
      <c r="C10" s="2396"/>
      <c r="D10" s="2396"/>
      <c r="E10" s="2396"/>
      <c r="F10" s="2397"/>
      <c r="G10" s="2389" t="str">
        <f>COVER!T17</f>
        <v>112 S Main Street</v>
      </c>
      <c r="H10" s="2390"/>
      <c r="I10" s="2390"/>
      <c r="J10" s="2390"/>
      <c r="K10" s="2390"/>
      <c r="L10" s="2391"/>
    </row>
    <row r="11" spans="1:29" ht="13.5" customHeight="1" x14ac:dyDescent="0.2">
      <c r="A11" s="1184" t="s">
        <v>1519</v>
      </c>
      <c r="B11" s="1185"/>
      <c r="C11" s="1186"/>
      <c r="D11" s="1191"/>
      <c r="E11" s="1186"/>
      <c r="F11" s="1190"/>
      <c r="G11" s="2389" t="str">
        <f>COVER!T19</f>
        <v>WASHINGTON</v>
      </c>
      <c r="H11" s="2390"/>
      <c r="I11" s="2390"/>
      <c r="J11" s="2390"/>
      <c r="K11" s="2390"/>
      <c r="L11" s="2391"/>
    </row>
    <row r="12" spans="1:29" ht="13.5" customHeight="1" x14ac:dyDescent="0.2">
      <c r="A12" s="2398" t="s">
        <v>1518</v>
      </c>
      <c r="B12" s="2399"/>
      <c r="C12" s="2399"/>
      <c r="D12" s="2399"/>
      <c r="E12" s="2399"/>
      <c r="F12" s="2400"/>
      <c r="G12" s="2392"/>
      <c r="H12" s="2393"/>
      <c r="I12" s="2393"/>
      <c r="J12" s="2393"/>
      <c r="K12" s="2393"/>
      <c r="L12" s="2394"/>
    </row>
    <row r="13" spans="1:29" ht="13.5" customHeight="1" x14ac:dyDescent="0.2">
      <c r="A13" s="2389"/>
      <c r="B13" s="2390"/>
      <c r="C13" s="2390"/>
      <c r="D13" s="2390"/>
      <c r="E13" s="2390"/>
      <c r="F13" s="2391"/>
      <c r="G13" s="2384" t="s">
        <v>1520</v>
      </c>
      <c r="H13" s="2385"/>
      <c r="I13" s="2401" t="str">
        <f>COVER!T25</f>
        <v>aphillips@psa-cpa.com</v>
      </c>
      <c r="J13" s="2402"/>
      <c r="K13" s="2402"/>
      <c r="L13" s="2403"/>
    </row>
    <row r="14" spans="1:29" ht="13.5" customHeight="1" x14ac:dyDescent="0.2">
      <c r="A14" s="2389" t="str">
        <f>COVER!A19</f>
        <v>206 WEST MAIN STREET</v>
      </c>
      <c r="B14" s="2390"/>
      <c r="C14" s="2390"/>
      <c r="D14" s="2390"/>
      <c r="E14" s="2390"/>
      <c r="F14" s="2391"/>
      <c r="G14" s="1195" t="s">
        <v>1185</v>
      </c>
      <c r="H14" s="1193"/>
      <c r="I14" s="1193"/>
      <c r="J14" s="1193"/>
      <c r="K14" s="1193"/>
      <c r="L14" s="1194"/>
    </row>
    <row r="15" spans="1:29" ht="13.5" customHeight="1" x14ac:dyDescent="0.2">
      <c r="A15" s="2389" t="str">
        <f>COVER!A21</f>
        <v>SOUTH PEKIN</v>
      </c>
      <c r="B15" s="2390"/>
      <c r="C15" s="2390"/>
      <c r="D15" s="2390"/>
      <c r="E15" s="2390"/>
      <c r="F15" s="2391"/>
      <c r="G15" s="2386" t="str">
        <f>COVER!T15</f>
        <v>Aaron Phillips</v>
      </c>
      <c r="H15" s="2387"/>
      <c r="I15" s="2387"/>
      <c r="J15" s="2387"/>
      <c r="K15" s="2387"/>
      <c r="L15" s="2388"/>
    </row>
    <row r="16" spans="1:29" ht="12.2" customHeight="1" x14ac:dyDescent="0.2">
      <c r="A16" s="2411">
        <f>COVER!A25</f>
        <v>61554</v>
      </c>
      <c r="B16" s="2412"/>
      <c r="C16" s="2412"/>
      <c r="D16" s="2412"/>
      <c r="E16" s="2412"/>
      <c r="F16" s="2413"/>
      <c r="G16" s="2423"/>
      <c r="H16" s="2424"/>
      <c r="I16" s="2424"/>
      <c r="J16" s="2424"/>
      <c r="K16" s="2424"/>
      <c r="L16" s="2425"/>
    </row>
    <row r="17" spans="1:13" ht="12.2" customHeight="1" x14ac:dyDescent="0.2">
      <c r="A17" s="2426"/>
      <c r="B17" s="2412"/>
      <c r="C17" s="2412"/>
      <c r="D17" s="2412"/>
      <c r="E17" s="2412"/>
      <c r="F17" s="2413"/>
      <c r="G17" s="1195" t="s">
        <v>1184</v>
      </c>
      <c r="H17" s="1193"/>
      <c r="I17" s="1193"/>
      <c r="J17" s="1193"/>
      <c r="K17" s="1197" t="s">
        <v>1183</v>
      </c>
      <c r="L17" s="1190"/>
      <c r="M17" s="1183"/>
    </row>
    <row r="18" spans="1:13" ht="12.2" customHeight="1" x14ac:dyDescent="0.2">
      <c r="A18" s="2395"/>
      <c r="B18" s="2396"/>
      <c r="C18" s="2396"/>
      <c r="D18" s="2396"/>
      <c r="E18" s="2396"/>
      <c r="F18" s="2397"/>
      <c r="G18" s="2405" t="str">
        <f>COVER!T21</f>
        <v>(309) 444-4909</v>
      </c>
      <c r="H18" s="2406"/>
      <c r="I18" s="2406"/>
      <c r="J18" s="2406"/>
      <c r="K18" s="2405" t="str">
        <f>COVER!X21</f>
        <v>(309) 444-8580</v>
      </c>
      <c r="L18" s="241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4"/>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61" zoomScale="125" zoomScaleNormal="125" workbookViewId="0">
      <selection activeCell="D91" sqref="D9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South Pekin SD 137</v>
      </c>
      <c r="B1" s="2404"/>
      <c r="C1" s="2404"/>
      <c r="D1" s="2404"/>
    </row>
    <row r="2" spans="1:11" s="1212" customFormat="1" ht="12.75" x14ac:dyDescent="0.2">
      <c r="A2" s="2428">
        <f>'Single Audit Cover'!E7</f>
        <v>53090137002</v>
      </c>
      <c r="B2" s="2429"/>
      <c r="C2" s="2429"/>
      <c r="D2" s="2429"/>
    </row>
    <row r="3" spans="1:11" s="1212" customFormat="1" ht="12.75" x14ac:dyDescent="0.2">
      <c r="A3" s="2427" t="s">
        <v>1513</v>
      </c>
      <c r="B3" s="2404"/>
      <c r="C3" s="2404"/>
      <c r="D3" s="2404"/>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South Pekin SD 137</v>
      </c>
      <c r="B1" s="2431"/>
      <c r="C1" s="2431"/>
      <c r="D1" s="2431"/>
      <c r="E1" s="2431"/>
    </row>
    <row r="2" spans="1:5" x14ac:dyDescent="0.2">
      <c r="A2" s="2432">
        <f>'Single Audit Cover'!E7</f>
        <v>53090137002</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339118</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8275</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-4216</v>
      </c>
    </row>
    <row r="19" spans="1:4" ht="13.5" thickBot="1" x14ac:dyDescent="0.25">
      <c r="A19" s="1262" t="s">
        <v>1235</v>
      </c>
      <c r="D19" s="1263">
        <f>SUM(D10:D17)</f>
        <v>343177</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343177</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0</v>
      </c>
    </row>
    <row r="49" spans="2:4" x14ac:dyDescent="0.2">
      <c r="B49" s="1269" t="s">
        <v>1226</v>
      </c>
      <c r="C49" s="1269"/>
      <c r="D49" s="1270">
        <f>D32-D47</f>
        <v>343177</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4" t="str">
        <f>'Single Audit Cover'!A7</f>
        <v>South Pekin SD 137</v>
      </c>
      <c r="C1" s="2435"/>
      <c r="D1" s="2435"/>
      <c r="E1" s="2435"/>
      <c r="F1" s="2435"/>
      <c r="G1" s="2435"/>
      <c r="H1" s="2435"/>
      <c r="I1" s="2435"/>
      <c r="J1" s="2435"/>
      <c r="K1" s="2435"/>
      <c r="L1" s="2435"/>
      <c r="M1" s="2435"/>
    </row>
    <row r="2" spans="2:14" ht="15" x14ac:dyDescent="0.2">
      <c r="B2" s="2436">
        <f>'Single Audit Cover'!E7</f>
        <v>53090137002</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South Pekin SD 137</v>
      </c>
      <c r="B1" s="2448"/>
      <c r="C1" s="2448"/>
      <c r="D1" s="2448"/>
      <c r="E1" s="2448"/>
      <c r="F1" s="2448"/>
    </row>
    <row r="2" spans="1:7" ht="13.5" customHeight="1" x14ac:dyDescent="0.2">
      <c r="A2" s="2436">
        <f>'Single Audit Cover'!E7</f>
        <v>53090137002</v>
      </c>
      <c r="B2" s="2436"/>
      <c r="C2" s="2436"/>
      <c r="D2" s="2436"/>
      <c r="E2" s="2436"/>
      <c r="F2" s="2436"/>
      <c r="G2" s="1272"/>
    </row>
    <row r="3" spans="1:7" ht="15.75" customHeight="1" x14ac:dyDescent="0.2">
      <c r="A3" s="2449" t="s">
        <v>1271</v>
      </c>
      <c r="B3" s="2449"/>
      <c r="C3" s="2449"/>
      <c r="D3" s="2449"/>
      <c r="E3" s="2449"/>
      <c r="F3" s="2449"/>
    </row>
    <row r="4" spans="1:7" ht="13.5" customHeight="1" x14ac:dyDescent="0.2">
      <c r="A4" s="2450" t="str">
        <f>'Single Audit Cover'!A4</f>
        <v>Year Ending June 30, 2019</v>
      </c>
      <c r="B4" s="2450"/>
      <c r="C4" s="2450"/>
      <c r="D4" s="2450"/>
      <c r="E4" s="2450"/>
      <c r="F4" s="2450"/>
    </row>
    <row r="5" spans="1:7" ht="8.25" customHeight="1" x14ac:dyDescent="0.2">
      <c r="C5" s="317"/>
      <c r="D5" s="317"/>
    </row>
    <row r="6" spans="1:7" ht="13.5" customHeight="1" x14ac:dyDescent="0.2">
      <c r="A6" s="1273" t="s">
        <v>1728</v>
      </c>
      <c r="C6" s="317"/>
      <c r="D6" s="317"/>
    </row>
    <row r="7" spans="1:7" ht="60.95" customHeight="1" x14ac:dyDescent="0.2">
      <c r="A7" s="2447" t="s">
        <v>1729</v>
      </c>
      <c r="B7" s="2447"/>
      <c r="C7" s="2447"/>
      <c r="D7" s="2447"/>
      <c r="E7" s="2447"/>
      <c r="F7" s="2447"/>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1"/>
      <c r="D11" s="1277"/>
      <c r="E11" s="1901"/>
      <c r="F11" s="1277"/>
      <c r="G11" s="1275"/>
    </row>
    <row r="12" spans="1:7" x14ac:dyDescent="0.2">
      <c r="A12" s="1273" t="s">
        <v>1587</v>
      </c>
      <c r="C12" s="1257"/>
      <c r="D12" s="1257"/>
    </row>
    <row r="13" spans="1:7" ht="15" customHeight="1" x14ac:dyDescent="0.2">
      <c r="A13" s="2447" t="s">
        <v>1731</v>
      </c>
      <c r="B13" s="2447"/>
      <c r="C13" s="2447"/>
      <c r="D13" s="2447"/>
      <c r="E13" s="2447"/>
      <c r="F13" s="2447"/>
    </row>
    <row r="14" spans="1:7" ht="9.75" customHeight="1" x14ac:dyDescent="0.2">
      <c r="C14" s="1257"/>
      <c r="D14" s="1257"/>
    </row>
    <row r="15" spans="1:7" ht="13.5" customHeight="1" x14ac:dyDescent="0.2">
      <c r="C15" s="1846" t="s">
        <v>1270</v>
      </c>
      <c r="D15" s="2445" t="s">
        <v>1269</v>
      </c>
      <c r="E15" s="2445"/>
      <c r="F15" s="2445"/>
    </row>
    <row r="16" spans="1:7" ht="13.5" customHeight="1" x14ac:dyDescent="0.2">
      <c r="A16" s="1279"/>
      <c r="B16" s="1273" t="s">
        <v>1268</v>
      </c>
      <c r="C16" s="1846" t="s">
        <v>1267</v>
      </c>
      <c r="D16" s="2446" t="s">
        <v>1588</v>
      </c>
      <c r="E16" s="2446"/>
      <c r="F16" s="2446"/>
    </row>
    <row r="17" spans="1:6" ht="20.45" customHeight="1" x14ac:dyDescent="0.2">
      <c r="A17" s="1280"/>
      <c r="B17" s="1281"/>
      <c r="C17" s="1282"/>
      <c r="D17" s="2440"/>
      <c r="E17" s="2440"/>
      <c r="F17" s="2440"/>
    </row>
    <row r="18" spans="1:6" ht="20.65" customHeight="1" x14ac:dyDescent="0.2">
      <c r="A18" s="1280"/>
      <c r="B18" s="1281"/>
      <c r="C18" s="1282"/>
      <c r="D18" s="2440"/>
      <c r="E18" s="2440"/>
      <c r="F18" s="2440"/>
    </row>
    <row r="19" spans="1:6" ht="20.65" customHeight="1" x14ac:dyDescent="0.2">
      <c r="A19" s="1280"/>
      <c r="B19" s="1281"/>
      <c r="C19" s="1282"/>
      <c r="D19" s="2440"/>
      <c r="E19" s="2440"/>
      <c r="F19" s="2440"/>
    </row>
    <row r="20" spans="1:6" ht="20.65" customHeight="1" x14ac:dyDescent="0.2">
      <c r="A20" s="1280"/>
      <c r="B20" s="1281"/>
      <c r="C20" s="1282"/>
      <c r="D20" s="2440"/>
      <c r="E20" s="2440"/>
      <c r="F20" s="2440"/>
    </row>
    <row r="21" spans="1:6" ht="20.65" customHeight="1" x14ac:dyDescent="0.2">
      <c r="A21" s="1280"/>
      <c r="B21" s="1281"/>
      <c r="C21" s="1282"/>
      <c r="D21" s="2440"/>
      <c r="E21" s="2440"/>
      <c r="F21" s="2440"/>
    </row>
    <row r="22" spans="1:6" ht="20.65" customHeight="1" x14ac:dyDescent="0.2">
      <c r="A22" s="1280"/>
      <c r="B22" s="1281"/>
      <c r="C22" s="1282"/>
      <c r="D22" s="2440"/>
      <c r="E22" s="2440"/>
      <c r="F22" s="2440"/>
    </row>
    <row r="23" spans="1:6" ht="20.65" customHeight="1" x14ac:dyDescent="0.2">
      <c r="A23" s="1280"/>
      <c r="B23" s="1281"/>
      <c r="C23" s="1282"/>
      <c r="D23" s="2440"/>
      <c r="E23" s="2440"/>
      <c r="F23" s="2440"/>
    </row>
    <row r="24" spans="1:6" ht="20.65" customHeight="1" x14ac:dyDescent="0.2">
      <c r="A24" s="1280"/>
      <c r="B24" s="1281"/>
      <c r="C24" s="1282"/>
      <c r="D24" s="2440"/>
      <c r="E24" s="2440"/>
      <c r="F24" s="2440"/>
    </row>
    <row r="25" spans="1:6" ht="20.65" customHeight="1" x14ac:dyDescent="0.2">
      <c r="A25" s="1280"/>
      <c r="B25" s="1281"/>
      <c r="C25" s="1282"/>
      <c r="D25" s="2440"/>
      <c r="E25" s="2440"/>
      <c r="F25" s="2440"/>
    </row>
    <row r="26" spans="1:6" ht="20.65" customHeight="1" x14ac:dyDescent="0.2">
      <c r="A26" s="1280"/>
      <c r="B26" s="1281"/>
      <c r="C26" s="1282"/>
      <c r="D26" s="2440"/>
      <c r="E26" s="2440"/>
      <c r="F26" s="2440"/>
    </row>
    <row r="27" spans="1:6" ht="20.65" customHeight="1" x14ac:dyDescent="0.2">
      <c r="A27" s="1280"/>
      <c r="B27" s="1281"/>
      <c r="C27" s="1282"/>
      <c r="D27" s="2440"/>
      <c r="E27" s="2440"/>
      <c r="F27" s="2440"/>
    </row>
    <row r="28" spans="1:6" ht="20.65" customHeight="1" x14ac:dyDescent="0.2">
      <c r="A28" s="1280"/>
      <c r="B28" s="1281"/>
      <c r="C28" s="1282"/>
      <c r="D28" s="2440"/>
      <c r="E28" s="2440"/>
      <c r="F28" s="2440"/>
    </row>
    <row r="29" spans="1:6" ht="20.65" customHeight="1" x14ac:dyDescent="0.2">
      <c r="A29" s="1280"/>
      <c r="B29" s="1281"/>
      <c r="C29" s="1282"/>
      <c r="D29" s="2440"/>
      <c r="E29" s="2440"/>
      <c r="F29" s="2440"/>
    </row>
    <row r="30" spans="1:6" ht="12" customHeight="1" x14ac:dyDescent="0.2">
      <c r="A30" s="328"/>
      <c r="B30" s="328"/>
      <c r="C30" s="1462"/>
      <c r="D30" s="1902"/>
      <c r="E30" s="1283"/>
    </row>
    <row r="31" spans="1:6" ht="12" customHeight="1" x14ac:dyDescent="0.2">
      <c r="A31" s="1284" t="s">
        <v>1549</v>
      </c>
      <c r="B31" s="328"/>
      <c r="C31" s="1462"/>
      <c r="D31" s="1902"/>
      <c r="E31" s="1283"/>
    </row>
    <row r="32" spans="1:6" ht="30" customHeight="1" x14ac:dyDescent="0.2">
      <c r="A32" s="2441" t="s">
        <v>1732</v>
      </c>
      <c r="B32" s="2441"/>
      <c r="C32" s="2441"/>
      <c r="D32" s="2441"/>
      <c r="E32" s="2441"/>
      <c r="F32" s="2441"/>
    </row>
    <row r="33" spans="1:6" ht="13.5" customHeight="1" x14ac:dyDescent="0.2">
      <c r="A33" s="328" t="s">
        <v>1434</v>
      </c>
      <c r="B33" s="328"/>
      <c r="C33" s="1285">
        <v>0</v>
      </c>
      <c r="D33" s="1902"/>
      <c r="E33" s="1283"/>
    </row>
    <row r="34" spans="1:6" ht="13.5" customHeight="1" x14ac:dyDescent="0.2">
      <c r="A34" s="328" t="s">
        <v>1838</v>
      </c>
      <c r="B34" s="328"/>
      <c r="C34" s="1286">
        <v>0</v>
      </c>
      <c r="D34" s="1902" t="s">
        <v>1589</v>
      </c>
      <c r="E34" s="2442">
        <f>+C33+C34</f>
        <v>0</v>
      </c>
      <c r="F34" s="2443"/>
    </row>
    <row r="35" spans="1:6" ht="12" customHeight="1" x14ac:dyDescent="0.2">
      <c r="A35" s="328"/>
      <c r="B35" s="328"/>
      <c r="C35" s="1903"/>
      <c r="D35" s="1902"/>
      <c r="E35" s="1287"/>
      <c r="F35" s="1288"/>
    </row>
    <row r="36" spans="1:6" ht="13.5" customHeight="1" x14ac:dyDescent="0.2">
      <c r="A36" s="1284" t="s">
        <v>1550</v>
      </c>
      <c r="B36" s="328"/>
      <c r="C36" s="1462"/>
      <c r="D36" s="1902"/>
      <c r="E36" s="1283"/>
    </row>
    <row r="37" spans="1:6" ht="14.25" customHeight="1" x14ac:dyDescent="0.2">
      <c r="A37" s="328" t="s">
        <v>1484</v>
      </c>
      <c r="B37" s="328"/>
      <c r="C37" s="1904"/>
      <c r="D37" s="1902"/>
      <c r="E37" s="1283"/>
    </row>
    <row r="38" spans="1:6" ht="14.25" customHeight="1" x14ac:dyDescent="0.2">
      <c r="A38" s="328"/>
      <c r="B38" s="328" t="s">
        <v>1435</v>
      </c>
      <c r="C38" s="1289"/>
      <c r="D38" s="1902"/>
      <c r="E38" s="1283"/>
    </row>
    <row r="39" spans="1:6" ht="14.25" customHeight="1" x14ac:dyDescent="0.2">
      <c r="A39" s="328"/>
      <c r="B39" s="328" t="s">
        <v>1436</v>
      </c>
      <c r="C39" s="1289"/>
      <c r="D39" s="1902"/>
      <c r="E39" s="1283"/>
    </row>
    <row r="40" spans="1:6" ht="14.25" customHeight="1" x14ac:dyDescent="0.2">
      <c r="A40" s="328"/>
      <c r="B40" s="328" t="s">
        <v>1437</v>
      </c>
      <c r="C40" s="1289"/>
      <c r="D40" s="1902"/>
      <c r="E40" s="1283"/>
    </row>
    <row r="41" spans="1:6" ht="14.25" customHeight="1" x14ac:dyDescent="0.2">
      <c r="A41" s="328"/>
      <c r="B41" s="328" t="s">
        <v>1438</v>
      </c>
      <c r="C41" s="1289"/>
      <c r="D41" s="1902"/>
      <c r="E41" s="1283"/>
    </row>
    <row r="42" spans="1:6" ht="14.25" customHeight="1" x14ac:dyDescent="0.2">
      <c r="A42" s="328" t="s">
        <v>1439</v>
      </c>
      <c r="B42" s="328"/>
      <c r="C42" s="1900"/>
      <c r="D42" s="1902"/>
      <c r="E42" s="1283"/>
    </row>
    <row r="43" spans="1:6" ht="14.25" customHeight="1" x14ac:dyDescent="0.2">
      <c r="A43" s="328" t="s">
        <v>1440</v>
      </c>
      <c r="B43" s="328"/>
      <c r="C43" s="1290"/>
      <c r="D43" s="1902"/>
      <c r="E43" s="1283"/>
    </row>
    <row r="44" spans="1:6" ht="14.25" customHeight="1" x14ac:dyDescent="0.2">
      <c r="A44" s="328"/>
      <c r="B44" s="328"/>
      <c r="C44" s="1904" t="s">
        <v>1441</v>
      </c>
      <c r="D44" s="1902"/>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4" t="s">
        <v>1590</v>
      </c>
      <c r="C49" s="2444"/>
      <c r="D49" s="2444"/>
      <c r="E49" s="1396"/>
    </row>
    <row r="50" spans="1:5" s="1297" customFormat="1" ht="3.75" customHeight="1" x14ac:dyDescent="0.2">
      <c r="A50" s="1296"/>
      <c r="B50" s="1845"/>
      <c r="C50" s="1845"/>
      <c r="D50" s="1845"/>
      <c r="E50" s="1396"/>
    </row>
    <row r="51" spans="1:5" s="1297" customFormat="1" ht="20.25" customHeight="1" x14ac:dyDescent="0.2">
      <c r="A51" s="1298">
        <v>6</v>
      </c>
      <c r="B51" s="2439" t="s">
        <v>1551</v>
      </c>
      <c r="C51" s="2439"/>
      <c r="D51" s="2439"/>
    </row>
    <row r="52" spans="1:5" ht="14.25" customHeight="1" x14ac:dyDescent="0.2">
      <c r="A52" s="1298"/>
      <c r="B52" s="2439"/>
      <c r="C52" s="2439"/>
      <c r="D52" s="2439"/>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2" t="str">
        <f>'Single Audit Cover'!A7</f>
        <v>South Pekin SD 137</v>
      </c>
      <c r="C1" s="2463"/>
      <c r="D1" s="2463"/>
      <c r="E1" s="2463"/>
      <c r="F1" s="2463"/>
      <c r="G1" s="2463"/>
      <c r="H1" s="2463"/>
      <c r="I1" s="2463"/>
      <c r="J1" s="1406"/>
    </row>
    <row r="2" spans="2:10" s="317" customFormat="1" ht="12.75" customHeight="1" x14ac:dyDescent="0.2">
      <c r="B2" s="2464">
        <f>'Single Audit Cover'!E7</f>
        <v>53090137002</v>
      </c>
      <c r="C2" s="2465"/>
      <c r="D2" s="2465"/>
      <c r="E2" s="2465"/>
      <c r="F2" s="2465"/>
      <c r="G2" s="2465"/>
      <c r="H2" s="2465"/>
      <c r="I2" s="2465"/>
      <c r="J2" s="1406"/>
    </row>
    <row r="3" spans="2:10" s="317" customFormat="1" ht="12.75" customHeight="1" x14ac:dyDescent="0.2">
      <c r="B3" s="2466" t="s">
        <v>1285</v>
      </c>
      <c r="C3" s="2467"/>
      <c r="D3" s="2467"/>
      <c r="E3" s="2467"/>
      <c r="F3" s="2467"/>
      <c r="G3" s="2467"/>
      <c r="H3" s="2467"/>
      <c r="I3" s="2467"/>
      <c r="J3" s="1407"/>
    </row>
    <row r="4" spans="2:10" s="317" customFormat="1" ht="12.75" customHeight="1" x14ac:dyDescent="0.2">
      <c r="B4" s="2466" t="str">
        <f>'Single Audit Cover'!A4</f>
        <v>Year Ending June 30, 2019</v>
      </c>
      <c r="C4" s="2467"/>
      <c r="D4" s="2467"/>
      <c r="E4" s="2467"/>
      <c r="F4" s="2467"/>
      <c r="G4" s="2467"/>
      <c r="H4" s="2467"/>
      <c r="I4" s="246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6" t="s">
        <v>1284</v>
      </c>
      <c r="C7" s="2467"/>
      <c r="D7" s="2467"/>
      <c r="E7" s="2467"/>
      <c r="F7" s="2467"/>
      <c r="G7" s="2467"/>
      <c r="H7" s="2467"/>
      <c r="I7" s="246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8"/>
      <c r="D11" s="246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9"/>
      <c r="E29" s="2469"/>
      <c r="F29" s="2469"/>
      <c r="G29" s="2469"/>
      <c r="H29" s="2469"/>
      <c r="I29" s="2469"/>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0" t="s">
        <v>1751</v>
      </c>
      <c r="D37" s="2471"/>
      <c r="E37" s="2471"/>
      <c r="F37" s="2472"/>
      <c r="G37" s="2470" t="s">
        <v>1592</v>
      </c>
      <c r="H37" s="2471"/>
      <c r="I37" s="2472"/>
    </row>
    <row r="38" spans="2:9" ht="16.5" customHeight="1" x14ac:dyDescent="0.2">
      <c r="B38" s="1428"/>
      <c r="C38" s="2458"/>
      <c r="D38" s="2459"/>
      <c r="E38" s="2459"/>
      <c r="F38" s="2460"/>
      <c r="G38" s="2473"/>
      <c r="H38" s="2474"/>
      <c r="I38" s="2475"/>
    </row>
    <row r="39" spans="2:9" ht="16.5" customHeight="1" x14ac:dyDescent="0.2">
      <c r="B39" s="1428"/>
      <c r="C39" s="2458"/>
      <c r="D39" s="2459"/>
      <c r="E39" s="2459"/>
      <c r="F39" s="2460"/>
      <c r="G39" s="2461"/>
      <c r="H39" s="2461"/>
      <c r="I39" s="2461"/>
    </row>
    <row r="40" spans="2:9" ht="16.5" customHeight="1" x14ac:dyDescent="0.2">
      <c r="B40" s="1428"/>
      <c r="C40" s="2458"/>
      <c r="D40" s="2459"/>
      <c r="E40" s="2459"/>
      <c r="F40" s="2460"/>
      <c r="G40" s="2461"/>
      <c r="H40" s="2461"/>
      <c r="I40" s="2461"/>
    </row>
    <row r="41" spans="2:9" ht="16.5" customHeight="1" x14ac:dyDescent="0.2">
      <c r="B41" s="1428"/>
      <c r="C41" s="2458"/>
      <c r="D41" s="2459"/>
      <c r="E41" s="2459"/>
      <c r="F41" s="2460"/>
      <c r="G41" s="2461"/>
      <c r="H41" s="2461"/>
      <c r="I41" s="2461"/>
    </row>
    <row r="42" spans="2:9" ht="16.5" customHeight="1" x14ac:dyDescent="0.2">
      <c r="B42" s="1428"/>
      <c r="C42" s="2458"/>
      <c r="D42" s="2459"/>
      <c r="E42" s="2459"/>
      <c r="F42" s="2460"/>
      <c r="G42" s="2461"/>
      <c r="H42" s="2461"/>
      <c r="I42" s="2461"/>
    </row>
    <row r="43" spans="2:9" ht="16.5" customHeight="1" x14ac:dyDescent="0.2">
      <c r="B43" s="1428"/>
      <c r="C43" s="2451" t="s">
        <v>1593</v>
      </c>
      <c r="D43" s="2452"/>
      <c r="E43" s="2452"/>
      <c r="F43" s="2453"/>
      <c r="G43" s="2454">
        <f>SUM(G38:I42)</f>
        <v>0</v>
      </c>
      <c r="H43" s="2454"/>
      <c r="I43" s="2454"/>
    </row>
    <row r="44" spans="2:9" ht="12.75" customHeight="1" x14ac:dyDescent="0.2"/>
    <row r="45" spans="2:9" ht="12.75" customHeight="1" x14ac:dyDescent="0.2">
      <c r="B45" s="1419" t="s">
        <v>2062</v>
      </c>
      <c r="D45" s="2455">
        <v>0</v>
      </c>
      <c r="E45" s="2456"/>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7"/>
      <c r="F49" s="2457"/>
      <c r="G49" s="2457"/>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South Pekin SD 137</v>
      </c>
      <c r="C1" s="2462"/>
      <c r="D1" s="2462"/>
      <c r="E1" s="2462"/>
      <c r="F1" s="2462"/>
      <c r="G1" s="2462"/>
      <c r="H1" s="2462"/>
      <c r="I1" s="2462"/>
      <c r="J1" s="2462"/>
      <c r="K1" s="2462"/>
      <c r="L1" s="1371"/>
      <c r="M1" s="1371"/>
    </row>
    <row r="2" spans="1:13" ht="12" customHeight="1" x14ac:dyDescent="0.2">
      <c r="B2" s="2464">
        <f>'Single Audit Cover'!E7</f>
        <v>53090137002</v>
      </c>
      <c r="C2" s="2464"/>
      <c r="D2" s="2464"/>
      <c r="E2" s="2464"/>
      <c r="F2" s="2464"/>
      <c r="G2" s="2464"/>
      <c r="H2" s="2464"/>
      <c r="I2" s="2464"/>
      <c r="J2" s="2464"/>
      <c r="K2" s="2464"/>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1</v>
      </c>
      <c r="E10" s="322"/>
      <c r="F10" s="1384" t="s">
        <v>1295</v>
      </c>
      <c r="G10" s="1385"/>
      <c r="H10" s="1386" t="s">
        <v>1294</v>
      </c>
      <c r="I10" s="1385" t="s">
        <v>2084</v>
      </c>
      <c r="J10" s="1387" t="s">
        <v>1293</v>
      </c>
      <c r="K10" s="322"/>
      <c r="L10" s="1378"/>
    </row>
    <row r="11" spans="1:13" ht="13.5" customHeight="1" x14ac:dyDescent="0.2">
      <c r="B11" s="322"/>
      <c r="C11" s="322"/>
      <c r="D11" s="322"/>
      <c r="E11" s="322"/>
      <c r="F11" s="322"/>
      <c r="G11" s="1380"/>
      <c r="H11" s="322"/>
      <c r="I11" s="1388" t="s">
        <v>1292</v>
      </c>
      <c r="J11" s="322"/>
      <c r="K11" s="1389">
        <v>2012</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t="s">
        <v>2123</v>
      </c>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t="s">
        <v>2124</v>
      </c>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t="s">
        <v>2125</v>
      </c>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6" t="s">
        <v>2126</v>
      </c>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South Pekin SD 137</v>
      </c>
      <c r="C1" s="2485"/>
      <c r="D1" s="2485"/>
      <c r="E1" s="2485"/>
      <c r="F1" s="2485"/>
      <c r="G1" s="2485"/>
      <c r="H1" s="2485"/>
      <c r="I1" s="2485"/>
      <c r="J1" s="2485"/>
      <c r="K1" s="2485"/>
      <c r="L1" s="1449"/>
    </row>
    <row r="2" spans="1:12" ht="12.75" customHeight="1" x14ac:dyDescent="0.2">
      <c r="B2" s="2486">
        <f>'Single Audit Cover'!E7</f>
        <v>53090137002</v>
      </c>
      <c r="C2" s="2486"/>
      <c r="D2" s="2486"/>
      <c r="E2" s="2486"/>
      <c r="F2" s="2486"/>
      <c r="G2" s="2486"/>
      <c r="H2" s="2486"/>
      <c r="I2" s="2486"/>
      <c r="J2" s="2486"/>
      <c r="K2" s="2486"/>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7" t="s">
        <v>1308</v>
      </c>
      <c r="C6" s="2487"/>
      <c r="D6" s="2487"/>
      <c r="E6" s="2487"/>
      <c r="F6" s="2487"/>
      <c r="G6" s="2487"/>
      <c r="H6" s="2487"/>
      <c r="I6" s="2487"/>
      <c r="J6" s="2487"/>
      <c r="K6" s="2487"/>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9"/>
      <c r="G12" s="2469"/>
      <c r="H12" s="2469"/>
      <c r="I12" s="2469"/>
      <c r="J12" s="2469"/>
      <c r="K12" s="246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2"/>
      <c r="E14" s="2482"/>
      <c r="F14" s="2482"/>
      <c r="H14" s="1459" t="s">
        <v>1303</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3"/>
      <c r="E16" s="2483"/>
      <c r="F16" s="2483"/>
      <c r="G16" s="2483"/>
      <c r="H16" s="2483"/>
      <c r="I16" s="2483"/>
      <c r="J16" s="2483"/>
      <c r="K16" s="2483"/>
      <c r="L16" s="322"/>
    </row>
    <row r="17" spans="2:12" ht="13.5" customHeight="1" x14ac:dyDescent="0.2">
      <c r="B17" s="1384" t="s">
        <v>1301</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2" t="str">
        <f>'Single Audit Cover'!A7</f>
        <v>South Pekin SD 137</v>
      </c>
      <c r="C1" s="2462"/>
      <c r="D1" s="2462"/>
      <c r="E1" s="1469"/>
    </row>
    <row r="2" spans="2:5" s="1279" customFormat="1" ht="12.75" customHeight="1" x14ac:dyDescent="0.2">
      <c r="B2" s="2464">
        <f>'Single Audit Cover'!E7</f>
        <v>53090137002</v>
      </c>
      <c r="C2" s="2464"/>
      <c r="D2" s="2464"/>
      <c r="E2" s="1470"/>
    </row>
    <row r="3" spans="2:5" ht="12.75" customHeight="1" x14ac:dyDescent="0.2">
      <c r="B3" s="2478" t="s">
        <v>1766</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4d435f69-8686-490b-bd6d-b153bf22ab50"/>
    <ds:schemaRef ds:uri="http://schemas.microsoft.com/sharepoint/v3"/>
    <ds:schemaRef ds:uri="http://schemas.microsoft.com/office/infopath/2007/PartnerControls"/>
    <ds:schemaRef ds:uri="http://purl.org/dc/terms/"/>
    <ds:schemaRef ds:uri="http://schemas.openxmlformats.org/package/2006/metadata/core-properties"/>
    <ds:schemaRef ds:uri="http://purl.org/dc/elements/1.1/"/>
    <ds:schemaRef ds:uri="http://purl.org/dc/dcmitype/"/>
    <ds:schemaRef ds:uri="d21dc803-237d-4c68-8692-8d731fd29118"/>
    <ds:schemaRef ds:uri="6ce3111e-7420-4802-b50a-75d4e9a0b98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2019-10-14T19:40:04Z</cp:lastPrinted>
  <dcterms:created xsi:type="dcterms:W3CDTF">2003-10-29T19:06:34Z</dcterms:created>
  <dcterms:modified xsi:type="dcterms:W3CDTF">2019-11-18T19:22:40Z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Statements</vt:lpwstr>
  </property>
  <property fmtid="{D5CDD505-2E9C-101B-9397-08002B2CF9AE}" pid="5" name="tabIndex">
    <vt:lpwstr>FS</vt:lpwstr>
  </property>
  <property fmtid="{D5CDD505-2E9C-101B-9397-08002B2CF9AE}" pid="6" name="workpaperIndex">
    <vt:lpwstr/>
  </property>
</Properties>
</file>