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C1FAEA9-FC81-4ED1-9157-25B3DD12C514}" xr6:coauthVersionLast="36" xr6:coauthVersionMax="36" xr10:uidLastSave="{00000000-0000-0000-0000-000000000000}"/>
  <bookViews>
    <workbookView xWindow="-120" yWindow="-120" windowWidth="28920" windowHeight="1414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4" r:id="rId28"/>
    <sheet name=" SEFA.1" sheetId="183" r:id="rId29"/>
    <sheet name=" SEFA.2" sheetId="179"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SEFA.1'!$B$1:$M$46</definedName>
    <definedName name="_xlnm.Print_Area" localSheetId="29">' SEFA.2'!$B$1:$M$46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2" i="181" l="1"/>
  <c r="F42" i="181"/>
  <c r="G42" i="181" s="1"/>
  <c r="E41" i="181"/>
  <c r="F41" i="181"/>
  <c r="G41" i="181" s="1"/>
  <c r="E40" i="181"/>
  <c r="F40" i="181"/>
  <c r="G40" i="181" s="1"/>
  <c r="E39" i="181"/>
  <c r="F39" i="181"/>
  <c r="G39" i="181" s="1"/>
  <c r="E38" i="181"/>
  <c r="F38" i="181"/>
  <c r="G38" i="181" s="1"/>
  <c r="E37" i="181"/>
  <c r="F37" i="181"/>
  <c r="G37" i="181" s="1"/>
  <c r="E36" i="181"/>
  <c r="F36" i="181"/>
  <c r="G36" i="181" s="1"/>
  <c r="E10" i="108" l="1"/>
  <c r="C34" i="173" l="1"/>
  <c r="C33" i="173"/>
  <c r="K25" i="179" l="1"/>
  <c r="I25" i="179"/>
  <c r="G25" i="179"/>
  <c r="F25" i="179"/>
  <c r="E25" i="179"/>
  <c r="L25" i="179" l="1"/>
  <c r="E18" i="179"/>
  <c r="K18" i="179"/>
  <c r="I18" i="179"/>
  <c r="G18" i="179"/>
  <c r="F18" i="179"/>
  <c r="K14" i="179"/>
  <c r="K27" i="179" s="1"/>
  <c r="K26" i="184" s="1"/>
  <c r="I14" i="179"/>
  <c r="I27" i="179" s="1"/>
  <c r="I26" i="184" s="1"/>
  <c r="G14" i="179"/>
  <c r="F14" i="179"/>
  <c r="E14" i="179"/>
  <c r="K19" i="183"/>
  <c r="K23" i="183"/>
  <c r="I23" i="183"/>
  <c r="G23" i="183"/>
  <c r="F23" i="183"/>
  <c r="E23" i="183"/>
  <c r="I19" i="183"/>
  <c r="G19" i="183"/>
  <c r="F19" i="183"/>
  <c r="E19" i="183"/>
  <c r="K15" i="183"/>
  <c r="I15" i="183"/>
  <c r="G15" i="183"/>
  <c r="G25" i="183" s="1"/>
  <c r="G25" i="184" s="1"/>
  <c r="F15" i="183"/>
  <c r="E15" i="183"/>
  <c r="F23" i="184"/>
  <c r="E23" i="184"/>
  <c r="L21" i="184"/>
  <c r="L20" i="184"/>
  <c r="L22" i="184"/>
  <c r="K23" i="184"/>
  <c r="I23" i="184"/>
  <c r="G38" i="174" s="1"/>
  <c r="G23" i="184"/>
  <c r="L18" i="179" l="1"/>
  <c r="K25" i="183"/>
  <c r="K19" i="179" s="1"/>
  <c r="F25" i="183"/>
  <c r="F25" i="184" s="1"/>
  <c r="L14" i="179"/>
  <c r="E27" i="179"/>
  <c r="E26" i="184" s="1"/>
  <c r="K25" i="184"/>
  <c r="K27" i="184" s="1"/>
  <c r="E25" i="183"/>
  <c r="E25" i="184" s="1"/>
  <c r="G19" i="179"/>
  <c r="I25" i="183"/>
  <c r="I19" i="179" s="1"/>
  <c r="L19" i="183"/>
  <c r="F27" i="179"/>
  <c r="F26" i="184" s="1"/>
  <c r="F27" i="184" s="1"/>
  <c r="D35" i="171" s="1"/>
  <c r="G27" i="179"/>
  <c r="G26" i="184" s="1"/>
  <c r="G27" i="184" s="1"/>
  <c r="L23" i="184"/>
  <c r="E27" i="184" l="1"/>
  <c r="E19" i="179"/>
  <c r="F19" i="179"/>
  <c r="L19" i="179"/>
  <c r="L25" i="183"/>
  <c r="I25" i="184"/>
  <c r="I27" i="184" s="1"/>
  <c r="D45" i="174" s="1"/>
  <c r="L26" i="184"/>
  <c r="L24" i="184"/>
  <c r="L19" i="184"/>
  <c r="L18" i="184"/>
  <c r="L17" i="184"/>
  <c r="L16" i="184"/>
  <c r="L15" i="184"/>
  <c r="L14" i="184"/>
  <c r="L13" i="184"/>
  <c r="B4" i="184"/>
  <c r="L23" i="183"/>
  <c r="L22" i="183"/>
  <c r="L21" i="183"/>
  <c r="L20" i="183"/>
  <c r="L18" i="183"/>
  <c r="L17" i="183"/>
  <c r="L16" i="183"/>
  <c r="L15" i="183"/>
  <c r="L14" i="183"/>
  <c r="L13" i="183"/>
  <c r="L12" i="183"/>
  <c r="L11" i="183"/>
  <c r="B4" i="183"/>
  <c r="L25" i="184" l="1"/>
  <c r="L27" i="184"/>
  <c r="J31" i="8"/>
  <c r="C9" i="4"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33" i="181" l="1"/>
  <c r="G33" i="181" s="1"/>
  <c r="F29" i="181"/>
  <c r="G29" i="181" s="1"/>
  <c r="F27" i="181"/>
  <c r="G27" i="181" s="1"/>
  <c r="F25" i="181"/>
  <c r="G25" i="181" s="1"/>
  <c r="F19" i="181"/>
  <c r="G19" i="181" s="1"/>
  <c r="F18" i="181"/>
  <c r="G18" i="181" s="1"/>
  <c r="D44" i="181"/>
  <c r="D80" i="36" l="1"/>
  <c r="B7797" i="106"/>
  <c r="E44" i="181"/>
  <c r="E17" i="181"/>
  <c r="F17" i="181" s="1"/>
  <c r="E16" i="181"/>
  <c r="F16" i="181" l="1"/>
  <c r="G16" i="181" s="1"/>
  <c r="G17" i="181"/>
  <c r="G44" i="181" s="1"/>
  <c r="G40" i="108" l="1"/>
  <c r="B7799" i="106"/>
  <c r="F44" i="181"/>
  <c r="B7798" i="106" s="1"/>
  <c r="E40" i="108"/>
  <c r="B4" i="179" l="1"/>
  <c r="D17" i="171" l="1"/>
  <c r="L27" i="179" l="1"/>
  <c r="L24" i="179"/>
  <c r="L23" i="179"/>
  <c r="L17" i="179"/>
  <c r="L16" i="179"/>
  <c r="L13"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C252" i="5"/>
  <c r="B7761" i="106"/>
  <c r="D7761" i="106" s="1"/>
  <c r="L127" i="29"/>
  <c r="L129" i="29" s="1"/>
  <c r="L139" i="29"/>
  <c r="L149" i="29"/>
  <c r="I7" i="145"/>
  <c r="I6" i="145"/>
  <c r="D78" i="36"/>
  <c r="K75" i="29"/>
  <c r="K130" i="29"/>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5" i="106"/>
  <c r="D7075"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6" i="108"/>
  <c r="G26" i="108"/>
  <c r="E27" i="108"/>
  <c r="F27" i="108"/>
  <c r="G27" i="108"/>
  <c r="F36" i="108"/>
  <c r="G28" i="108"/>
  <c r="E29" i="108"/>
  <c r="E31" i="108"/>
  <c r="G31" i="108"/>
  <c r="E33" i="108"/>
  <c r="G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F67" i="34"/>
  <c r="C68" i="34"/>
  <c r="D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F14" i="4"/>
  <c r="B2597" i="106" s="1"/>
  <c r="D2597" i="106" s="1"/>
  <c r="B2633" i="106"/>
  <c r="D2633" i="106" s="1"/>
  <c r="D7" i="118"/>
  <c r="D8" i="118"/>
  <c r="D9" i="118"/>
  <c r="H14" i="118"/>
  <c r="H19" i="118"/>
  <c r="H24" i="118"/>
  <c r="H29" i="118"/>
  <c r="J22" i="37"/>
  <c r="D24" i="37"/>
  <c r="B4270" i="106" s="1"/>
  <c r="D4270" i="106" s="1"/>
  <c r="D22" i="37" l="1"/>
  <c r="F42" i="34"/>
  <c r="D17" i="7"/>
  <c r="B4104" i="106" s="1"/>
  <c r="D4104" i="106" s="1"/>
  <c r="F19" i="7"/>
  <c r="B1807" i="106" s="1"/>
  <c r="D1807" i="106" s="1"/>
  <c r="F50" i="34"/>
  <c r="H33" i="118"/>
  <c r="J210" i="29"/>
  <c r="B7072" i="106" s="1"/>
  <c r="D7072" i="106" s="1"/>
  <c r="J77" i="4"/>
  <c r="B6262" i="106" s="1"/>
  <c r="D6262" i="106" s="1"/>
  <c r="F77" i="4"/>
  <c r="B3255" i="106" s="1"/>
  <c r="D3255" i="106" s="1"/>
  <c r="N22" i="3"/>
  <c r="B283" i="106" s="1"/>
  <c r="D283" i="106" s="1"/>
  <c r="D6103" i="106"/>
  <c r="H28" i="118"/>
  <c r="F49" i="34"/>
  <c r="G34" i="108"/>
  <c r="B2027" i="106"/>
  <c r="D2027" i="106" s="1"/>
  <c r="M17" i="3"/>
  <c r="B274" i="106" s="1"/>
  <c r="D274" i="106" s="1"/>
  <c r="L22" i="37"/>
  <c r="F64" i="34"/>
  <c r="H365" i="29"/>
  <c r="B7242" i="106" s="1"/>
  <c r="D7242" i="106" s="1"/>
  <c r="B2724" i="106"/>
  <c r="D2724" i="106" s="1"/>
  <c r="B2029" i="106"/>
  <c r="D2029" i="106" s="1"/>
  <c r="M19" i="3"/>
  <c r="B276" i="106" s="1"/>
  <c r="D276" i="106" s="1"/>
  <c r="B2026" i="106"/>
  <c r="D2026" i="106" s="1"/>
  <c r="M16" i="3"/>
  <c r="F38" i="34"/>
  <c r="G29" i="108"/>
  <c r="E28" i="108"/>
  <c r="B6289" i="106"/>
  <c r="D6289" i="106" s="1"/>
  <c r="B3454" i="106"/>
  <c r="D3454" i="106" s="1"/>
  <c r="M20" i="3"/>
  <c r="B2864" i="106" s="1"/>
  <c r="D2864" i="106" s="1"/>
  <c r="B2028" i="106"/>
  <c r="D2028" i="106" s="1"/>
  <c r="M18" i="3"/>
  <c r="B275" i="106" s="1"/>
  <c r="D275" i="106" s="1"/>
  <c r="G15" i="145"/>
  <c r="D31" i="108"/>
  <c r="D9" i="7"/>
  <c r="B1767" i="106" s="1"/>
  <c r="D1767" i="106" s="1"/>
  <c r="K76" i="4"/>
  <c r="B3586" i="106" s="1"/>
  <c r="D3586" i="106" s="1"/>
  <c r="L13" i="11"/>
  <c r="B2060" i="106" s="1"/>
  <c r="D2060" i="106" s="1"/>
  <c r="G39" i="108"/>
  <c r="D11" i="37"/>
  <c r="D69" i="36"/>
  <c r="B3647" i="106"/>
  <c r="D3647" i="106" s="1"/>
  <c r="F72" i="34"/>
  <c r="G14" i="4"/>
  <c r="B2609" i="106" s="1"/>
  <c r="D2609" i="106" s="1"/>
  <c r="F68" i="34"/>
  <c r="F28" i="108"/>
  <c r="C129" i="29"/>
  <c r="C151" i="29" s="1"/>
  <c r="B1226" i="106" s="1"/>
  <c r="D1226" i="106" s="1"/>
  <c r="C14" i="4"/>
  <c r="B2558" i="106" s="1"/>
  <c r="D2558" i="106" s="1"/>
  <c r="F52" i="34"/>
  <c r="G38" i="108"/>
  <c r="E38" i="108"/>
  <c r="D37" i="108"/>
  <c r="F37" i="108"/>
  <c r="D36" i="108"/>
  <c r="G30" i="108"/>
  <c r="E30" i="108"/>
  <c r="F26" i="108"/>
  <c r="B1126" i="106"/>
  <c r="D1126" i="106" s="1"/>
  <c r="D26" i="108"/>
  <c r="F34" i="34"/>
  <c r="L5" i="11"/>
  <c r="B2056" i="106" s="1"/>
  <c r="D2056" i="106" s="1"/>
  <c r="C342" i="29"/>
  <c r="B7216" i="106" s="1"/>
  <c r="D7216" i="106" s="1"/>
  <c r="K184" i="29"/>
  <c r="F13" i="4" s="1"/>
  <c r="B2596" i="106" s="1"/>
  <c r="D2596" i="106" s="1"/>
  <c r="G210" i="29"/>
  <c r="L15" i="11"/>
  <c r="B3459" i="106" s="1"/>
  <c r="D3459" i="106" s="1"/>
  <c r="L367" i="29"/>
  <c r="D7245" i="106"/>
  <c r="C352" i="29"/>
  <c r="B3621" i="106" s="1"/>
  <c r="D3621" i="106" s="1"/>
  <c r="B1308" i="106"/>
  <c r="D1308" i="106" s="1"/>
  <c r="E174" i="29"/>
  <c r="B1309" i="106" s="1"/>
  <c r="D1309" i="106" s="1"/>
  <c r="K28" i="118"/>
  <c r="O27" i="118" s="1"/>
  <c r="O29" i="118" s="1"/>
  <c r="L342" i="29"/>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1328" i="106" l="1"/>
  <c r="D1328" i="106" s="1"/>
  <c r="J16" i="4"/>
  <c r="B6226" i="106" s="1"/>
  <c r="D6226" i="106" s="1"/>
  <c r="H151" i="29"/>
  <c r="B1273" i="106" s="1"/>
  <c r="D1273" i="106" s="1"/>
  <c r="B2031" i="106"/>
  <c r="D2031" i="106" s="1"/>
  <c r="M40" i="3"/>
  <c r="B273" i="106"/>
  <c r="D273" i="106" s="1"/>
  <c r="M23" i="3"/>
  <c r="B279" i="106" s="1"/>
  <c r="D279" i="106" s="1"/>
  <c r="K77" i="4"/>
  <c r="B3587" i="106" s="1"/>
  <c r="D3587" i="106" s="1"/>
  <c r="L114" i="29"/>
  <c r="L16" i="11"/>
  <c r="B2061" i="106" s="1"/>
  <c r="D2061" i="106" s="1"/>
  <c r="B1381" i="106"/>
  <c r="D1381" i="106" s="1"/>
  <c r="D7256" i="106"/>
  <c r="D7251" i="106"/>
  <c r="F41" i="108"/>
  <c r="G43" i="108" s="1"/>
  <c r="D41" i="108"/>
  <c r="E43" i="108" s="1"/>
  <c r="B5770" i="106"/>
  <c r="D5770" i="106" s="1"/>
  <c r="B5527" i="106"/>
  <c r="D5527" i="106" s="1"/>
  <c r="C114" i="29"/>
  <c r="B757" i="106" s="1"/>
  <c r="D757" i="106" s="1"/>
  <c r="B5778" i="106"/>
  <c r="D5778" i="106" s="1"/>
  <c r="G6" i="4"/>
  <c r="B2604" i="106" s="1"/>
  <c r="D2604" i="106" s="1"/>
  <c r="B1996" i="106"/>
  <c r="D1996" i="106" s="1"/>
  <c r="I26" i="12"/>
  <c r="B7741" i="106" s="1"/>
  <c r="D7741" i="106" s="1"/>
  <c r="D7253" i="106"/>
  <c r="F174" i="34"/>
  <c r="K342" i="29"/>
  <c r="F13" i="34" s="1"/>
  <c r="D7254" i="106"/>
  <c r="D7250" i="106"/>
  <c r="B1317" i="106"/>
  <c r="D1317" i="106" s="1"/>
  <c r="D7255" i="106"/>
  <c r="D7252" i="106"/>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M41" i="3"/>
  <c r="B280" i="106"/>
  <c r="D280" i="106" s="1"/>
  <c r="B1145" i="106"/>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K17" i="4"/>
  <c r="J10" i="4"/>
  <c r="B6225" i="106" s="1"/>
  <c r="D6225" i="106" s="1"/>
  <c r="B6223" i="106"/>
  <c r="D6223" i="106" s="1"/>
  <c r="B281" i="106"/>
  <c r="D281" i="106" s="1"/>
  <c r="D54" i="36"/>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175" i="34" l="1"/>
  <c r="F79" i="34"/>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123" i="106"/>
  <c r="D123" i="106" s="1"/>
  <c r="D41" i="3"/>
  <c r="B212" i="106"/>
  <c r="D212" i="106" s="1"/>
  <c r="H41" i="3"/>
  <c r="D51" i="36"/>
  <c r="B6216" i="106"/>
  <c r="D6216" i="106" s="1"/>
  <c r="B2912" i="106"/>
  <c r="D2912" i="106" s="1"/>
  <c r="I41" i="3"/>
  <c r="B3567" i="106"/>
  <c r="D3567" i="106" s="1"/>
  <c r="K41" i="3"/>
  <c r="B3278" i="106"/>
  <c r="D3278" i="106" s="1"/>
  <c r="E81" i="4"/>
  <c r="E39" i="3" s="1"/>
  <c r="N21" i="3" s="1"/>
  <c r="B3233" i="106"/>
  <c r="D3233" i="106" s="1"/>
  <c r="C81" i="4"/>
  <c r="C39" i="3" s="1"/>
  <c r="A7263" i="106"/>
  <c r="D7262" i="106"/>
  <c r="B1700" i="106"/>
  <c r="D1700" i="106" s="1"/>
  <c r="H82" i="4"/>
  <c r="D62" i="36"/>
  <c r="J20" i="118"/>
  <c r="O16" i="118"/>
  <c r="K20" i="118"/>
  <c r="F81" i="4"/>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140" i="106"/>
  <c r="D140" i="106" s="1"/>
  <c r="E41" i="3"/>
  <c r="J16" i="37"/>
  <c r="B4269" i="106" s="1"/>
  <c r="D4269" i="106" s="1"/>
  <c r="F39" i="3"/>
  <c r="D60" i="36" s="1"/>
  <c r="B2913" i="106"/>
  <c r="D2913" i="106" s="1"/>
  <c r="D50" i="36"/>
  <c r="B92" i="106"/>
  <c r="D92" i="106" s="1"/>
  <c r="C41" i="3"/>
  <c r="B3568" i="106"/>
  <c r="D3568" i="106" s="1"/>
  <c r="D52" i="36"/>
  <c r="B124" i="106"/>
  <c r="D124" i="106" s="1"/>
  <c r="D45" i="36"/>
  <c r="D49" i="36"/>
  <c r="B213" i="106"/>
  <c r="D213" i="106" s="1"/>
  <c r="B189" i="106"/>
  <c r="D189" i="106" s="1"/>
  <c r="G41" i="3"/>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D83" i="4"/>
  <c r="B6277" i="106" s="1"/>
  <c r="D6277" i="106" s="1"/>
  <c r="B284" i="106" l="1"/>
  <c r="D284" i="106" s="1"/>
  <c r="D55" i="36"/>
  <c r="B170" i="106"/>
  <c r="D170" i="106" s="1"/>
  <c r="F41" i="3"/>
  <c r="D76" i="36"/>
  <c r="D46" i="36"/>
  <c r="B141" i="106"/>
  <c r="D141" i="106" s="1"/>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71" i="106" l="1"/>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<sst xmlns="http://schemas.openxmlformats.org/spreadsheetml/2006/main" count="5373" uniqueCount="2213">
  <si>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</si>
  <si>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</si>
  <si>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</si>
  <si>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</si>
  <si>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</si>
  <si>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</si>
  <si>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</si>
  <si>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</si>
  <si>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</si>
  <si>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</si>
  <si>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</si>
  <si>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</si>
  <si>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</si>
  <si>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</si>
  <si>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</si>
  <si>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</si>
  <si>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</si>
  <si>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</si>
  <si>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</si>
  <si>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</si>
  <si>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</si>
  <si>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</si>
  <si>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</si>
  <si>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</si>
  <si>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</si>
  <si>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</si>
  <si>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</si>
  <si>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</si>
  <si>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</si>
  <si>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</si>
  <si>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</si>
  <si>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</si>
  <si>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</si>
  <si>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</si>
  <si>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</si>
  <si>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</si>
  <si>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</si>
  <si>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</si>
  <si>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</si>
  <si>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</si>
  <si>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</si>
  <si>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</si>
  <si>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</si>
  <si>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</si>
  <si>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</si>
  <si>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</si>
  <si>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</si>
  <si>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</si>
  <si>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</si>
  <si>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</si>
  <si>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</si>
  <si>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</si>
  <si>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</si>
  <si>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</si>
  <si>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</si>
  <si>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</si>
  <si>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</si>
  <si>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</si>
  <si>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</si>
  <si>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</si>
  <si>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</si>
  <si>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</si>
  <si>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</si>
  <si>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</si>
  <si>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</si>
  <si>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</si>
  <si>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</si>
  <si>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</si>
  <si>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</si>
  <si>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</si>
  <si>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</si>
  <si>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</si>
  <si>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</si>
  <si>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</si>
  <si>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</si>
  <si>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</si>
  <si>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</si>
  <si>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</si>
  <si>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</si>
  <si>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</si>
  <si>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</si>
  <si>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</si>
  <si>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</si>
  <si>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</si>
  <si>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</si>
  <si>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</si>
  <si>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</si>
  <si>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</si>
  <si>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</si>
  <si>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</si>
  <si>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</si>
  <si>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</si>
  <si>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</si>
  <si>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</si>
  <si>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</si>
  <si>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</si>
  <si>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</si>
  <si>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</si>
  <si>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</si>
  <si>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</si>
  <si>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</si>
  <si>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</si>
  <si>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</si>
  <si>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</si>
  <si>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</si>
  <si>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</si>
  <si>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</si>
  <si>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</si>
  <si>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</si>
  <si>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</si>
  <si>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</si>
  <si>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</si>
  <si>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</si>
  <si>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</si>
  <si>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</si>
  <si>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</si>
  <si>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</si>
  <si>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</si>
  <si>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</si>
  <si>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</si>
  <si>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</si>
  <si>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</si>
  <si>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</si>
  <si>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</si>
  <si>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</si>
  <si>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</si>
  <si>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</si>
  <si>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</si>
  <si>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</si>
  <si>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</si>
  <si>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</si>
  <si>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</si>
  <si>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</si>
  <si>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</si>
  <si>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</si>
  <si>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</si>
  <si>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</si>
  <si>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</si>
  <si>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</si>
  <si>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</si>
  <si>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</si>
  <si>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</si>
  <si>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</si>
  <si>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</si>
  <si>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</si>
  <si>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</si>
  <si>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</si>
  <si>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</si>
  <si>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</si>
  <si>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</si>
  <si>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</si>
  <si>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</si>
  <si>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</si>
  <si>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</si>
  <si>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</si>
  <si>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</si>
  <si>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</si>
  <si>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</si>
  <si>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</si>
  <si>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</si>
  <si>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</si>
  <si>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</si>
  <si>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</si>
  <si>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</si>
  <si>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</si>
  <si>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</si>
  <si>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</si>
  <si>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</si>
  <si>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</si>
  <si>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</si>
  <si>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</si>
  <si>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</si>
  <si>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</si>
  <si>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</si>
  <si>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</si>
  <si>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</si>
  <si>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</si>
  <si>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</si>
  <si>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</si>
  <si>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</si>
  <si>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</si>
  <si>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</si>
  <si>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</si>
  <si>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</si>
  <si>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</si>
  <si>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</si>
  <si>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</si>
  <si>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</si>
  <si>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</si>
  <si>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</si>
  <si>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</si>
  <si>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</si>
  <si>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</si>
  <si>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</si>
  <si>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</si>
  <si>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</si>
  <si>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</si>
  <si>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</si>
  <si>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</si>
  <si>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</si>
  <si>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</si>
  <si>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</si>
  <si>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</si>
  <si>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</si>
  <si>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</si>
  <si>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</si>
  <si>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</si>
  <si>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</si>
  <si>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</si>
  <si>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</si>
  <si>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</si>
  <si>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</si>
  <si>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</si>
  <si>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</si>
  <si>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</si>
  <si>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</si>
  <si>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</si>
  <si>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</si>
  <si>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</si>
  <si>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</si>
  <si>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</si>
  <si>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</si>
  <si>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</si>
  <si>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</si>
  <si>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</si>
  <si>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</si>
  <si>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</si>
  <si>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</si>
  <si>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</si>
  <si>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</si>
  <si>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</si>
  <si>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</si>
  <si>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</si>
  <si>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</si>
  <si>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</si>
  <si>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</si>
  <si>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</si>
  <si>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</si>
  <si>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</si>
  <si>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</si>
  <si>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</si>
  <si>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</si>
  <si>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</si>
  <si>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</si>
  <si>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</si>
  <si>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</si>
  <si>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</si>
  <si>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</si>
  <si>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</si>
  <si>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</si>
  <si>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</si>
  <si>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</si>
  <si>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</si>
  <si>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</si>
  <si>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</si>
  <si>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</si>
  <si>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</si>
  <si>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</si>
  <si>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</si>
  <si>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</si>
  <si>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</si>
  <si>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</si>
  <si>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</si>
  <si>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</si>
  <si>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</si>
  <si>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</si>
  <si>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</si>
  <si>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</si>
  <si>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</si>
  <si>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</si>
  <si>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</si>
  <si>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</si>
  <si>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</si>
  <si>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</si>
  <si>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</si>
  <si>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</si>
  <si>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</si>
  <si>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</si>
  <si>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</si>
  <si>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</si>
  <si>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</si>
  <si>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</si>
  <si>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</si>
  <si>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</si>
  <si>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</si>
  <si>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</si>
  <si>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</si>
  <si>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</si>
  <si>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</si>
  <si>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</si>
  <si>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</si>
  <si>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</si>
  <si>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</si>
  <si>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</si>
  <si>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</si>
  <si>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</si>
  <si>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</si>
  <si>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</si>
  <si>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</si>
  <si>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</si>
  <si>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</si>
  <si>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</si>
  <si>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</si>
  <si>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</si>
  <si>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</si>
  <si>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</si>
  <si>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</si>
  <si>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</si>
  <si>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</si>
  <si>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</si>
  <si>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</si>
  <si>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</si>
  <si>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</si>
  <si>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</si>
  <si>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</si>
  <si>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</si>
  <si>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</si>
  <si>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</si>
  <si>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</si>
  <si>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</si>
  <si>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</si>
  <si>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</si>
  <si>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</si>
  <si>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</si>
  <si>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</si>
  <si>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</si>
  <si>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</si>
  <si>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</si>
  <si>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</si>
  <si>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</si>
  <si>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</si>
  <si>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</si>
  <si>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</si>
  <si>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</si>
  <si>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</si>
  <si>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</si>
  <si>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</si>
  <si>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</si>
  <si>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</si>
  <si>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</si>
  <si>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</si>
  <si>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</si>
  <si>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</si>
  <si>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</si>
  <si>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</si>
  <si>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</si>
  <si>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</si>
  <si>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</si>
  <si>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</si>
  <si>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</si>
  <si>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</si>
  <si>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</si>
  <si>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</si>
  <si>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</si>
  <si>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</si>
  <si>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</si>
  <si>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</si>
  <si>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</si>
  <si>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</si>
  <si>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</si>
  <si>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</si>
  <si>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</si>
  <si>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</si>
  <si>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</si>
  <si>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</si>
  <si>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</si>
  <si>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</si>
  <si>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</si>
  <si>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</si>
  <si>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</si>
  <si>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</si>
  <si>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</si>
  <si>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</si>
  <si>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</si>
  <si>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</si>
  <si>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</si>
  <si>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</si>
  <si>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</si>
  <si>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</si>
  <si>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</si>
  <si>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</si>
  <si>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</si>
  <si>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</si>
  <si>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</si>
  <si>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</si>
  <si>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</si>
  <si>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</si>
  <si>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</si>
  <si>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</si>
  <si>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</si>
  <si>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</si>
  <si>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</si>
  <si>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</si>
  <si>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</si>
  <si>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</si>
  <si>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</si>
  <si>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</si>
  <si>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</si>
  <si>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</si>
  <si>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</si>
  <si>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</si>
  <si>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</si>
  <si>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</si>
  <si>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</si>
  <si>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</si>
  <si>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</si>
  <si>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</si>
  <si>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</si>
  <si>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</si>
  <si>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</si>
  <si>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</si>
  <si>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</si>
  <si>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</si>
  <si>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</si>
  <si>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</si>
  <si>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</si>
  <si>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</si>
  <si>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</si>
  <si>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</si>
  <si>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</si>
  <si>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</si>
  <si>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</si>
  <si>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</si>
  <si>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</si>
  <si>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</si>
  <si>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</si>
  <si>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</si>
  <si>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</si>
  <si>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</si>
  <si>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</si>
  <si>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</si>
  <si>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</si>
  <si>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</si>
  <si>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</si>
  <si>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</si>
  <si>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</si>
  <si>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</si>
  <si>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</si>
  <si>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</si>
  <si>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</si>
  <si>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</si>
  <si>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</si>
  <si>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</si>
  <si>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</si>
  <si>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</si>
  <si>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</si>
  <si>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</si>
  <si>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</si>
  <si>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</si>
  <si>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</si>
  <si>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</si>
  <si>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</si>
  <si>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</si>
  <si>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</si>
  <si>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</si>
  <si>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</si>
  <si>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</si>
  <si>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</si>
  <si>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</si>
  <si>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</si>
  <si>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</si>
  <si>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</si>
  <si>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</si>
  <si>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</si>
  <si>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</si>
  <si>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</si>
  <si>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</si>
  <si>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</si>
  <si>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</si>
  <si>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</si>
  <si>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</si>
  <si>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</si>
  <si>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</si>
  <si>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</si>
  <si>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</si>
  <si>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</si>
  <si>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</si>
  <si>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</si>
  <si>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</si>
  <si>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</si>
  <si>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</si>
  <si>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</si>
  <si>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</si>
  <si>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</si>
  <si>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</si>
  <si>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</si>
  <si>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</si>
  <si>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</si>
  <si>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</si>
  <si>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</si>
  <si>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</si>
  <si>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</si>
  <si>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</si>
  <si>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</si>
  <si>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</si>
  <si>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</si>
  <si>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</si>
  <si>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</si>
  <si>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</si>
  <si>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</si>
  <si>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</si>
  <si>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</si>
  <si>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</si>
  <si>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</si>
  <si>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</si>
  <si>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</si>
  <si>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</si>
  <si>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</si>
  <si>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</si>
  <si>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</si>
  <si>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</si>
  <si>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</si>
  <si>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</si>
  <si>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</si>
  <si>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</si>
  <si>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</si>
  <si>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</si>
  <si>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</si>
  <si>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</si>
  <si>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</si>
  <si>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</si>
  <si>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</si>
  <si>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</si>
  <si>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</si>
  <si>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</si>
  <si>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</si>
  <si>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</si>
  <si>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</si>
  <si>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</si>
  <si>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</si>
  <si>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</si>
  <si>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</si>
  <si>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</si>
  <si>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</si>
  <si>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</si>
  <si>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</si>
  <si>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</si>
  <si>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</si>
  <si>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</si>
  <si>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</si>
  <si>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</si>
  <si>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</si>
  <si>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</si>
  <si>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</si>
  <si>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</si>
  <si>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</si>
  <si>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</si>
  <si>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</si>
  <si>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</si>
  <si>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</si>
  <si>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</si>
  <si>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</si>
  <si>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</si>
  <si>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</si>
  <si>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</si>
  <si>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</si>
  <si>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</si>
  <si>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</si>
  <si>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</si>
  <si>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</si>
  <si>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</si>
  <si>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</si>
  <si>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</si>
  <si>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</si>
  <si>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</si>
  <si>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</si>
  <si>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</si>
  <si>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</si>
  <si>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</si>
  <si>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</si>
  <si>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</si>
  <si>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</si>
  <si>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</si>
  <si>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</si>
  <si>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</si>
  <si>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</si>
  <si>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</si>
  <si>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</si>
  <si>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</si>
  <si>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</si>
  <si>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</si>
  <si>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</si>
  <si>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</si>
  <si>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</si>
  <si>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</si>
  <si>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</si>
  <si>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</si>
  <si>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</si>
  <si>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</si>
  <si>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</si>
  <si>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</si>
  <si>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</si>
  <si>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</si>
  <si>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</si>
  <si>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</si>
  <si>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</si>
  <si>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</si>
  <si>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</si>
  <si>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</si>
  <si>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</si>
  <si>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</si>
  <si>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</si>
  <si>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</si>
  <si>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</si>
  <si>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</si>
  <si>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</si>
  <si>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</si>
  <si>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</si>
  <si>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</si>
  <si>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</si>
  <si>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</si>
  <si>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</si>
  <si>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</si>
  <si>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</si>
  <si>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</si>
  <si>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</si>
  <si>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</si>
  <si>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</si>
  <si>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</si>
  <si>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</si>
  <si>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</si>
  <si>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</si>
  <si>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</si>
  <si>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</si>
  <si>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</si>
  <si>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</si>
  <si>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</si>
  <si>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</si>
  <si>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</si>
  <si>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</si>
  <si>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</si>
  <si>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</si>
  <si>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</si>
  <si>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</si>
  <si>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</si>
  <si>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</si>
  <si>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</si>
  <si>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</si>
  <si>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</si>
  <si>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</si>
  <si>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</si>
  <si>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</si>
  <si>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</si>
  <si>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</si>
  <si>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</si>
  <si>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</si>
  <si>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</si>
  <si>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</si>
  <si>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</si>
  <si>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</si>
  <si>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</si>
  <si>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</si>
  <si>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</si>
  <si>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</si>
  <si>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</si>
  <si>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</si>
  <si>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</si>
  <si>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</si>
  <si>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</si>
  <si>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</si>
  <si>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</si>
  <si>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</si>
  <si>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</si>
  <si>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</si>
  <si>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</si>
  <si>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</si>
  <si>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</si>
  <si>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</si>
  <si>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</si>
  <si>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</si>
  <si>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</si>
  <si>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</si>
  <si>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</si>
  <si>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</si>
  <si>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</si>
  <si>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</si>
  <si>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</si>
  <si>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</si>
  <si>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</si>
  <si>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</si>
  <si>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</si>
  <si>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</si>
  <si>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</si>
  <si>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</si>
  <si>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</si>
  <si>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</si>
  <si>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</si>
  <si>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</si>
  <si>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</si>
  <si>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</si>
  <si>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</si>
  <si>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</si>
  <si>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</si>
  <si>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</si>
  <si>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</si>
  <si>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</si>
  <si>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</si>
  <si>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</si>
  <si>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</si>
  <si>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</si>
  <si>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</si>
  <si>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</si>
  <si>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</si>
  <si>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</si>
  <si>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</si>
  <si>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</si>
  <si>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</si>
  <si>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</si>
  <si>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</si>
  <si>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</si>
  <si>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</si>
  <si>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</si>
  <si>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</si>
  <si>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</si>
  <si>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</si>
  <si>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</si>
  <si>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</si>
  <si>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</si>
  <si>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</si>
  <si>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</si>
  <si>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</si>
  <si>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</si>
  <si>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</si>
  <si>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</si>
  <si>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</si>
  <si>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</si>
  <si>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</si>
  <si>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</si>
  <si>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</si>
  <si>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</si>
  <si>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</si>
  <si>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</si>
  <si>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</si>
  <si>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</si>
  <si>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</si>
  <si>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</si>
  <si>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</si>
  <si>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</si>
  <si>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</si>
  <si>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</si>
  <si>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</si>
  <si>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</si>
  <si>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</si>
  <si>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</si>
  <si>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</si>
  <si>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</si>
  <si>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</si>
  <si>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</si>
  <si>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</si>
  <si>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</si>
  <si>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</si>
  <si>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</si>
  <si>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</si>
  <si>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</si>
  <si>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</si>
  <si>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</si>
  <si>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</si>
  <si>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</si>
  <si>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</si>
  <si>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</si>
  <si>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</si>
  <si>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</si>
  <si>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</si>
  <si>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</si>
  <si>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</si>
  <si>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</si>
  <si>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</si>
  <si>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</si>
  <si>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</si>
  <si>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</si>
  <si>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</si>
  <si>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</si>
  <si>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</si>
  <si>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</si>
  <si>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</si>
  <si>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</si>
  <si>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</si>
  <si>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</si>
  <si>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</si>
  <si>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</si>
  <si>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</si>
  <si>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</si>
  <si>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</si>
  <si>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</si>
  <si>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</si>
  <si>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</si>
  <si>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</si>
  <si>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</si>
  <si>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</si>
  <si>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</si>
  <si>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</si>
  <si>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</si>
  <si>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</si>
  <si>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</si>
  <si>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</si>
  <si>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</si>
  <si>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</si>
  <si>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</si>
  <si>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</si>
  <si>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</si>
  <si>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</si>
  <si>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</si>
  <si>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</si>
  <si>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</si>
  <si>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</si>
  <si>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</si>
  <si>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</si>
  <si>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</si>
  <si>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</si>
  <si>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</si>
  <si>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</si>
  <si>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</si>
  <si>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</si>
  <si>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</si>
  <si>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</si>
  <si>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</si>
  <si>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</si>
  <si>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</si>
  <si>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</si>
  <si>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</si>
  <si>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</si>
  <si>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</si>
  <si>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</si>
  <si>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</si>
  <si>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</si>
  <si>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</si>
  <si>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</si>
  <si>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</si>
  <si>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</si>
  <si>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</si>
  <si>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</si>
  <si>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</si>
  <si>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</si>
  <si>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</si>
  <si>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</si>
  <si>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</si>
  <si>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</si>
  <si>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</si>
  <si>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</si>
  <si>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</si>
  <si>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</si>
  <si>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</si>
  <si>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</si>
  <si>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</si>
  <si>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</si>
  <si>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</si>
  <si>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</si>
  <si>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</si>
  <si>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</si>
  <si>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</si>
  <si>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</si>
  <si>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</si>
  <si>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</si>
  <si>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</si>
  <si>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</si>
  <si>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</si>
  <si>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</si>
  <si>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</si>
  <si>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</si>
  <si>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</si>
  <si>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</si>
  <si>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</si>
  <si>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</si>
  <si>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</si>
  <si>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</si>
  <si>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</si>
  <si>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</si>
  <si>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</si>
  <si>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</si>
  <si>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</si>
  <si>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</si>
  <si>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</si>
  <si>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</si>
  <si>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</si>
  <si>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</si>
  <si>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</si>
  <si>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</si>
  <si>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</si>
  <si>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</si>
  <si>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</si>
  <si>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</si>
  <si>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</si>
  <si>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</si>
  <si>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</si>
  <si>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</si>
  <si>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</si>
  <si>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</si>
  <si>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</si>
  <si>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</si>
  <si>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</si>
  <si>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</si>
  <si>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</si>
  <si>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</si>
  <si>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</si>
  <si>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</si>
  <si>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</si>
  <si>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</si>
  <si>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</si>
  <si>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</si>
  <si>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</si>
  <si>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</si>
  <si>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</si>
  <si>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</si>
  <si>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</si>
  <si>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</si>
  <si>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</si>
  <si>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</si>
  <si>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</si>
  <si>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</si>
  <si>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</si>
  <si>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</si>
  <si>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</si>
  <si>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</si>
  <si>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</si>
  <si>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</si>
  <si>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</si>
  <si>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</si>
  <si>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</si>
  <si>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</si>
  <si>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</si>
  <si>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</si>
  <si>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</si>
  <si>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</si>
  <si>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</si>
  <si>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</si>
  <si>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</si>
  <si>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</si>
  <si>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</si>
  <si>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</si>
  <si>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</si>
  <si>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</si>
  <si>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</si>
  <si>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</si>
  <si>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</si>
  <si>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</si>
  <si>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</si>
  <si>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</si>
  <si>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</si>
  <si>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</si>
  <si>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</si>
  <si>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</si>
  <si>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</si>
  <si>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</si>
  <si>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</si>
  <si>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</si>
  <si>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</si>
  <si>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</si>
  <si>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</si>
  <si>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</si>
  <si>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</si>
  <si>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</si>
  <si>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</si>
  <si>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</si>
  <si>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</si>
  <si>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</si>
  <si>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</si>
  <si>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</si>
  <si>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</si>
  <si>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</si>
  <si>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</si>
  <si>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</si>
  <si>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</si>
  <si>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</si>
  <si>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</si>
  <si>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</si>
  <si>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</si>
  <si>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</si>
  <si>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</si>
  <si>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</si>
  <si>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</si>
  <si>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</si>
  <si>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</si>
  <si>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</si>
  <si>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</si>
  <si>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</si>
  <si>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</si>
  <si>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</si>
  <si>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</si>
  <si>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</si>
  <si>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</si>
  <si>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</si>
  <si>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</si>
  <si>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</si>
  <si>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</si>
  <si>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</si>
  <si>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</si>
  <si>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</si>
  <si>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</si>
  <si>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</si>
  <si>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</si>
  <si>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</si>
  <si>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</si>
  <si>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</si>
  <si>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</si>
  <si>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</si>
  <si>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</si>
  <si>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</si>
  <si>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</si>
  <si>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</si>
  <si>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</si>
  <si>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</si>
  <si>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</si>
  <si>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</si>
  <si>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</si>
  <si>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</si>
  <si>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</si>
  <si>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</si>
  <si>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</si>
  <si>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</si>
  <si>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</si>
  <si>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</si>
  <si>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</si>
  <si>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</si>
  <si>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</si>
  <si>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</si>
  <si>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</si>
  <si>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</si>
  <si>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</si>
  <si>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</si>
  <si>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</si>
  <si>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</si>
  <si>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</si>
  <si>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</si>
  <si>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</si>
  <si>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</si>
  <si>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</si>
  <si>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</si>
  <si>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</si>
  <si>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</si>
  <si>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</si>
  <si>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</si>
  <si>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</si>
  <si>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</si>
  <si>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</si>
  <si>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</si>
  <si>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</si>
  <si>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</si>
  <si>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</si>
  <si>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</si>
  <si>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</si>
  <si>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</si>
  <si>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</si>
  <si>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</si>
  <si>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</si>
  <si>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</si>
  <si>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</si>
  <si>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</si>
  <si>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</si>
  <si>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</si>
  <si>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</si>
  <si>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</si>
  <si>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</si>
  <si>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</si>
  <si>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</si>
  <si>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</si>
  <si>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</si>
  <si>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</si>
  <si>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</si>
  <si>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</si>
  <si>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</si>
  <si>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</si>
  <si>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</si>
  <si>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</si>
  <si>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</si>
  <si>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</si>
  <si>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</si>
  <si>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</si>
  <si>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</si>
  <si>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</si>
  <si>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</si>
  <si>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</si>
  <si>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</si>
  <si>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</si>
  <si>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</si>
  <si>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</si>
  <si>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</si>
  <si>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</si>
  <si>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</si>
  <si>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</si>
  <si>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</si>
  <si>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</si>
  <si>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</si>
  <si>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</si>
  <si>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</si>
  <si>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</si>
  <si>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</si>
  <si>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</si>
  <si>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</si>
  <si>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</si>
  <si>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</si>
  <si>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</si>
  <si>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</si>
  <si>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</si>
  <si>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</si>
  <si>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</si>
  <si>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</si>
  <si>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</si>
  <si>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</si>
  <si>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</si>
  <si>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</si>
  <si>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</si>
  <si>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</si>
  <si>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</si>
  <si>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</si>
  <si>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</si>
  <si>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</si>
  <si>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</si>
  <si>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</si>
  <si>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</si>
  <si>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</si>
  <si>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</si>
  <si>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</si>
  <si>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</si>
  <si>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</si>
  <si>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</si>
  <si>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</si>
  <si>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</si>
  <si>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</si>
  <si>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</si>
  <si>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</si>
  <si>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</si>
  <si>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</si>
  <si>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</si>
  <si>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</si>
  <si>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</si>
  <si>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</si>
  <si>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</si>
  <si>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</si>
  <si>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</si>
  <si>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</si>
  <si>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</si>
  <si>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</si>
  <si>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</si>
  <si>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</si>
  <si>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</si>
  <si>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</si>
  <si>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</si>
  <si>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</si>
  <si>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</si>
  <si>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</si>
  <si>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</si>
  <si>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</si>
  <si>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</si>
  <si>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</si>
  <si>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</si>
  <si>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</si>
  <si>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</si>
  <si>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</si>
  <si>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</si>
  <si>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</si>
  <si>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</si>
  <si>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</si>
  <si>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</si>
  <si>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</si>
  <si>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</si>
  <si>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</si>
  <si>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</si>
  <si>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</si>
  <si>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</si>
  <si>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</si>
  <si>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</si>
  <si>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</si>
  <si>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</si>
  <si>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</si>
  <si>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</si>
  <si>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</si>
  <si>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</si>
  <si>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</si>
  <si>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</si>
  <si>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</si>
  <si>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</si>
  <si>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</si>
  <si>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</si>
  <si>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</si>
  <si>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</si>
  <si>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</si>
  <si>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</si>
  <si>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</si>
  <si>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</si>
  <si>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</si>
  <si>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</si>
  <si>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</si>
  <si>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</si>
  <si>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</si>
  <si>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</si>
  <si>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</si>
  <si>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</si>
  <si>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</si>
  <si>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</si>
  <si>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</si>
  <si>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</si>
  <si>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</si>
  <si>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</si>
  <si>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</si>
  <si>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</si>
  <si>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</si>
  <si>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</si>
  <si>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</si>
  <si>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</si>
  <si>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</si>
  <si>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</si>
  <si>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</si>
  <si>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</si>
  <si>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</si>
  <si>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</si>
  <si>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</si>
  <si>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</si>
  <si>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</si>
  <si>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</si>
  <si>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</si>
  <si>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</si>
  <si>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</si>
  <si>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</si>
  <si>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</si>
  <si>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</si>
  <si>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</si>
  <si>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</si>
  <si>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</si>
  <si>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</si>
  <si>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</si>
  <si>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</si>
  <si>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</si>
  <si>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</si>
  <si>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</si>
  <si>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</si>
  <si>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</si>
  <si>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</si>
  <si>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</si>
  <si>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</si>
  <si>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</si>
  <si>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</si>
  <si>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</si>
  <si>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</si>
  <si>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</si>
  <si>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</si>
  <si>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</si>
  <si>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</si>
  <si>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</si>
  <si>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</si>
  <si>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</si>
  <si>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</si>
  <si>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</si>
  <si>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</si>
  <si>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</si>
  <si>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</si>
  <si>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</si>
  <si>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</si>
  <si>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</si>
  <si>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</si>
  <si>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</si>
  <si>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</si>
  <si>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</si>
  <si>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</si>
  <si>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</si>
  <si>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</si>
  <si>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</si>
  <si>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</si>
  <si>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</si>
  <si>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</si>
  <si>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</si>
  <si>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</si>
  <si>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</si>
  <si>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</si>
  <si>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</si>
  <si>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</si>
  <si>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</si>
  <si>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</si>
  <si>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</si>
  <si>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</si>
  <si>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</si>
  <si>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</si>
  <si>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</si>
  <si>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</si>
  <si>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</si>
  <si>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</si>
  <si>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</si>
  <si>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</si>
  <si>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</si>
  <si>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</si>
  <si>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</si>
  <si>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</si>
  <si>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</si>
  <si>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</si>
  <si>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</si>
  <si>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</si>
  <si>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</si>
  <si>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</si>
  <si>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</si>
  <si>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</si>
  <si>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</si>
  <si>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</si>
  <si>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</si>
  <si>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</si>
  <si>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</si>
  <si>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</si>
  <si>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</si>
  <si>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</si>
  <si>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</si>
  <si>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</si>
  <si>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</si>
  <si>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</si>
  <si>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</si>
  <si>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</si>
  <si>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</si>
  <si>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</si>
  <si>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</si>
  <si>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</si>
  <si>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</si>
  <si>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</si>
  <si>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</si>
  <si>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</si>
  <si>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</si>
  <si>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</si>
  <si>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</si>
  <si>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</si>
  <si>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</si>
  <si>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</si>
  <si>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</si>
  <si>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</si>
  <si>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</si>
  <si>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</si>
  <si>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</si>
  <si>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</si>
  <si>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</si>
  <si>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</si>
  <si>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</si>
  <si>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</si>
  <si>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</si>
  <si>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</si>
  <si>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</si>
  <si>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</si>
  <si>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</si>
  <si>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</si>
  <si>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</si>
  <si>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</si>
  <si>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</si>
  <si>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</si>
  <si>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</si>
  <si>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</si>
  <si>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</si>
  <si>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</si>
  <si>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</si>
  <si>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</si>
  <si>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</si>
  <si>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</si>
  <si>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</si>
  <si>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</si>
  <si>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</si>
  <si>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</si>
  <si>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</si>
  <si>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</si>
  <si>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</si>
  <si>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</si>
  <si>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</si>
  <si>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</si>
  <si>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</si>
  <si>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</si>
  <si>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</si>
  <si>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</si>
  <si>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</si>
  <si>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</si>
  <si>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</si>
  <si>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</si>
  <si>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</si>
  <si>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</si>
  <si>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</si>
  <si>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</si>
  <si>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</si>
  <si>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</si>
  <si>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</si>
  <si>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</si>
  <si>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</si>
  <si>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</si>
  <si>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</si>
  <si>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</si>
  <si>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</si>
  <si>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</si>
  <si>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</si>
  <si>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</si>
  <si>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</si>
  <si>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</si>
  <si>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</si>
  <si>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</si>
  <si>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</si>
  <si>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</si>
  <si>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</si>
  <si>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</si>
  <si>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</si>
  <si>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</si>
  <si>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</si>
  <si>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</si>
  <si>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</si>
  <si>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</si>
  <si>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</si>
  <si>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</si>
  <si>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</si>
  <si>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</si>
  <si>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</si>
  <si>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</si>
  <si>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</si>
  <si>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</si>
  <si>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</si>
  <si>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</si>
  <si>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</si>
  <si>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</si>
  <si>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</si>
  <si>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</si>
  <si>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</si>
  <si>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</si>
  <si>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</si>
  <si>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</si>
  <si>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</si>
  <si>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</si>
  <si>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</si>
  <si>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</si>
  <si>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</si>
  <si>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</si>
  <si>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</si>
  <si>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</si>
  <si>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</si>
  <si>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</si>
  <si>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</si>
  <si>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</si>
  <si>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</si>
  <si>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</si>
  <si>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</si>
  <si>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</si>
  <si>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</si>
  <si>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</si>
  <si>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</si>
  <si>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</si>
  <si>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</si>
  <si>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</si>
  <si>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</si>
  <si>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</si>
  <si>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</si>
  <si>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</si>
  <si>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</si>
  <si>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</si>
  <si>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</si>
  <si>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</si>
  <si>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</si>
  <si>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</si>
  <si>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</si>
  <si>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</si>
  <si>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</si>
  <si>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</si>
  <si>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</si>
  <si>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</si>
  <si>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</si>
  <si>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</si>
  <si>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</si>
  <si>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</si>
  <si>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</si>
  <si>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</si>
  <si>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</si>
  <si>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</si>
  <si>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</si>
  <si>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</si>
  <si>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</si>
  <si>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</si>
  <si>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</si>
  <si>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</si>
  <si>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</si>
  <si>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</si>
  <si>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</si>
  <si>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</si>
  <si>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</si>
  <si>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</si>
  <si>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</si>
  <si>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</si>
  <si>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</si>
  <si>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</si>
  <si>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</si>
  <si>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</si>
  <si>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</si>
  <si>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</si>
  <si>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</si>
  <si>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</si>
  <si>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</si>
  <si>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</si>
  <si>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</si>
  <si>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</si>
  <si>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</si>
  <si>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</si>
  <si>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</si>
  <si>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</si>
  <si>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</si>
  <si>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</si>
  <si>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</si>
  <si>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</si>
  <si>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</si>
  <si>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</si>
  <si>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</si>
  <si>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</si>
  <si>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</si>
  <si>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</si>
  <si>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</si>
  <si>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</si>
  <si>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</si>
  <si>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</si>
  <si>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</si>
  <si>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</si>
  <si>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</si>
  <si>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</si>
  <si>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</si>
  <si>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</si>
  <si>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</si>
  <si>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</si>
  <si>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</si>
  <si>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</si>
  <si>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</si>
  <si>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</si>
  <si>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</si>
  <si>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</si>
  <si>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</si>
  <si>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</si>
  <si>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</si>
  <si>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</si>
  <si>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</si>
  <si>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</si>
  <si>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</si>
  <si>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</si>
  <si>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</si>
  <si>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</si>
  <si>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</si>
  <si>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</si>
  <si>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</si>
  <si>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</si>
  <si>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</si>
  <si>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</si>
  <si>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</si>
  <si>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</si>
  <si>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</si>
  <si>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</si>
  <si>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</si>
  <si>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</si>
  <si>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</si>
  <si>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</si>
  <si>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</si>
  <si>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</si>
  <si>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</si>
  <si>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</si>
  <si>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</si>
  <si>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</si>
  <si>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</si>
  <si>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</si>
  <si>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</si>
  <si>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</si>
  <si>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</si>
  <si>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</si>
  <si>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</si>
  <si>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</si>
  <si>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</si>
  <si>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</si>
  <si>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</si>
  <si>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</si>
  <si>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</si>
  <si>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</si>
  <si>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</si>
  <si>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</si>
  <si>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</si>
  <si>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</si>
  <si>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</si>
  <si>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</si>
  <si>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</si>
  <si>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</si>
  <si>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</si>
  <si>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</si>
  <si>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</si>
  <si>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</si>
  <si>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</si>
  <si>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</si>
  <si>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</si>
  <si>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</si>
  <si>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</si>
  <si>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</si>
  <si>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</si>
  <si>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</si>
  <si>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</si>
  <si>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</si>
  <si>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</si>
  <si>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</si>
  <si>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</si>
  <si>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</si>
  <si>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</si>
  <si>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</si>
  <si>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</si>
  <si>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</si>
  <si>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</si>
  <si>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</si>
  <si>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</si>
  <si>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</si>
  <si>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</si>
  <si>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</si>
  <si>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</si>
  <si>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</si>
  <si>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</si>
  <si>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</si>
  <si>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</si>
  <si>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</si>
  <si>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</si>
  <si>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</si>
  <si>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</si>
  <si>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</si>
  <si>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</si>
  <si>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</si>
  <si>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</si>
  <si>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</si>
  <si>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</si>
  <si>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</si>
  <si>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</si>
  <si>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</si>
  <si>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</si>
  <si>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</si>
  <si>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</si>
  <si>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</si>
  <si>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</si>
  <si>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</si>
  <si>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</si>
  <si>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</si>
  <si>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</si>
  <si>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</si>
  <si>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</si>
  <si>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</si>
  <si>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</si>
  <si>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</si>
  <si>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</si>
  <si>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</si>
  <si>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</si>
  <si>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</si>
  <si>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</si>
  <si>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</si>
  <si>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</si>
  <si>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</si>
  <si>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</si>
  <si>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</si>
  <si>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</si>
  <si>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</si>
  <si>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</si>
  <si>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</si>
  <si>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</si>
  <si>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</si>
  <si>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</si>
  <si>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</si>
  <si>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</si>
  <si>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</si>
  <si>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</si>
  <si>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</si>
  <si>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</si>
  <si>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</si>
  <si>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</si>
  <si>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</si>
  <si>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</si>
  <si>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</si>
  <si>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</si>
  <si>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</si>
  <si>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</si>
  <si>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</si>
  <si>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</si>
  <si>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</si>
  <si>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</si>
  <si>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</si>
  <si>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</si>
  <si>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</si>
  <si>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</si>
  <si>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</si>
  <si>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</si>
  <si>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</si>
  <si>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</si>
  <si>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</si>
  <si>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</si>
  <si>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</si>
  <si>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</si>
  <si>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</si>
  <si>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</si>
  <si>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</si>
  <si>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</si>
  <si>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</si>
  <si>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</si>
  <si>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</si>
  <si>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</si>
  <si>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</si>
  <si>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</si>
  <si>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</si>
  <si>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</si>
  <si>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</si>
  <si>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</si>
  <si>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</si>
  <si>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</si>
  <si>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</si>
  <si>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</si>
  <si>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</si>
  <si>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</si>
  <si>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</si>
  <si>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</si>
  <si>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</si>
  <si>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</si>
  <si>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</si>
  <si>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</si>
  <si>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</si>
  <si>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</si>
  <si>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</si>
  <si>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</si>
  <si>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</si>
  <si>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</si>
  <si>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</si>
  <si>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</si>
  <si>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</si>
  <si>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</si>
  <si>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</si>
  <si>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</si>
  <si>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</si>
  <si>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</si>
  <si>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</si>
  <si>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</si>
  <si>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</si>
  <si>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</si>
  <si>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</si>
  <si>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</si>
  <si>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</si>
  <si>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</si>
  <si>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</si>
  <si>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</si>
  <si>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</si>
  <si>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</si>
  <si>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</si>
  <si>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</si>
  <si>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</si>
  <si>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</si>
  <si>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</si>
  <si>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</si>
  <si>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</si>
  <si>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</si>
  <si>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</si>
  <si>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</si>
  <si>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</si>
  <si>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</si>
  <si>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</si>
  <si>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</si>
  <si>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</si>
  <si>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</si>
  <si>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</si>
  <si>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</si>
  <si>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</si>
  <si>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</si>
  <si>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</si>
  <si>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</si>
  <si>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</si>
  <si>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</si>
  <si>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</si>
  <si>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</si>
  <si>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</si>
  <si>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</si>
  <si>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</si>
  <si>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</si>
  <si>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</si>
  <si>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</si>
  <si>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</si>
  <si>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</si>
  <si>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</si>
  <si>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</si>
  <si>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</si>
  <si>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</si>
  <si>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</si>
  <si>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</si>
  <si>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</si>
  <si>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</si>
  <si>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</si>
  <si>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</si>
  <si>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</si>
  <si>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</si>
  <si>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</si>
  <si>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</si>
  <si>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</si>
  <si>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</si>
  <si>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</si>
  <si>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</si>
  <si>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</si>
  <si>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</si>
  <si>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</si>
  <si>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</si>
  <si>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</si>
  <si>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</si>
  <si>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</si>
  <si>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</si>
  <si>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</si>
  <si>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</si>
  <si>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</si>
  <si>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</si>
  <si>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</si>
  <si>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</si>
  <si>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</si>
  <si>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</si>
  <si>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</si>
  <si>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</si>
  <si>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</si>
  <si>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</si>
  <si>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</si>
  <si>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</si>
  <si>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</si>
  <si>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</si>
  <si>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</si>
  <si>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</si>
  <si>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</si>
  <si>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</si>
  <si>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</si>
  <si>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</si>
  <si>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</si>
  <si>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</si>
  <si>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</si>
  <si>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</si>
  <si>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</si>
  <si>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</si>
  <si>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</si>
  <si>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</si>
  <si>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</si>
  <si>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</si>
  <si>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</si>
  <si>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</si>
  <si>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</si>
  <si>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</si>
  <si>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</si>
  <si>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</si>
  <si>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</si>
  <si>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</si>
  <si>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</si>
  <si>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</si>
  <si>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</si>
  <si>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</si>
  <si>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</si>
  <si>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</si>
  <si>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</si>
  <si>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</si>
  <si>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</si>
  <si>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</si>
  <si>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</si>
  <si>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</si>
  <si>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</si>
  <si>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</si>
  <si>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</si>
  <si>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</si>
  <si>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</si>
  <si>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</si>
  <si>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</si>
  <si>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</si>
  <si>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</si>
  <si>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</si>
  <si>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</si>
  <si>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</si>
  <si>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</si>
  <si>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</si>
  <si>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</si>
  <si>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</si>
  <si>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</si>
  <si>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</si>
  <si>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</si>
  <si>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</si>
  <si>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</si>
  <si>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</si>
  <si>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</si>
  <si>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</si>
  <si>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</si>
  <si>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</si>
  <si>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</si>
  <si>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</si>
  <si>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</si>
  <si>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</si>
  <si>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</si>
  <si>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</si>
  <si>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</si>
  <si>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</si>
  <si>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</si>
  <si>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</si>
  <si>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</si>
  <si>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</si>
  <si>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</si>
  <si>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</si>
  <si>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</si>
  <si>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</si>
  <si>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</si>
  <si>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</si>
  <si>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</si>
  <si>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</si>
  <si>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</si>
  <si>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</si>
  <si>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</si>
  <si>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</si>
  <si>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</si>
  <si>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</si>
  <si>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</si>
  <si>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</si>
  <si>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</si>
  <si>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</si>
  <si>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</si>
  <si>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</si>
  <si>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</si>
  <si>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</si>
  <si>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</si>
  <si>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</si>
  <si>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</si>
  <si>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</si>
  <si>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</si>
  <si>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</si>
  <si>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</si>
  <si>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</si>
  <si>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</si>
  <si>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</si>
  <si>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</si>
  <si>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</si>
  <si>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</si>
  <si>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</si>
  <si>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</si>
  <si>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</si>
  <si>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</si>
  <si>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</si>
  <si>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</si>
  <si>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</si>
  <si>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</si>
  <si>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</si>
  <si>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</si>
  <si>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</si>
  <si>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</si>
  <si>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</si>
  <si>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</si>
  <si>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</si>
  <si>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</si>
  <si>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</si>
  <si>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</si>
  <si>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</si>
  <si>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</si>
  <si>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</si>
  <si>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</si>
  <si>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</si>
  <si>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</si>
  <si>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</si>
  <si>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</si>
  <si>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</si>
  <si>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</si>
  <si>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</si>
  <si>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</si>
  <si>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</si>
  <si>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</si>
  <si>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</si>
  <si>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</si>
  <si>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</si>
  <si>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</si>
  <si>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</si>
  <si>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</si>
  <si>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</si>
  <si>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</si>
  <si>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</si>
  <si>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</si>
  <si>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</si>
  <si>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</si>
  <si>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</si>
  <si>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</si>
  <si>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</si>
  <si>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</si>
  <si>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</si>
  <si>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</si>
  <si>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</si>
  <si>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</si>
  <si>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</si>
  <si>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</si>
  <si>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</si>
  <si>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</si>
  <si>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</si>
  <si>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</si>
  <si>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</si>
  <si>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</si>
  <si>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</si>
  <si>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</si>
  <si>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</si>
  <si>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</si>
  <si>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</si>
  <si>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</si>
  <si>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</si>
  <si>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</si>
  <si>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</si>
  <si>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</si>
  <si>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</si>
  <si>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</si>
  <si>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</si>
  <si>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</si>
  <si>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</si>
  <si>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</si>
  <si>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</si>
  <si>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</si>
  <si>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</si>
  <si>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</si>
  <si>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</si>
  <si>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</si>
  <si>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</si>
  <si>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</si>
  <si>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</si>
  <si>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</si>
  <si>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</si>
  <si>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</si>
  <si>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</si>
  <si>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</si>
  <si>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</si>
  <si>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</si>
  <si>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</si>
  <si>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</si>
  <si>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</si>
  <si>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</si>
  <si>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</si>
  <si>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</si>
  <si>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</si>
  <si>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</si>
  <si>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</si>
  <si>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</si>
  <si>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</si>
  <si>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</si>
  <si>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</si>
  <si>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</si>
  <si>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</si>
  <si>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</si>
  <si>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</si>
  <si>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</si>
  <si>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</si>
  <si>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</si>
  <si>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</si>
  <si>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</si>
  <si>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</si>
  <si>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</si>
  <si>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</si>
  <si>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</si>
  <si>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</si>
  <si>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</si>
  <si>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</si>
  <si>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</si>
  <si>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</si>
  <si>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</si>
  <si>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</si>
  <si>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</si>
  <si>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</si>
  <si>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</si>
  <si>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</si>
  <si>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</si>
  <si>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</si>
  <si>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</si>
  <si>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</si>
  <si>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</si>
  <si>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</si>
  <si>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</si>
  <si>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</si>
  <si>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</si>
  <si>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</si>
  <si>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</si>
  <si>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</si>
  <si>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</si>
  <si>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</si>
  <si>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</si>
  <si>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</si>
  <si>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</si>
  <si>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Phillips, Salmi &amp; Associates, LLC</t>
  </si>
  <si>
    <t>112 S Main Street</t>
  </si>
  <si>
    <t>Washington</t>
  </si>
  <si>
    <t>IL</t>
  </si>
  <si>
    <t>(309) 444-4909</t>
  </si>
  <si>
    <t>(309) 444-8580</t>
  </si>
  <si>
    <t>066-004355</t>
  </si>
  <si>
    <t>Lori Salmi</t>
  </si>
  <si>
    <t>lsalmi@psa-cpa.com</t>
  </si>
  <si>
    <t>X</t>
  </si>
  <si>
    <t>Limited School Bonds, Series 2010</t>
  </si>
  <si>
    <t>ISBE Tech Loan</t>
  </si>
  <si>
    <t>Total Federal Expenditures for 7/1/18-6/30/19</t>
  </si>
  <si>
    <t>Tazewell</t>
  </si>
  <si>
    <t>Pekin PSD 108</t>
  </si>
  <si>
    <t>501 Washington Street</t>
  </si>
  <si>
    <t>Pekin</t>
  </si>
  <si>
    <t>bill.link@pekin.net</t>
  </si>
  <si>
    <t>Bill Link</t>
  </si>
  <si>
    <t>(309) 477-4700</t>
  </si>
  <si>
    <t>(309) 477-4701</t>
  </si>
  <si>
    <t>Phillips, Salmi + Associates, LLC</t>
  </si>
  <si>
    <t>Illinois School District Liquid Asset Fund</t>
  </si>
  <si>
    <t>Tazewell-Mason Special Education Association</t>
  </si>
  <si>
    <t>US Communities Government Purchasing Cooperative</t>
  </si>
  <si>
    <t>Intergovernmental agreement w/ Pekin D303 &amp; City of Pekin</t>
  </si>
  <si>
    <t>Outsourced to ABBCO</t>
  </si>
  <si>
    <t>Member of Ilinois Energy Consortium (electric/natural gas)</t>
  </si>
  <si>
    <t>.</t>
  </si>
  <si>
    <t>U.S. DEPARTMENT OF AGRICULTURE</t>
  </si>
  <si>
    <t>Passed through the Illinois State Board of Education</t>
  </si>
  <si>
    <t xml:space="preserve"> National School Breakfast Program</t>
  </si>
  <si>
    <t>National School Breakfast Program</t>
  </si>
  <si>
    <t>Value of Commodities</t>
  </si>
  <si>
    <t>Value of Fruits and Vegetables</t>
  </si>
  <si>
    <t>TOTAL NATIONAL SCHOOL LUNCH CLUSTER/TOTAL U.S. DEPARTMENT OF AGRICULTURE (M)</t>
  </si>
  <si>
    <t>2018-4210-00</t>
  </si>
  <si>
    <t>2019-4210-00</t>
  </si>
  <si>
    <t>2018-4220-00</t>
  </si>
  <si>
    <t>2019-4220-00</t>
  </si>
  <si>
    <t>N/A</t>
  </si>
  <si>
    <t>2018-4225-00</t>
  </si>
  <si>
    <t>2019-4225-00</t>
  </si>
  <si>
    <t>SEFA PAGE 40.1 TOTAL</t>
  </si>
  <si>
    <t>SEFA PAGE 40.2 TOTAL</t>
  </si>
  <si>
    <t xml:space="preserve">U.S. DEPARTMENT OF EDUCATION </t>
  </si>
  <si>
    <t>IDEA - Room &amp; Board Excess Costs</t>
  </si>
  <si>
    <t>TOTAL IDEA PART B - FLOW THROUGH FUNDS</t>
  </si>
  <si>
    <t>TOTAL IDEA - ROOM &amp; BOARD EXCESS COSTS</t>
  </si>
  <si>
    <t>2018-4300-00</t>
  </si>
  <si>
    <t>2019-4300-00</t>
  </si>
  <si>
    <t>2019-4932-00</t>
  </si>
  <si>
    <t>2018-4932-00</t>
  </si>
  <si>
    <t>2018-4625-XC</t>
  </si>
  <si>
    <t>2019-4625-XC</t>
  </si>
  <si>
    <t>Passed through Tazewell Mason Counties Special Education Association</t>
  </si>
  <si>
    <t>IDEA  - Preschool Incentive Grant</t>
  </si>
  <si>
    <t>IDEA Part B - Flow through Funds</t>
  </si>
  <si>
    <t>TOTAL U.S. DEPARTMENT OF EDUCATION</t>
  </si>
  <si>
    <t>U.S. DEPARTMENT OF HEALTH AND FAMILY SERVICES</t>
  </si>
  <si>
    <t>Pass through Illinois Department of Health and Family Services</t>
  </si>
  <si>
    <t>Medicaid Matching Grant</t>
  </si>
  <si>
    <t>TOTAL MEDICAID MATCHING GRANT</t>
  </si>
  <si>
    <t>TOTAL IDEA  - PRESCHOOL INCENTIVE GRANT</t>
  </si>
  <si>
    <t>2018-4600-00</t>
  </si>
  <si>
    <t>2019-4600-00</t>
  </si>
  <si>
    <t>2018-4620-00</t>
  </si>
  <si>
    <t>2019-4620-00</t>
  </si>
  <si>
    <t>2018-4900-00</t>
  </si>
  <si>
    <t>2019-4900-00</t>
  </si>
  <si>
    <t>Build America Bond - Interest Reimbursement</t>
  </si>
  <si>
    <t>10.553, 10.555, &amp; 10.559</t>
  </si>
  <si>
    <t>Child Nutrition Cluster</t>
  </si>
  <si>
    <t>None</t>
  </si>
  <si>
    <t>Page 10 Line 74 - Other Food Service - Miscellaneous food service and catering</t>
  </si>
  <si>
    <t>TOTAL TITLE II - TEACHER QUALITY</t>
  </si>
  <si>
    <t xml:space="preserve"> TOTAL TITLE I - LOW INCOME </t>
  </si>
  <si>
    <r>
      <t xml:space="preserve">Of the federal expenditures presented in the schedule, </t>
    </r>
    <r>
      <rPr>
        <b/>
        <sz val="9"/>
        <rFont val="Calibri"/>
        <family val="2"/>
        <scheme val="minor"/>
      </rPr>
      <t>Pekin Public Schools District No. 108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</si>
  <si>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Pekin Public Schools District No. 108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</si>
  <si>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</si>
  <si>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r>
      <t xml:space="preserve">The accompanying Schedule of Expenditures of Federal Awards includes the federal grant activity of </t>
    </r>
    <r>
      <rPr>
        <b/>
        <sz val="9"/>
        <rFont val="Calibri"/>
        <family val="2"/>
        <scheme val="minor"/>
      </rPr>
      <t>Pekin Public Schools District No. 108</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</si>
  <si>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Page 16 Line 73 - Other Support Services - Parent Coordinator</t>
  </si>
  <si>
    <t>Page 15 Line 41 - Support Services-Pupils - Miscellaneous Special Education supplies</t>
  </si>
  <si>
    <t>Page 16 Line 83 - Payments to Other Governmental Units (In-State) - Reading Recovery Program tuition and student fees</t>
  </si>
  <si>
    <t>Page 11 Line 107 - Other Revenue from Local Sources - Miscellaneous revenues, Nonsufficient Funds Fees, and Soda Machine Commissions</t>
  </si>
  <si>
    <t>Page 18 Line 171 - Other Debt Service - Bond Fees</t>
  </si>
  <si>
    <t>Page 20 Line 278 - Other Support Services - Central - Parent Coordinator</t>
  </si>
  <si>
    <t xml:space="preserve">Page 26 Line 10, Column 8 - Improvements Other Than Buildings (Infrastructure) - Accumulated Depreciation Beginning - </t>
  </si>
  <si>
    <t>Beginning Accumulated Depreciation was adjusted for differences between prior reports and District depreciation schedules</t>
  </si>
  <si>
    <t>40-2550-300</t>
  </si>
  <si>
    <t>City of Pekin - Bus Department</t>
  </si>
  <si>
    <t>RICOH</t>
  </si>
  <si>
    <t>10-2570-300</t>
  </si>
  <si>
    <t>10-1000-200</t>
  </si>
  <si>
    <t>10-2100-200</t>
  </si>
  <si>
    <t>10-2200-200</t>
  </si>
  <si>
    <t>10-2300-200</t>
  </si>
  <si>
    <t>10-2400-200</t>
  </si>
  <si>
    <t>BCBS</t>
  </si>
  <si>
    <t>10-2900-200</t>
  </si>
  <si>
    <t>10-2400-300</t>
  </si>
  <si>
    <t>10-1000-300</t>
  </si>
  <si>
    <t>10-2540-300</t>
  </si>
  <si>
    <t>20-2540-300</t>
  </si>
  <si>
    <t>Unland Companies</t>
  </si>
  <si>
    <t>10-2300-300</t>
  </si>
  <si>
    <t>10-2560-300</t>
  </si>
  <si>
    <t>Aramark</t>
  </si>
  <si>
    <t>10-3000-200</t>
  </si>
  <si>
    <t>10-2520-300</t>
  </si>
  <si>
    <t>Neopost</t>
  </si>
  <si>
    <t>ABBCO</t>
  </si>
  <si>
    <t>20-2540-400</t>
  </si>
  <si>
    <t>Constellation</t>
  </si>
  <si>
    <t>Ameren</t>
  </si>
  <si>
    <t>Nextera Energy</t>
  </si>
  <si>
    <t>UnityPoint Methodist</t>
  </si>
  <si>
    <t>10-2100-300</t>
  </si>
  <si>
    <t>10-2510-200</t>
  </si>
  <si>
    <t>10-2610-200</t>
  </si>
  <si>
    <t>20-2540-200</t>
  </si>
  <si>
    <t>40-2550-200</t>
  </si>
  <si>
    <t>ED - Pupil Transportation Services - Purchased Services</t>
  </si>
  <si>
    <t>ED - Internal Services - Purchased Services</t>
  </si>
  <si>
    <t>ED - Instruction - Purchased Services</t>
  </si>
  <si>
    <t>ED - Instruction - Employee Benefits</t>
  </si>
  <si>
    <t>ED - Support Services Pupils - Purchased Services</t>
  </si>
  <si>
    <t>O&amp;M - O&amp;M of Plant Services - Supplies &amp; Materials</t>
  </si>
  <si>
    <t>O&amp;M - O&amp;M of Plant Services - Purchased Services</t>
  </si>
  <si>
    <t>ED - O&amp;M of Plant Services - Purchased Services</t>
  </si>
  <si>
    <t>ED - Support Services School Admin - Purchased Services</t>
  </si>
  <si>
    <t>ED - Support Services Pupils - Employee Benefits</t>
  </si>
  <si>
    <t>ED - Support Services Instructional Staff - Employee Benefits</t>
  </si>
  <si>
    <t>ED - Support Services General Admin - Employee Benefits</t>
  </si>
  <si>
    <t>ED - Support Services School Admin - Employee Benefits</t>
  </si>
  <si>
    <t>ED - Support Services Central - Employee Benefits</t>
  </si>
  <si>
    <t>ED - Support Services Business - Employee Benefits</t>
  </si>
  <si>
    <t>ED - Other Support Services - Employee Benefits</t>
  </si>
  <si>
    <t>ED - Community Services - Employee Benefits</t>
  </si>
  <si>
    <t>O&amp;M - O&amp;M of Plant Services - Employee Benefits</t>
  </si>
  <si>
    <t>Transportation - Pupil Transport Services - Employee Benefits</t>
  </si>
  <si>
    <t>ED - Support Services General Admin - Purchased Services</t>
  </si>
  <si>
    <t>ED -  Support Services School Admin - Purchased Services</t>
  </si>
  <si>
    <t>ED - Food Services - Purchased Services</t>
  </si>
  <si>
    <t>ED - Fiscal Services - Purchased Services</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</si>
  <si>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</si>
  <si>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6. The amount in column (E) is the amount allowed on each contract in the Indirect Cost Rate calculation.  The amount in column (F) is the amount that will be deducted from the base in the indirect cost rate (page 30) for Program Year 2021.</t>
  </si>
  <si>
    <t>7.  Do not include contracts for Capital Outlay (500) or Non-Capitalized Equipment (700) on this form, they are excluded from the Indirect Cost Rate calculation.</t>
  </si>
  <si>
    <t>Operating disbursements should be reviewed by a person other than the preparer prior to release.</t>
  </si>
  <si>
    <r>
      <t xml:space="preserve">We recommend management approves the monthly Warrants packet including the detail of disbursements. We also recommend that the Board follows the procedures in Board Policy 4:50 - </t>
    </r>
    <r>
      <rPr>
        <i/>
        <sz val="10"/>
        <rFont val="Calibri"/>
        <family val="2"/>
        <scheme val="minor"/>
      </rPr>
      <t>Payment Procedures</t>
    </r>
    <r>
      <rPr>
        <sz val="10"/>
        <rFont val="Calibri"/>
        <family val="2"/>
        <scheme val="minor"/>
      </rPr>
      <t>.</t>
    </r>
  </si>
  <si>
    <t>The Business Manager will initial and date the approval of the monthly Warrant packet</t>
  </si>
  <si>
    <t>Disbursements could occur that are not properly authorized.</t>
  </si>
  <si>
    <t>Operating disbursements should have observable indication of approval prior to issuance.</t>
  </si>
  <si>
    <r>
      <t>There is no evidence of detailed review of the monthly Warrants Report by management. In addition, Board Policy 4:50 -</t>
    </r>
    <r>
      <rPr>
        <i/>
        <sz val="10"/>
        <rFont val="Calibri"/>
        <family val="2"/>
        <scheme val="minor"/>
      </rPr>
      <t xml:space="preserve"> Payment Procedures</t>
    </r>
    <r>
      <rPr>
        <sz val="10"/>
        <rFont val="Calibri"/>
        <family val="2"/>
        <scheme val="minor"/>
      </rPr>
      <t>, states the Board must review and approve a monthly bills payable listing with vendor names and amounts, however the report approved is summary information only.</t>
    </r>
  </si>
  <si>
    <r>
      <t xml:space="preserve">There is no sign-off by management on the monthly Warrants Report and Board Policy 4:50 - </t>
    </r>
    <r>
      <rPr>
        <i/>
        <sz val="10"/>
        <rFont val="Calibri"/>
        <family val="2"/>
        <scheme val="minor"/>
      </rPr>
      <t>Payment Procedures</t>
    </r>
    <r>
      <rPr>
        <sz val="10"/>
        <rFont val="Calibri"/>
        <family val="2"/>
        <scheme val="minor"/>
      </rPr>
      <t xml:space="preserve"> is summary information only.</t>
    </r>
  </si>
  <si>
    <t>See Opinion &amp; Notes - 35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</si>
</sst>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theme="0" tint="-0.34998626667073579"/>
      </bottom>
      <diagonal/>
    </border>
    <border>
      <left style="thin">
        <color indexed="55"/>
      </left>
      <right style="thin">
        <color indexed="55"/>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43" fontId="61" fillId="0" borderId="8" xfId="1" applyFont="1" applyBorder="1" applyAlignment="1" applyProtection="1">
      <alignment horizontal="center"/>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43" fontId="61" fillId="0" borderId="165" xfId="1" applyFont="1" applyBorder="1" applyAlignment="1" applyProtection="1">
      <alignment horizontal="center"/>
      <protection locked="0"/>
    </xf>
    <xf numFmtId="181" fontId="61" fillId="0" borderId="22" xfId="1" applyNumberFormat="1" applyFont="1" applyBorder="1" applyAlignment="1" applyProtection="1">
      <alignment horizontal="center"/>
      <protection locked="0"/>
    </xf>
    <xf numFmtId="181" fontId="61" fillId="0" borderId="45" xfId="1" applyNumberFormat="1" applyFont="1" applyBorder="1" applyAlignment="1" applyProtection="1">
      <alignment horizontal="center"/>
      <protection locked="0"/>
    </xf>
    <xf numFmtId="43" fontId="61" fillId="0" borderId="44" xfId="1" applyFont="1" applyBorder="1" applyAlignment="1" applyProtection="1">
      <alignment horizontal="center"/>
      <protection locked="0"/>
    </xf>
    <xf numFmtId="181" fontId="61" fillId="0" borderId="8" xfId="1" applyNumberFormat="1" applyFont="1" applyBorder="1" applyAlignment="1" applyProtection="1">
      <alignment horizontal="center"/>
      <protection locked="0"/>
    </xf>
    <xf numFmtId="181" fontId="61" fillId="0" borderId="44" xfId="1" applyNumberFormat="1" applyFont="1" applyBorder="1" applyAlignment="1" applyProtection="1">
      <alignment horizontal="center"/>
      <protection locked="0"/>
    </xf>
    <xf numFmtId="181" fontId="61" fillId="0" borderId="165" xfId="1" applyNumberFormat="1" applyFont="1" applyBorder="1" applyAlignment="1" applyProtection="1">
      <alignment horizontal="center"/>
      <protection locked="0"/>
    </xf>
    <xf numFmtId="181" fontId="61" fillId="0" borderId="166" xfId="1"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182" fontId="61" fillId="0" borderId="167" xfId="19" applyNumberFormat="1" applyFont="1" applyBorder="1" applyAlignment="1" applyProtection="1">
      <alignment horizontal="center"/>
      <protection locked="0"/>
    </xf>
    <xf numFmtId="182" fontId="61" fillId="0" borderId="8" xfId="19" applyNumberFormat="1" applyFont="1" applyBorder="1" applyAlignment="1" applyProtection="1">
      <alignment horizontal="center"/>
      <protection locked="0"/>
    </xf>
    <xf numFmtId="182" fontId="61" fillId="0" borderId="22" xfId="19" applyNumberFormat="1" applyFont="1" applyBorder="1" applyAlignment="1" applyProtection="1">
      <alignment horizontal="center"/>
      <protection locked="0"/>
    </xf>
    <xf numFmtId="182" fontId="61" fillId="0" borderId="165" xfId="19" applyNumberFormat="1" applyFont="1" applyBorder="1" applyAlignment="1" applyProtection="1">
      <alignment horizontal="center"/>
      <protection locked="0"/>
    </xf>
    <xf numFmtId="182" fontId="61" fillId="0" borderId="45" xfId="19"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Fill="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182" fontId="61" fillId="0" borderId="149" xfId="19" applyNumberFormat="1" applyFont="1" applyBorder="1" applyAlignment="1" applyProtection="1">
      <alignment horizontal="right" vertical="center"/>
      <protection locked="0"/>
    </xf>
    <xf numFmtId="182" fontId="61" fillId="0" borderId="76" xfId="19" applyNumberFormat="1" applyFont="1" applyBorder="1" applyAlignment="1" applyProtection="1">
      <alignment horizontal="right" vertical="center"/>
      <protection locked="0"/>
    </xf>
    <xf numFmtId="182" fontId="61" fillId="0" borderId="150" xfId="19"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182" fontId="61" fillId="0" borderId="77" xfId="19" applyNumberFormat="1" applyFont="1" applyBorder="1" applyAlignment="1" applyProtection="1">
      <alignment horizontal="right" vertical="center"/>
      <protection locked="0"/>
    </xf>
    <xf numFmtId="182" fontId="61" fillId="0" borderId="149" xfId="19" applyNumberFormat="1" applyFont="1" applyBorder="1" applyProtection="1">
      <protection locked="0"/>
    </xf>
    <xf numFmtId="182" fontId="61" fillId="0" borderId="150" xfId="19" applyNumberFormat="1" applyFont="1" applyBorder="1" applyProtection="1">
      <protection locked="0"/>
    </xf>
    <xf numFmtId="182" fontId="56" fillId="0" borderId="9" xfId="19"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6" fillId="0" borderId="74" xfId="3" applyFont="1" applyBorder="1" applyAlignment="1" applyProtection="1">
      <alignment horizont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193097</xdr:colOff>
          <xdr:row>2</xdr:row>
          <xdr:rowOff>107374</xdr:rowOff>
        </xdr:from>
        <xdr:to>
          <xdr:col>1</xdr:col>
          <xdr:colOff>1107497</xdr:colOff>
          <xdr:row>6</xdr:row>
          <xdr:rowOff>138547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1260763</xdr:colOff>
          <xdr:row>2</xdr:row>
          <xdr:rowOff>116898</xdr:rowOff>
        </xdr:from>
        <xdr:to>
          <xdr:col>1</xdr:col>
          <xdr:colOff>2175163</xdr:colOff>
          <xdr:row>6</xdr:row>
          <xdr:rowOff>154998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2318038</xdr:colOff>
          <xdr:row>2</xdr:row>
          <xdr:rowOff>101312</xdr:rowOff>
        </xdr:from>
        <xdr:to>
          <xdr:col>1</xdr:col>
          <xdr:colOff>3232438</xdr:colOff>
          <xdr:row>6</xdr:row>
          <xdr:rowOff>139412</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1991" t="s">
        <v>405</v>
      </c>
      <c r="J1" s="1992"/>
      <c r="K1" s="1992"/>
      <c r="L1" s="1992"/>
      <c r="M1" s="1992"/>
      <c r="N1" s="1992"/>
      <c r="O1" s="1992"/>
      <c r="P1" s="1992"/>
      <c r="Q1" s="1992"/>
      <c r="R1" s="1992"/>
      <c r="S1" s="1992"/>
    </row>
    <row r="2" spans="1:28" ht="12" customHeight="1" x14ac:dyDescent="0.2">
      <c r="A2" s="47" t="s">
        <v>1986</v>
      </c>
      <c r="D2" s="48"/>
      <c r="I2" s="1993" t="s">
        <v>979</v>
      </c>
      <c r="J2" s="1992"/>
      <c r="K2" s="1992"/>
      <c r="L2" s="1992"/>
      <c r="M2" s="1992"/>
      <c r="N2" s="1992"/>
      <c r="O2" s="1992"/>
      <c r="P2" s="1992"/>
      <c r="Q2" s="1992"/>
      <c r="R2" s="1992"/>
      <c r="S2" s="1992"/>
    </row>
    <row r="3" spans="1:28" ht="12" customHeight="1" x14ac:dyDescent="0.2">
      <c r="A3" s="155" t="s">
        <v>1939</v>
      </c>
      <c r="B3" s="156"/>
      <c r="C3" s="156"/>
      <c r="D3" s="157"/>
      <c r="I3" s="1993" t="s">
        <v>52</v>
      </c>
      <c r="J3" s="1992"/>
      <c r="K3" s="1992"/>
      <c r="L3" s="1992"/>
      <c r="M3" s="1992"/>
      <c r="N3" s="1992"/>
      <c r="O3" s="1992"/>
      <c r="P3" s="1992"/>
      <c r="Q3" s="1992"/>
      <c r="R3" s="1992"/>
      <c r="S3" s="1992"/>
    </row>
    <row r="4" spans="1:28" ht="12" customHeight="1" x14ac:dyDescent="0.2">
      <c r="A4" s="37"/>
      <c r="I4" s="1993" t="s">
        <v>524</v>
      </c>
      <c r="J4" s="1992"/>
      <c r="K4" s="1992"/>
      <c r="L4" s="1992"/>
      <c r="M4" s="1992"/>
      <c r="N4" s="1992"/>
      <c r="O4" s="1992"/>
      <c r="P4" s="1992"/>
      <c r="Q4" s="1992"/>
      <c r="R4" s="1992"/>
      <c r="S4" s="1992"/>
    </row>
    <row r="5" spans="1:28" ht="14.1" customHeight="1" x14ac:dyDescent="0.2">
      <c r="B5" s="104" t="s">
        <v>2066</v>
      </c>
      <c r="C5" s="26" t="s">
        <v>910</v>
      </c>
      <c r="D5" s="84"/>
      <c r="E5" s="84"/>
      <c r="H5" s="38"/>
      <c r="I5" s="2001" t="s">
        <v>680</v>
      </c>
      <c r="J5" s="2000"/>
      <c r="K5" s="2000"/>
      <c r="L5" s="2000"/>
      <c r="M5" s="2000"/>
      <c r="N5" s="2000"/>
      <c r="O5" s="2000"/>
      <c r="P5" s="2000"/>
      <c r="Q5" s="2000"/>
      <c r="R5" s="2000"/>
      <c r="S5" s="2000"/>
    </row>
    <row r="6" spans="1:28" ht="14.1" customHeight="1" x14ac:dyDescent="0.2">
      <c r="B6" s="104"/>
      <c r="C6" s="26" t="s">
        <v>911</v>
      </c>
      <c r="D6" s="84"/>
      <c r="E6" s="84"/>
      <c r="I6" s="1999" t="s">
        <v>883</v>
      </c>
      <c r="J6" s="2000"/>
      <c r="K6" s="2000"/>
      <c r="L6" s="2000"/>
      <c r="M6" s="2000"/>
      <c r="N6" s="2000"/>
      <c r="O6" s="2000"/>
      <c r="P6" s="2000"/>
      <c r="Q6" s="2000"/>
      <c r="R6" s="2000"/>
      <c r="S6" s="2000"/>
    </row>
    <row r="7" spans="1:28" ht="12.2" customHeight="1" x14ac:dyDescent="0.2">
      <c r="I7" s="1994">
        <v>43646</v>
      </c>
      <c r="J7" s="1995"/>
      <c r="K7" s="1995"/>
      <c r="L7" s="1995"/>
      <c r="M7" s="1995"/>
      <c r="N7" s="1995"/>
      <c r="O7" s="1995"/>
      <c r="P7" s="1995"/>
      <c r="Q7" s="1995"/>
      <c r="R7" s="1995"/>
      <c r="S7" s="199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6" t="s">
        <v>674</v>
      </c>
      <c r="J9" s="1997"/>
      <c r="K9" s="1997"/>
      <c r="L9" s="1997"/>
      <c r="M9" s="1997"/>
      <c r="N9" s="1997"/>
      <c r="O9" s="1997"/>
      <c r="P9" s="1997"/>
      <c r="Q9" s="1997"/>
      <c r="R9" s="1997"/>
      <c r="S9" s="1998"/>
      <c r="T9" s="2012" t="s">
        <v>533</v>
      </c>
      <c r="U9" s="2013"/>
      <c r="V9" s="2013"/>
      <c r="W9" s="2013"/>
      <c r="X9" s="2013"/>
      <c r="Y9" s="2013"/>
      <c r="Z9" s="2013"/>
      <c r="AA9" s="2014"/>
    </row>
    <row r="10" spans="1:28" ht="13.5" customHeight="1" x14ac:dyDescent="0.2">
      <c r="A10" s="2019" t="s">
        <v>675</v>
      </c>
      <c r="B10" s="2020"/>
      <c r="C10" s="2020"/>
      <c r="D10" s="2020"/>
      <c r="E10" s="2020"/>
      <c r="F10" s="2020"/>
      <c r="G10" s="2020"/>
      <c r="H10" s="2021"/>
      <c r="I10" s="29"/>
      <c r="J10" s="30"/>
      <c r="K10" s="28"/>
      <c r="R10" s="30"/>
      <c r="S10" s="30"/>
      <c r="T10" s="2015"/>
      <c r="U10" s="2000"/>
      <c r="V10" s="2000"/>
      <c r="W10" s="2000"/>
      <c r="X10" s="2000"/>
      <c r="Y10" s="2000"/>
      <c r="Z10" s="2000"/>
      <c r="AA10" s="2006"/>
    </row>
    <row r="11" spans="1:28" ht="14.25" customHeight="1" x14ac:dyDescent="0.2">
      <c r="A11" s="2022" t="s">
        <v>955</v>
      </c>
      <c r="B11" s="2023"/>
      <c r="C11" s="2023"/>
      <c r="D11" s="2023"/>
      <c r="E11" s="2023"/>
      <c r="F11" s="2023"/>
      <c r="G11" s="2023"/>
      <c r="H11" s="2024"/>
      <c r="I11" s="27"/>
      <c r="J11" s="74"/>
      <c r="K11" s="27"/>
      <c r="O11" s="148" t="s">
        <v>2066</v>
      </c>
      <c r="P11" s="100" t="s">
        <v>201</v>
      </c>
      <c r="Q11" s="30"/>
      <c r="R11" s="28"/>
      <c r="S11" s="27"/>
      <c r="T11" s="2016"/>
      <c r="U11" s="2017"/>
      <c r="V11" s="2017"/>
      <c r="W11" s="2017"/>
      <c r="X11" s="2017"/>
      <c r="Y11" s="2017"/>
      <c r="Z11" s="2017"/>
      <c r="AA11" s="201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6">
        <v>53090108002</v>
      </c>
      <c r="B13" s="2027"/>
      <c r="C13" s="2027"/>
      <c r="D13" s="2027"/>
      <c r="E13" s="2027"/>
      <c r="F13" s="2027"/>
      <c r="G13" s="2027"/>
      <c r="H13" s="2028"/>
      <c r="I13" s="31"/>
      <c r="J13" s="30"/>
      <c r="K13" s="28"/>
      <c r="L13" s="30"/>
      <c r="M13" s="30"/>
      <c r="N13" s="30"/>
      <c r="O13" s="30"/>
      <c r="P13" s="30"/>
      <c r="Q13" s="30"/>
      <c r="R13" s="30"/>
      <c r="S13" s="30"/>
      <c r="T13" s="2031" t="s">
        <v>2057</v>
      </c>
      <c r="U13" s="2032"/>
      <c r="V13" s="2032"/>
      <c r="W13" s="2032"/>
      <c r="X13" s="2032"/>
      <c r="Y13" s="2033"/>
      <c r="Z13" s="2033"/>
      <c r="AA13" s="203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5" t="s">
        <v>2070</v>
      </c>
      <c r="B15" s="2029"/>
      <c r="C15" s="2029"/>
      <c r="D15" s="2029"/>
      <c r="E15" s="2029"/>
      <c r="F15" s="2029"/>
      <c r="G15" s="2029"/>
      <c r="H15" s="2030"/>
      <c r="T15" s="2035" t="s">
        <v>2064</v>
      </c>
      <c r="U15" s="1979"/>
      <c r="V15" s="1979"/>
      <c r="W15" s="1979"/>
      <c r="X15" s="1979"/>
      <c r="Y15" s="2036"/>
      <c r="Z15" s="2036"/>
      <c r="AA15" s="203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5" t="s">
        <v>2071</v>
      </c>
      <c r="B17" s="1986"/>
      <c r="C17" s="1986"/>
      <c r="D17" s="1986"/>
      <c r="E17" s="1986"/>
      <c r="F17" s="1986"/>
      <c r="G17" s="1986"/>
      <c r="H17" s="2011"/>
      <c r="T17" s="2042" t="s">
        <v>2058</v>
      </c>
      <c r="U17" s="2043"/>
      <c r="V17" s="2043"/>
      <c r="W17" s="2043"/>
      <c r="X17" s="2043"/>
      <c r="Y17" s="2043"/>
      <c r="Z17" s="2043"/>
      <c r="AA17" s="2044"/>
    </row>
    <row r="18" spans="1:27" ht="13.5" customHeight="1" x14ac:dyDescent="0.2">
      <c r="A18" s="85" t="s">
        <v>530</v>
      </c>
      <c r="B18" s="76"/>
      <c r="C18" s="72"/>
      <c r="D18" s="76"/>
      <c r="E18" s="76"/>
      <c r="F18" s="76"/>
      <c r="G18" s="76"/>
      <c r="H18" s="56"/>
      <c r="I18" s="2010" t="s">
        <v>676</v>
      </c>
      <c r="J18" s="1961"/>
      <c r="K18" s="1961"/>
      <c r="L18" s="1961"/>
      <c r="M18" s="1961"/>
      <c r="N18" s="1961"/>
      <c r="O18" s="1961"/>
      <c r="P18" s="1961"/>
      <c r="Q18" s="1961"/>
      <c r="R18" s="1961"/>
      <c r="S18" s="1962"/>
      <c r="T18" s="85" t="s">
        <v>711</v>
      </c>
      <c r="U18" s="51"/>
      <c r="V18" s="72"/>
      <c r="W18" s="50"/>
      <c r="X18" s="85" t="s">
        <v>266</v>
      </c>
      <c r="Y18" s="81"/>
      <c r="Z18" s="159" t="s">
        <v>677</v>
      </c>
      <c r="AA18" s="46"/>
    </row>
    <row r="19" spans="1:27" ht="13.5" customHeight="1" x14ac:dyDescent="0.2">
      <c r="A19" s="2025" t="s">
        <v>2072</v>
      </c>
      <c r="B19" s="1971"/>
      <c r="C19" s="1971"/>
      <c r="D19" s="1971"/>
      <c r="E19" s="1971"/>
      <c r="F19" s="1971"/>
      <c r="G19" s="1971"/>
      <c r="H19" s="1951"/>
      <c r="I19" s="30"/>
      <c r="J19" s="99"/>
      <c r="K19" s="40"/>
      <c r="L19" s="38"/>
      <c r="M19" s="112" t="s">
        <v>315</v>
      </c>
      <c r="P19" s="27"/>
      <c r="Q19" s="27"/>
      <c r="R19" s="27"/>
      <c r="S19" s="31"/>
      <c r="T19" s="2025" t="s">
        <v>2059</v>
      </c>
      <c r="U19" s="1950"/>
      <c r="V19" s="1950"/>
      <c r="W19" s="1951"/>
      <c r="X19" s="2040" t="s">
        <v>2060</v>
      </c>
      <c r="Y19" s="2041"/>
      <c r="Z19" s="2038">
        <v>61571</v>
      </c>
      <c r="AA19" s="203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9" t="s">
        <v>2073</v>
      </c>
      <c r="B21" s="1950"/>
      <c r="C21" s="1950"/>
      <c r="D21" s="1950"/>
      <c r="E21" s="1950"/>
      <c r="F21" s="1950"/>
      <c r="G21" s="1950"/>
      <c r="H21" s="1951"/>
      <c r="I21" s="2005" t="s">
        <v>678</v>
      </c>
      <c r="J21" s="2000"/>
      <c r="K21" s="2000"/>
      <c r="L21" s="2000"/>
      <c r="M21" s="2000"/>
      <c r="N21" s="2000"/>
      <c r="O21" s="2000"/>
      <c r="P21" s="2000"/>
      <c r="Q21" s="2000"/>
      <c r="R21" s="2000"/>
      <c r="S21" s="2006"/>
      <c r="T21" s="2049" t="s">
        <v>2061</v>
      </c>
      <c r="U21" s="2050"/>
      <c r="V21" s="2050"/>
      <c r="W21" s="2050"/>
      <c r="X21" s="2055" t="s">
        <v>2062</v>
      </c>
      <c r="Y21" s="2056"/>
      <c r="Z21" s="2056"/>
      <c r="AA21" s="2057"/>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2" t="s">
        <v>2074</v>
      </c>
      <c r="B23" s="2003"/>
      <c r="C23" s="2003"/>
      <c r="D23" s="2003"/>
      <c r="E23" s="2003"/>
      <c r="F23" s="2003"/>
      <c r="G23" s="2003"/>
      <c r="H23" s="2004"/>
      <c r="T23" s="1985" t="s">
        <v>2063</v>
      </c>
      <c r="U23" s="2048"/>
      <c r="V23" s="2048"/>
      <c r="W23" s="2048"/>
      <c r="X23" s="2052">
        <v>44530</v>
      </c>
      <c r="Y23" s="2053"/>
      <c r="Z23" s="2053"/>
      <c r="AA23" s="2054"/>
    </row>
    <row r="24" spans="1:27" ht="14.1" customHeight="1" x14ac:dyDescent="0.2">
      <c r="A24" s="88" t="s">
        <v>677</v>
      </c>
      <c r="B24" s="49"/>
      <c r="C24" s="49"/>
      <c r="D24" s="49"/>
      <c r="E24" s="49"/>
      <c r="F24" s="49"/>
      <c r="G24" s="49"/>
      <c r="H24" s="61"/>
      <c r="J24" s="1972">
        <f>IF(B5="x",IF(AUDITCHECK!D29="AFR form Incomplete.","",IF(AUDITCHECK!D29="Deficit reduction plan is required.","School District must complete a deficit reduction plan in the 2019-2020 Budget",)),"")</f>
        <v>0</v>
      </c>
      <c r="K24" s="1972"/>
      <c r="L24" s="1972"/>
      <c r="M24" s="1972"/>
      <c r="N24" s="1972"/>
      <c r="O24" s="1972"/>
      <c r="P24" s="1972"/>
      <c r="Q24" s="1972"/>
      <c r="R24" s="1972"/>
      <c r="S24" s="1973"/>
      <c r="T24" s="105" t="s">
        <v>531</v>
      </c>
      <c r="U24" s="106"/>
      <c r="V24" s="106"/>
      <c r="W24" s="106"/>
      <c r="X24" s="107"/>
      <c r="Y24" s="107"/>
      <c r="Z24" s="107"/>
      <c r="AA24" s="108"/>
    </row>
    <row r="25" spans="1:27" ht="14.1" customHeight="1" x14ac:dyDescent="0.2">
      <c r="A25" s="1949">
        <v>61554</v>
      </c>
      <c r="B25" s="1950"/>
      <c r="C25" s="1950"/>
      <c r="D25" s="1950"/>
      <c r="E25" s="1950"/>
      <c r="F25" s="1950"/>
      <c r="G25" s="1950"/>
      <c r="H25" s="1951"/>
      <c r="I25" s="113"/>
      <c r="J25" s="1974"/>
      <c r="K25" s="1974"/>
      <c r="L25" s="1974"/>
      <c r="M25" s="1974"/>
      <c r="N25" s="1974"/>
      <c r="O25" s="1974"/>
      <c r="P25" s="1974"/>
      <c r="Q25" s="1974"/>
      <c r="R25" s="1974"/>
      <c r="S25" s="1975"/>
      <c r="T25" s="2045" t="s">
        <v>2065</v>
      </c>
      <c r="U25" s="2046"/>
      <c r="V25" s="2046"/>
      <c r="W25" s="2046"/>
      <c r="X25" s="2046"/>
      <c r="Y25" s="2046"/>
      <c r="Z25" s="2046"/>
      <c r="AA25" s="20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0" t="s">
        <v>1511</v>
      </c>
      <c r="J27" s="1961"/>
      <c r="K27" s="1961"/>
      <c r="L27" s="1961"/>
      <c r="M27" s="1961"/>
      <c r="N27" s="1961"/>
      <c r="O27" s="1961"/>
      <c r="P27" s="1961"/>
      <c r="Q27" s="1961"/>
      <c r="R27" s="1961"/>
      <c r="S27" s="196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2066</v>
      </c>
      <c r="F29" s="141" t="s">
        <v>1316</v>
      </c>
      <c r="G29" s="114"/>
      <c r="I29" s="54"/>
      <c r="J29" s="148" t="s">
        <v>2066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2066</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2066</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5" t="s">
        <v>2075</v>
      </c>
      <c r="B38" s="1986"/>
      <c r="C38" s="1986"/>
      <c r="D38" s="1986"/>
      <c r="E38" s="1986"/>
      <c r="F38" s="1950"/>
      <c r="G38" s="1950"/>
      <c r="H38" s="1951"/>
      <c r="I38" s="1978"/>
      <c r="J38" s="1979"/>
      <c r="K38" s="1979"/>
      <c r="L38" s="1979"/>
      <c r="M38" s="1979"/>
      <c r="N38" s="1979"/>
      <c r="O38" s="1979"/>
      <c r="P38" s="1980"/>
      <c r="Q38" s="1980"/>
      <c r="R38" s="1980"/>
      <c r="S38" s="1981"/>
      <c r="T38" s="2035"/>
      <c r="U38" s="1979"/>
      <c r="V38" s="1979"/>
      <c r="W38" s="1979"/>
      <c r="X38" s="1980"/>
      <c r="Y38" s="1980"/>
      <c r="Z38" s="1980"/>
      <c r="AA38" s="1981"/>
    </row>
    <row r="39" spans="1:27" ht="12" customHeight="1" x14ac:dyDescent="0.2">
      <c r="A39" s="1955" t="s">
        <v>531</v>
      </c>
      <c r="B39" s="1956"/>
      <c r="C39" s="72"/>
      <c r="D39" s="69"/>
      <c r="E39" s="69"/>
      <c r="F39" s="79"/>
      <c r="G39" s="69"/>
      <c r="H39" s="56"/>
      <c r="I39" s="1955" t="s">
        <v>531</v>
      </c>
      <c r="J39" s="1956"/>
      <c r="K39" s="1956"/>
      <c r="L39" s="1956"/>
      <c r="M39" s="1956"/>
      <c r="N39" s="67"/>
      <c r="O39" s="72"/>
      <c r="P39" s="72"/>
      <c r="Q39" s="78"/>
      <c r="R39" s="72"/>
      <c r="S39" s="56"/>
      <c r="T39" s="72" t="s">
        <v>531</v>
      </c>
      <c r="U39" s="51"/>
      <c r="V39" s="72"/>
      <c r="W39" s="50"/>
      <c r="X39" s="78"/>
      <c r="Y39" s="45"/>
      <c r="Z39" s="45"/>
      <c r="AA39" s="46"/>
    </row>
    <row r="40" spans="1:27" ht="13.5" customHeight="1" x14ac:dyDescent="0.2">
      <c r="A40" s="1963" t="s">
        <v>2074</v>
      </c>
      <c r="B40" s="1964"/>
      <c r="C40" s="1965"/>
      <c r="D40" s="1965"/>
      <c r="E40" s="1965"/>
      <c r="F40" s="1966"/>
      <c r="G40" s="1966"/>
      <c r="H40" s="1967"/>
      <c r="I40" s="1988"/>
      <c r="J40" s="1989"/>
      <c r="K40" s="1989"/>
      <c r="L40" s="1989"/>
      <c r="M40" s="1989"/>
      <c r="N40" s="1989"/>
      <c r="O40" s="1989"/>
      <c r="P40" s="1989"/>
      <c r="Q40" s="1989"/>
      <c r="R40" s="1989"/>
      <c r="S40" s="1990"/>
      <c r="T40" s="1988"/>
      <c r="U40" s="2051"/>
      <c r="V40" s="1989"/>
      <c r="W40" s="1989"/>
      <c r="X40" s="1989"/>
      <c r="Y40" s="1989"/>
      <c r="Z40" s="1989"/>
      <c r="AA40" s="199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7" t="s">
        <v>2076</v>
      </c>
      <c r="B42" s="1969"/>
      <c r="C42" s="1970"/>
      <c r="D42" s="1968" t="s">
        <v>2077</v>
      </c>
      <c r="E42" s="1969"/>
      <c r="F42" s="1969"/>
      <c r="G42" s="1969"/>
      <c r="H42" s="1970"/>
      <c r="I42" s="1952"/>
      <c r="J42" s="1953"/>
      <c r="K42" s="1953"/>
      <c r="L42" s="1953"/>
      <c r="M42" s="1953"/>
      <c r="N42" s="1953"/>
      <c r="O42" s="1954"/>
      <c r="P42" s="1987"/>
      <c r="Q42" s="1953"/>
      <c r="R42" s="1953"/>
      <c r="S42" s="1954"/>
      <c r="T42" s="1952"/>
      <c r="U42" s="1953"/>
      <c r="V42" s="1953"/>
      <c r="W42" s="1954"/>
      <c r="X42" s="1987"/>
      <c r="Y42" s="1953"/>
      <c r="Z42" s="1953"/>
      <c r="AA42" s="19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2"/>
      <c r="B44" s="1983"/>
      <c r="C44" s="1983"/>
      <c r="D44" s="1983"/>
      <c r="E44" s="1983"/>
      <c r="F44" s="1983"/>
      <c r="G44" s="1983"/>
      <c r="H44" s="1984"/>
      <c r="I44" s="1957"/>
      <c r="J44" s="1958"/>
      <c r="K44" s="1958"/>
      <c r="L44" s="1958"/>
      <c r="M44" s="1958"/>
      <c r="N44" s="1958"/>
      <c r="O44" s="1958"/>
      <c r="P44" s="1958"/>
      <c r="Q44" s="1958"/>
      <c r="R44" s="1958"/>
      <c r="S44" s="1959"/>
      <c r="T44" s="1957"/>
      <c r="U44" s="1976"/>
      <c r="V44" s="1976"/>
      <c r="W44" s="1976"/>
      <c r="X44" s="1976"/>
      <c r="Y44" s="1976"/>
      <c r="Z44" s="1958"/>
      <c r="AA44" s="195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P16" sqref="P1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7" t="s">
        <v>104</v>
      </c>
    </row>
    <row r="2" spans="1:6" ht="39.75" customHeight="1" x14ac:dyDescent="0.2">
      <c r="A2" s="2191" t="s">
        <v>1799</v>
      </c>
      <c r="B2" s="1528" t="s">
        <v>1945</v>
      </c>
      <c r="C2" s="714" t="s">
        <v>1946</v>
      </c>
      <c r="D2" s="714" t="s">
        <v>1947</v>
      </c>
      <c r="E2" s="714" t="s">
        <v>1948</v>
      </c>
      <c r="F2" s="714" t="s">
        <v>1949</v>
      </c>
    </row>
    <row r="3" spans="1:6" ht="12" customHeight="1" x14ac:dyDescent="0.2">
      <c r="A3" s="2192"/>
      <c r="B3" s="1525"/>
      <c r="C3" s="1526"/>
      <c r="D3" s="1527" t="s">
        <v>256</v>
      </c>
      <c r="E3" s="1526"/>
      <c r="F3" s="1527" t="s">
        <v>257</v>
      </c>
    </row>
    <row r="4" spans="1:6" ht="13.7" customHeight="1" x14ac:dyDescent="0.2">
      <c r="A4" s="715" t="s">
        <v>1155</v>
      </c>
      <c r="B4" s="1744">
        <f>'Revenues 9-14'!C5</f>
        <v>11477401</v>
      </c>
      <c r="C4" s="1524"/>
      <c r="D4" s="1747">
        <f>B4-C4</f>
        <v>11477401</v>
      </c>
      <c r="E4" s="1524">
        <v>11761556</v>
      </c>
      <c r="F4" s="1747">
        <f>E4-C4</f>
        <v>11761556</v>
      </c>
    </row>
    <row r="5" spans="1:6" ht="13.7" customHeight="1" x14ac:dyDescent="0.2">
      <c r="A5" s="715" t="s">
        <v>870</v>
      </c>
      <c r="B5" s="1745">
        <f>'Revenues 9-14'!D5</f>
        <v>1667726</v>
      </c>
      <c r="C5" s="585"/>
      <c r="D5" s="1748">
        <f t="shared" ref="D5:D18" si="0">B5-C5</f>
        <v>1667726</v>
      </c>
      <c r="E5" s="585">
        <v>1722472</v>
      </c>
      <c r="F5" s="1748">
        <f>E5-C5</f>
        <v>1722472</v>
      </c>
    </row>
    <row r="6" spans="1:6" ht="13.7" customHeight="1" x14ac:dyDescent="0.2">
      <c r="A6" s="715" t="s">
        <v>411</v>
      </c>
      <c r="B6" s="1745">
        <f>'Revenues 9-14'!E5</f>
        <v>416339</v>
      </c>
      <c r="C6" s="585"/>
      <c r="D6" s="1748">
        <f t="shared" si="0"/>
        <v>416339</v>
      </c>
      <c r="E6" s="585">
        <v>417566</v>
      </c>
      <c r="F6" s="1748">
        <f t="shared" ref="F6:F18" si="1">E6-C6</f>
        <v>417566</v>
      </c>
    </row>
    <row r="7" spans="1:6" ht="13.7" customHeight="1" x14ac:dyDescent="0.2">
      <c r="A7" s="715" t="s">
        <v>155</v>
      </c>
      <c r="B7" s="1745">
        <f>'Revenues 9-14'!F5</f>
        <v>1079121</v>
      </c>
      <c r="C7" s="585"/>
      <c r="D7" s="1748">
        <f t="shared" si="0"/>
        <v>1079121</v>
      </c>
      <c r="E7" s="585">
        <v>1181106</v>
      </c>
      <c r="F7" s="1748">
        <f t="shared" si="1"/>
        <v>1181106</v>
      </c>
    </row>
    <row r="8" spans="1:6" ht="13.7" customHeight="1" x14ac:dyDescent="0.2">
      <c r="A8" s="715" t="s">
        <v>1179</v>
      </c>
      <c r="B8" s="1745">
        <f>'Revenues 9-14'!G5</f>
        <v>245281</v>
      </c>
      <c r="C8" s="585"/>
      <c r="D8" s="1748">
        <f t="shared" si="0"/>
        <v>245281</v>
      </c>
      <c r="E8" s="585">
        <v>255963</v>
      </c>
      <c r="F8" s="1748">
        <f t="shared" si="1"/>
        <v>255963</v>
      </c>
    </row>
    <row r="9" spans="1:6" ht="13.7" customHeight="1" x14ac:dyDescent="0.2">
      <c r="A9" s="715" t="s">
        <v>408</v>
      </c>
      <c r="B9" s="1745">
        <f>'Revenues 9-14'!H5</f>
        <v>0</v>
      </c>
      <c r="C9" s="585"/>
      <c r="D9" s="1748">
        <f t="shared" si="0"/>
        <v>0</v>
      </c>
      <c r="E9" s="585"/>
      <c r="F9" s="1748">
        <f t="shared" si="1"/>
        <v>0</v>
      </c>
    </row>
    <row r="10" spans="1:6" ht="13.7" customHeight="1" x14ac:dyDescent="0.2">
      <c r="A10" s="715" t="s">
        <v>407</v>
      </c>
      <c r="B10" s="1745">
        <f>'Revenues 9-14'!I5</f>
        <v>237210</v>
      </c>
      <c r="C10" s="585"/>
      <c r="D10" s="1748">
        <f t="shared" si="0"/>
        <v>237210</v>
      </c>
      <c r="E10" s="585">
        <v>237932</v>
      </c>
      <c r="F10" s="1748">
        <f t="shared" si="1"/>
        <v>237932</v>
      </c>
    </row>
    <row r="11" spans="1:6" x14ac:dyDescent="0.2">
      <c r="A11" s="715" t="s">
        <v>409</v>
      </c>
      <c r="B11" s="1745">
        <f>'Revenues 9-14'!J5</f>
        <v>0</v>
      </c>
      <c r="C11" s="585"/>
      <c r="D11" s="1748">
        <f t="shared" si="0"/>
        <v>0</v>
      </c>
      <c r="E11" s="585"/>
      <c r="F11" s="1748">
        <f t="shared" si="1"/>
        <v>0</v>
      </c>
    </row>
    <row r="12" spans="1:6" ht="13.7" customHeight="1" x14ac:dyDescent="0.2">
      <c r="A12" s="715" t="s">
        <v>157</v>
      </c>
      <c r="B12" s="1745">
        <f>'Revenues 9-14'!K5</f>
        <v>299249</v>
      </c>
      <c r="C12" s="585"/>
      <c r="D12" s="1748">
        <f t="shared" si="0"/>
        <v>299249</v>
      </c>
      <c r="E12" s="585">
        <v>305126</v>
      </c>
      <c r="F12" s="1748">
        <f t="shared" si="1"/>
        <v>305126</v>
      </c>
    </row>
    <row r="13" spans="1:6" ht="13.7" customHeight="1" x14ac:dyDescent="0.2">
      <c r="A13" s="715" t="s">
        <v>936</v>
      </c>
      <c r="B13" s="1745">
        <f>SUM('Revenues 9-14'!C6:D6)</f>
        <v>0</v>
      </c>
      <c r="C13" s="585"/>
      <c r="D13" s="1748">
        <f t="shared" si="0"/>
        <v>0</v>
      </c>
      <c r="E13" s="585"/>
      <c r="F13" s="1748">
        <f t="shared" si="1"/>
        <v>0</v>
      </c>
    </row>
    <row r="14" spans="1:6" ht="13.7" customHeight="1" x14ac:dyDescent="0.2">
      <c r="A14" s="715" t="s">
        <v>410</v>
      </c>
      <c r="B14" s="1745">
        <f>SUM('Revenues 9-14'!C7:D7,'Revenues 9-14'!F7:H7)</f>
        <v>109930</v>
      </c>
      <c r="C14" s="585"/>
      <c r="D14" s="1748">
        <f t="shared" si="0"/>
        <v>109930</v>
      </c>
      <c r="E14" s="585">
        <v>112247</v>
      </c>
      <c r="F14" s="1748">
        <f t="shared" si="1"/>
        <v>112247</v>
      </c>
    </row>
    <row r="15" spans="1:6" ht="13.7" customHeight="1" x14ac:dyDescent="0.2">
      <c r="A15" s="715" t="s">
        <v>1158</v>
      </c>
      <c r="B15" s="1745">
        <f>SUM('Revenues 9-14'!D9:E9,'Revenues 9-14'!H9)</f>
        <v>0</v>
      </c>
      <c r="C15" s="585"/>
      <c r="D15" s="1748">
        <f t="shared" si="0"/>
        <v>0</v>
      </c>
      <c r="E15" s="585"/>
      <c r="F15" s="1748">
        <f t="shared" si="1"/>
        <v>0</v>
      </c>
    </row>
    <row r="16" spans="1:6" ht="13.7" customHeight="1" x14ac:dyDescent="0.2">
      <c r="A16" s="715" t="s">
        <v>1159</v>
      </c>
      <c r="B16" s="1745">
        <f>'Revenues 9-14'!G8</f>
        <v>169754</v>
      </c>
      <c r="C16" s="585"/>
      <c r="D16" s="1748">
        <f t="shared" si="0"/>
        <v>169754</v>
      </c>
      <c r="E16" s="585">
        <v>182147</v>
      </c>
      <c r="F16" s="1748">
        <f t="shared" si="1"/>
        <v>182147</v>
      </c>
    </row>
    <row r="17" spans="1:6" ht="13.7" customHeight="1" x14ac:dyDescent="0.2">
      <c r="A17" s="715" t="s">
        <v>1160</v>
      </c>
      <c r="B17" s="1745">
        <f>'Revenues 9-14'!C10</f>
        <v>0</v>
      </c>
      <c r="C17" s="585"/>
      <c r="D17" s="1748">
        <f t="shared" si="0"/>
        <v>0</v>
      </c>
      <c r="E17" s="585"/>
      <c r="F17" s="1748">
        <f t="shared" si="1"/>
        <v>0</v>
      </c>
    </row>
    <row r="18" spans="1:6" ht="13.7" customHeight="1" x14ac:dyDescent="0.2">
      <c r="A18" s="715" t="s">
        <v>762</v>
      </c>
      <c r="B18" s="1745">
        <f>SUM('Revenues 9-14'!C11:K11)</f>
        <v>0</v>
      </c>
      <c r="C18" s="585"/>
      <c r="D18" s="1748">
        <f t="shared" si="0"/>
        <v>0</v>
      </c>
      <c r="E18" s="585"/>
      <c r="F18" s="1748">
        <f t="shared" si="1"/>
        <v>0</v>
      </c>
    </row>
    <row r="19" spans="1:6" ht="13.7" customHeight="1" thickBot="1" x14ac:dyDescent="0.25">
      <c r="A19" s="1749" t="s">
        <v>1161</v>
      </c>
      <c r="B19" s="1746">
        <f>SUM(B4:B18)</f>
        <v>15702011</v>
      </c>
      <c r="C19" s="1746">
        <f>SUM(C4:C18)</f>
        <v>0</v>
      </c>
      <c r="D19" s="1746">
        <f>SUM(D4:D18)</f>
        <v>15702011</v>
      </c>
      <c r="E19" s="1746">
        <f>SUM(E4:E18)</f>
        <v>16176115</v>
      </c>
      <c r="F19" s="1746">
        <f>SUM(F4:F18)</f>
        <v>16176115</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P16" sqref="P1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1"/>
      <c r="C1" s="721"/>
    </row>
    <row r="2" spans="1:7" ht="33.75" x14ac:dyDescent="0.2">
      <c r="A2" s="2218" t="s">
        <v>1799</v>
      </c>
      <c r="B2" s="2219"/>
      <c r="C2" s="1878" t="s">
        <v>1950</v>
      </c>
      <c r="D2" s="723" t="s">
        <v>1951</v>
      </c>
      <c r="E2" s="723" t="s">
        <v>1952</v>
      </c>
      <c r="F2" s="1878" t="s">
        <v>1953</v>
      </c>
    </row>
    <row r="3" spans="1:7" ht="15.75" customHeight="1" x14ac:dyDescent="0.2">
      <c r="A3" s="2220" t="s">
        <v>1114</v>
      </c>
      <c r="B3" s="2221"/>
      <c r="C3" s="2214"/>
      <c r="D3" s="2215"/>
      <c r="E3" s="2215"/>
      <c r="F3" s="2216"/>
    </row>
    <row r="4" spans="1:7" ht="12.75" customHeight="1" thickBot="1" x14ac:dyDescent="0.25">
      <c r="A4" s="2208" t="s">
        <v>630</v>
      </c>
      <c r="B4" s="2209"/>
      <c r="C4" s="581"/>
      <c r="D4" s="581"/>
      <c r="E4" s="581"/>
      <c r="F4" s="1750">
        <f>SUM(C4+D4)-E4</f>
        <v>0</v>
      </c>
    </row>
    <row r="5" spans="1:7" ht="15.75" customHeight="1" thickTop="1" x14ac:dyDescent="0.2">
      <c r="A5" s="2212" t="s">
        <v>1110</v>
      </c>
      <c r="B5" s="2207"/>
      <c r="C5" s="2201"/>
      <c r="D5" s="2202"/>
      <c r="E5" s="2202"/>
      <c r="F5" s="2203"/>
    </row>
    <row r="6" spans="1:7" ht="12.75" customHeight="1" thickBot="1" x14ac:dyDescent="0.25">
      <c r="A6" s="724" t="s">
        <v>64</v>
      </c>
      <c r="B6" s="725"/>
      <c r="C6" s="726"/>
      <c r="D6" s="585"/>
      <c r="E6" s="726"/>
      <c r="F6" s="1750">
        <f t="shared" ref="F6:F14" si="0">SUM(C6+D6)-E6</f>
        <v>0</v>
      </c>
    </row>
    <row r="7" spans="1:7" ht="12.75" customHeight="1" thickTop="1" thickBot="1" x14ac:dyDescent="0.25">
      <c r="A7" s="724" t="s">
        <v>6</v>
      </c>
      <c r="B7" s="725"/>
      <c r="C7" s="726"/>
      <c r="D7" s="585"/>
      <c r="E7" s="726"/>
      <c r="F7" s="1750">
        <f t="shared" si="0"/>
        <v>0</v>
      </c>
    </row>
    <row r="8" spans="1:7" ht="12.75" customHeight="1" thickTop="1" thickBot="1" x14ac:dyDescent="0.25">
      <c r="A8" s="724" t="s">
        <v>508</v>
      </c>
      <c r="B8" s="725"/>
      <c r="C8" s="726"/>
      <c r="D8" s="585"/>
      <c r="E8" s="726"/>
      <c r="F8" s="1750">
        <f t="shared" si="0"/>
        <v>0</v>
      </c>
    </row>
    <row r="9" spans="1:7" ht="12.75" customHeight="1" thickTop="1" thickBot="1" x14ac:dyDescent="0.25">
      <c r="A9" s="724" t="s">
        <v>509</v>
      </c>
      <c r="B9" s="725"/>
      <c r="C9" s="726"/>
      <c r="D9" s="585"/>
      <c r="E9" s="726"/>
      <c r="F9" s="1750">
        <f t="shared" si="0"/>
        <v>0</v>
      </c>
    </row>
    <row r="10" spans="1:7" ht="12.75" customHeight="1" thickTop="1" thickBot="1" x14ac:dyDescent="0.25">
      <c r="A10" s="724" t="s">
        <v>510</v>
      </c>
      <c r="B10" s="725"/>
      <c r="C10" s="726"/>
      <c r="D10" s="585"/>
      <c r="E10" s="726"/>
      <c r="F10" s="1750">
        <f t="shared" si="0"/>
        <v>0</v>
      </c>
    </row>
    <row r="11" spans="1:7" ht="12.75" customHeight="1" thickTop="1" thickBot="1" x14ac:dyDescent="0.25">
      <c r="A11" s="724" t="s">
        <v>341</v>
      </c>
      <c r="B11" s="725"/>
      <c r="C11" s="726"/>
      <c r="D11" s="585"/>
      <c r="E11" s="726"/>
      <c r="F11" s="1750">
        <f t="shared" si="0"/>
        <v>0</v>
      </c>
    </row>
    <row r="12" spans="1:7" ht="12.75" customHeight="1" thickTop="1" thickBot="1" x14ac:dyDescent="0.25">
      <c r="A12" s="724" t="s">
        <v>1157</v>
      </c>
      <c r="B12" s="725"/>
      <c r="C12" s="726"/>
      <c r="D12" s="585"/>
      <c r="E12" s="726"/>
      <c r="F12" s="1750">
        <f t="shared" si="0"/>
        <v>0</v>
      </c>
    </row>
    <row r="13" spans="1:7" ht="12.75" customHeight="1" thickTop="1" thickBot="1" x14ac:dyDescent="0.25">
      <c r="A13" s="724" t="s">
        <v>388</v>
      </c>
      <c r="B13" s="725"/>
      <c r="C13" s="726"/>
      <c r="D13" s="585"/>
      <c r="E13" s="726"/>
      <c r="F13" s="1750">
        <f t="shared" si="0"/>
        <v>0</v>
      </c>
    </row>
    <row r="14" spans="1:7" ht="12.75" customHeight="1" thickTop="1" thickBot="1" x14ac:dyDescent="0.25">
      <c r="A14" s="724" t="s">
        <v>448</v>
      </c>
      <c r="B14" s="725"/>
      <c r="C14" s="726"/>
      <c r="D14" s="585"/>
      <c r="E14" s="726"/>
      <c r="F14" s="1750">
        <f t="shared" si="0"/>
        <v>0</v>
      </c>
    </row>
    <row r="15" spans="1:7" ht="14.25" thickTop="1" thickBot="1" x14ac:dyDescent="0.25">
      <c r="A15" s="2204" t="s">
        <v>631</v>
      </c>
      <c r="B15" s="2205"/>
      <c r="C15" s="1750">
        <f>SUM(C6:C14)</f>
        <v>0</v>
      </c>
      <c r="D15" s="1750">
        <f>SUM(D6:D14)</f>
        <v>0</v>
      </c>
      <c r="E15" s="1750">
        <f>SUM(E6:E14)</f>
        <v>0</v>
      </c>
      <c r="F15" s="1750">
        <f>SUM(F6:F14)</f>
        <v>0</v>
      </c>
      <c r="G15" s="552"/>
    </row>
    <row r="16" spans="1:7" s="202" customFormat="1" ht="15.75" customHeight="1" thickTop="1" x14ac:dyDescent="0.2">
      <c r="A16" s="2217" t="s">
        <v>1111</v>
      </c>
      <c r="B16" s="2207"/>
      <c r="C16" s="2201"/>
      <c r="D16" s="2202"/>
      <c r="E16" s="2202"/>
      <c r="F16" s="2203"/>
    </row>
    <row r="17" spans="1:11" ht="12.75" customHeight="1" thickBot="1" x14ac:dyDescent="0.25">
      <c r="A17" s="2199" t="s">
        <v>64</v>
      </c>
      <c r="B17" s="2200"/>
      <c r="C17" s="726"/>
      <c r="D17" s="585"/>
      <c r="E17" s="726"/>
      <c r="F17" s="1750">
        <f>SUM(C17+D17)-E17</f>
        <v>0</v>
      </c>
    </row>
    <row r="18" spans="1:11" ht="12.75" customHeight="1" thickTop="1" thickBot="1" x14ac:dyDescent="0.25">
      <c r="A18" s="2199" t="s">
        <v>6</v>
      </c>
      <c r="B18" s="2200"/>
      <c r="C18" s="726"/>
      <c r="D18" s="585"/>
      <c r="E18" s="726"/>
      <c r="F18" s="1750">
        <f>SUM(C18+D18)-E18</f>
        <v>0</v>
      </c>
    </row>
    <row r="19" spans="1:11" ht="12.75" customHeight="1" thickTop="1" thickBot="1" x14ac:dyDescent="0.25">
      <c r="A19" s="2199" t="s">
        <v>388</v>
      </c>
      <c r="B19" s="2200"/>
      <c r="C19" s="726"/>
      <c r="D19" s="585"/>
      <c r="E19" s="726"/>
      <c r="F19" s="1750">
        <f>SUM(C19+D19)-E19</f>
        <v>0</v>
      </c>
    </row>
    <row r="20" spans="1:11" ht="12.75" customHeight="1" thickTop="1" thickBot="1" x14ac:dyDescent="0.25">
      <c r="A20" s="2199" t="s">
        <v>448</v>
      </c>
      <c r="B20" s="2200"/>
      <c r="C20" s="726"/>
      <c r="D20" s="585"/>
      <c r="E20" s="726"/>
      <c r="F20" s="1750">
        <f>SUM(C20+D20)-E20</f>
        <v>0</v>
      </c>
    </row>
    <row r="21" spans="1:11" ht="14.25" thickTop="1" thickBot="1" x14ac:dyDescent="0.25">
      <c r="A21" s="2204" t="s">
        <v>632</v>
      </c>
      <c r="B21" s="2205"/>
      <c r="C21" s="1750">
        <f>SUM(C17:C20)</f>
        <v>0</v>
      </c>
      <c r="D21" s="1750">
        <f>SUM(D17:D20)</f>
        <v>0</v>
      </c>
      <c r="E21" s="1750">
        <f>SUM(E17:E20)</f>
        <v>0</v>
      </c>
      <c r="F21" s="1750">
        <f>SUM(F17:F20)</f>
        <v>0</v>
      </c>
      <c r="G21" s="552"/>
    </row>
    <row r="22" spans="1:11" ht="15.75" customHeight="1" thickTop="1" x14ac:dyDescent="0.2">
      <c r="A22" s="2206" t="s">
        <v>1112</v>
      </c>
      <c r="B22" s="2207"/>
      <c r="C22" s="2201"/>
      <c r="D22" s="2202"/>
      <c r="E22" s="2202"/>
      <c r="F22" s="2203"/>
    </row>
    <row r="23" spans="1:11" ht="13.5" thickBot="1" x14ac:dyDescent="0.25">
      <c r="A23" s="2208" t="s">
        <v>633</v>
      </c>
      <c r="B23" s="2209"/>
      <c r="C23" s="581"/>
      <c r="D23" s="581"/>
      <c r="E23" s="581"/>
      <c r="F23" s="1750">
        <f>SUM(C23+D23)-E23</f>
        <v>0</v>
      </c>
      <c r="G23" s="552"/>
    </row>
    <row r="24" spans="1:11" ht="15.75" customHeight="1" thickTop="1" x14ac:dyDescent="0.2">
      <c r="A24" s="2206" t="s">
        <v>1113</v>
      </c>
      <c r="B24" s="2207"/>
      <c r="C24" s="2201"/>
      <c r="D24" s="2202"/>
      <c r="E24" s="2202"/>
      <c r="F24" s="2203"/>
    </row>
    <row r="25" spans="1:11" ht="13.5" thickBot="1" x14ac:dyDescent="0.25">
      <c r="A25" s="2208" t="s">
        <v>634</v>
      </c>
      <c r="B25" s="2209"/>
      <c r="C25" s="581"/>
      <c r="D25" s="581"/>
      <c r="E25" s="581"/>
      <c r="F25" s="1750">
        <f>SUM(C25+D25)-E25</f>
        <v>0</v>
      </c>
      <c r="G25" s="552"/>
    </row>
    <row r="26" spans="1:11" ht="15.75" customHeight="1" thickTop="1" x14ac:dyDescent="0.2">
      <c r="A26" s="2212" t="s">
        <v>657</v>
      </c>
      <c r="B26" s="2207"/>
      <c r="C26" s="727"/>
      <c r="D26" s="727"/>
      <c r="E26" s="727"/>
      <c r="F26" s="728"/>
    </row>
    <row r="27" spans="1:11" ht="13.5" thickBot="1" x14ac:dyDescent="0.25">
      <c r="A27" s="2204" t="s">
        <v>1070</v>
      </c>
      <c r="B27" s="2205"/>
      <c r="C27" s="585"/>
      <c r="D27" s="585"/>
      <c r="E27" s="585"/>
      <c r="F27" s="1750">
        <f>SUM(C27+D27)-E27</f>
        <v>0</v>
      </c>
      <c r="G27" s="552"/>
    </row>
    <row r="28" spans="1:11" ht="7.5" customHeight="1" thickTop="1" x14ac:dyDescent="0.2">
      <c r="A28" s="593"/>
    </row>
    <row r="29" spans="1:11" ht="23.25" customHeight="1" x14ac:dyDescent="0.2">
      <c r="A29" s="2210" t="s">
        <v>582</v>
      </c>
      <c r="B29" s="2211"/>
      <c r="C29" s="729"/>
      <c r="D29" s="729"/>
      <c r="E29" s="729"/>
      <c r="F29" s="729"/>
      <c r="G29" s="729"/>
      <c r="H29" s="729"/>
      <c r="I29" s="729"/>
      <c r="J29" s="729"/>
    </row>
    <row r="30" spans="1:11" ht="33.75" x14ac:dyDescent="0.2">
      <c r="A30" s="1529" t="s">
        <v>1071</v>
      </c>
      <c r="B30" s="730" t="s">
        <v>1124</v>
      </c>
      <c r="C30" s="1879" t="s">
        <v>583</v>
      </c>
      <c r="D30" s="1879" t="s">
        <v>1673</v>
      </c>
      <c r="E30" s="1879" t="s">
        <v>1954</v>
      </c>
      <c r="F30" s="1879" t="s">
        <v>1955</v>
      </c>
      <c r="G30" s="1879" t="s">
        <v>1906</v>
      </c>
      <c r="H30" s="1879" t="s">
        <v>1956</v>
      </c>
      <c r="I30" s="1879" t="s">
        <v>1957</v>
      </c>
      <c r="J30" s="1880" t="s">
        <v>2</v>
      </c>
      <c r="K30" s="731"/>
    </row>
    <row r="31" spans="1:11" ht="12" customHeight="1" x14ac:dyDescent="0.2">
      <c r="A31" s="732" t="s">
        <v>2067</v>
      </c>
      <c r="B31" s="733">
        <v>40542</v>
      </c>
      <c r="C31" s="734">
        <v>5000000</v>
      </c>
      <c r="D31" s="735">
        <v>1</v>
      </c>
      <c r="E31" s="734">
        <v>3795000</v>
      </c>
      <c r="F31" s="734"/>
      <c r="G31" s="734"/>
      <c r="H31" s="734">
        <v>260000</v>
      </c>
      <c r="I31" s="1751">
        <f>((E31+F31)-H31)+G31</f>
        <v>3535000</v>
      </c>
      <c r="J31" s="734">
        <f>3535000-173624</f>
        <v>3361376</v>
      </c>
      <c r="K31" s="736"/>
    </row>
    <row r="32" spans="1:11" ht="12" customHeight="1" x14ac:dyDescent="0.2">
      <c r="A32" s="732" t="s">
        <v>2068</v>
      </c>
      <c r="B32" s="733">
        <v>43077</v>
      </c>
      <c r="C32" s="734">
        <v>483650</v>
      </c>
      <c r="D32" s="735">
        <v>7</v>
      </c>
      <c r="E32" s="734">
        <v>402847</v>
      </c>
      <c r="F32" s="734"/>
      <c r="G32" s="734"/>
      <c r="H32" s="734">
        <v>158738</v>
      </c>
      <c r="I32" s="1751">
        <f>((E32+F32)-H32)+G32</f>
        <v>244109</v>
      </c>
      <c r="J32" s="734">
        <v>244109</v>
      </c>
      <c r="K32" s="736"/>
    </row>
    <row r="33" spans="1:11" ht="12" customHeight="1" x14ac:dyDescent="0.2">
      <c r="A33" s="732"/>
      <c r="B33" s="733"/>
      <c r="C33" s="734"/>
      <c r="D33" s="735"/>
      <c r="E33" s="734"/>
      <c r="F33" s="734"/>
      <c r="G33" s="734"/>
      <c r="H33" s="734"/>
      <c r="I33" s="1751">
        <f t="shared" ref="I33:I48" si="1">((E33+F33)-H33)+G33</f>
        <v>0</v>
      </c>
      <c r="J33" s="734"/>
      <c r="K33" s="736"/>
    </row>
    <row r="34" spans="1:11" ht="12" customHeight="1" x14ac:dyDescent="0.2">
      <c r="A34" s="732"/>
      <c r="B34" s="733"/>
      <c r="C34" s="734"/>
      <c r="D34" s="735"/>
      <c r="E34" s="734"/>
      <c r="F34" s="734"/>
      <c r="G34" s="734"/>
      <c r="H34" s="734"/>
      <c r="I34" s="1751">
        <f t="shared" si="1"/>
        <v>0</v>
      </c>
      <c r="J34" s="734"/>
      <c r="K34" s="737"/>
    </row>
    <row r="35" spans="1:11" ht="12" customHeight="1" x14ac:dyDescent="0.2">
      <c r="A35" s="732"/>
      <c r="B35" s="733"/>
      <c r="C35" s="738"/>
      <c r="D35" s="735"/>
      <c r="E35" s="738"/>
      <c r="F35" s="738"/>
      <c r="G35" s="738"/>
      <c r="H35" s="738"/>
      <c r="I35" s="1751">
        <f t="shared" si="1"/>
        <v>0</v>
      </c>
      <c r="J35" s="738"/>
      <c r="K35" s="737"/>
    </row>
    <row r="36" spans="1:11" ht="12" customHeight="1" x14ac:dyDescent="0.2">
      <c r="A36" s="732"/>
      <c r="B36" s="733"/>
      <c r="C36" s="734"/>
      <c r="D36" s="735"/>
      <c r="E36" s="734"/>
      <c r="F36" s="734"/>
      <c r="G36" s="734"/>
      <c r="H36" s="734"/>
      <c r="I36" s="1751">
        <f t="shared" si="1"/>
        <v>0</v>
      </c>
      <c r="J36" s="734"/>
      <c r="K36" s="739"/>
    </row>
    <row r="37" spans="1:11" ht="12" customHeight="1" x14ac:dyDescent="0.2">
      <c r="A37" s="732"/>
      <c r="B37" s="733"/>
      <c r="C37" s="467"/>
      <c r="D37" s="740"/>
      <c r="E37" s="467"/>
      <c r="F37" s="467"/>
      <c r="G37" s="467"/>
      <c r="H37" s="467"/>
      <c r="I37" s="1751">
        <f t="shared" si="1"/>
        <v>0</v>
      </c>
      <c r="J37" s="467"/>
      <c r="K37" s="737"/>
    </row>
    <row r="38" spans="1:11" ht="12" customHeight="1" x14ac:dyDescent="0.2">
      <c r="A38" s="732"/>
      <c r="B38" s="733"/>
      <c r="C38" s="734"/>
      <c r="D38" s="741"/>
      <c r="E38" s="742"/>
      <c r="F38" s="742"/>
      <c r="G38" s="742"/>
      <c r="H38" s="742"/>
      <c r="I38" s="1751">
        <f t="shared" si="1"/>
        <v>0</v>
      </c>
      <c r="J38" s="743" t="s">
        <v>264</v>
      </c>
      <c r="K38" s="744"/>
    </row>
    <row r="39" spans="1:11" ht="12" customHeight="1" x14ac:dyDescent="0.2">
      <c r="A39" s="732"/>
      <c r="B39" s="733"/>
      <c r="C39" s="734"/>
      <c r="D39" s="741"/>
      <c r="E39" s="742"/>
      <c r="F39" s="742"/>
      <c r="G39" s="742"/>
      <c r="H39" s="742"/>
      <c r="I39" s="1751">
        <f t="shared" si="1"/>
        <v>0</v>
      </c>
      <c r="J39" s="743"/>
      <c r="K39" s="744"/>
    </row>
    <row r="40" spans="1:11" ht="12" customHeight="1" x14ac:dyDescent="0.2">
      <c r="A40" s="732"/>
      <c r="B40" s="733"/>
      <c r="C40" s="734"/>
      <c r="D40" s="741"/>
      <c r="E40" s="742"/>
      <c r="F40" s="742"/>
      <c r="G40" s="742"/>
      <c r="H40" s="742"/>
      <c r="I40" s="1751">
        <f t="shared" si="1"/>
        <v>0</v>
      </c>
      <c r="J40" s="743"/>
      <c r="K40" s="744"/>
    </row>
    <row r="41" spans="1:11" ht="12" customHeight="1" x14ac:dyDescent="0.2">
      <c r="A41" s="732"/>
      <c r="B41" s="733"/>
      <c r="C41" s="734"/>
      <c r="D41" s="741"/>
      <c r="E41" s="742"/>
      <c r="F41" s="742"/>
      <c r="G41" s="742"/>
      <c r="H41" s="742"/>
      <c r="I41" s="1751">
        <f t="shared" si="1"/>
        <v>0</v>
      </c>
      <c r="J41" s="743"/>
      <c r="K41" s="744"/>
    </row>
    <row r="42" spans="1:11" ht="12" customHeight="1" x14ac:dyDescent="0.2">
      <c r="A42" s="732"/>
      <c r="B42" s="733"/>
      <c r="C42" s="734"/>
      <c r="D42" s="741"/>
      <c r="E42" s="742"/>
      <c r="F42" s="742"/>
      <c r="G42" s="742"/>
      <c r="H42" s="742"/>
      <c r="I42" s="1751">
        <f t="shared" si="1"/>
        <v>0</v>
      </c>
      <c r="J42" s="743"/>
      <c r="K42" s="744"/>
    </row>
    <row r="43" spans="1:11" ht="12" customHeight="1" x14ac:dyDescent="0.2">
      <c r="A43" s="732"/>
      <c r="B43" s="733"/>
      <c r="C43" s="734"/>
      <c r="D43" s="741"/>
      <c r="E43" s="742"/>
      <c r="F43" s="742"/>
      <c r="G43" s="742"/>
      <c r="H43" s="742"/>
      <c r="I43" s="1751">
        <f t="shared" si="1"/>
        <v>0</v>
      </c>
      <c r="J43" s="743"/>
      <c r="K43" s="744"/>
    </row>
    <row r="44" spans="1:11" ht="12" customHeight="1" x14ac:dyDescent="0.2">
      <c r="A44" s="732"/>
      <c r="B44" s="733"/>
      <c r="C44" s="734"/>
      <c r="D44" s="735"/>
      <c r="E44" s="734"/>
      <c r="F44" s="734"/>
      <c r="G44" s="734"/>
      <c r="H44" s="734"/>
      <c r="I44" s="1751">
        <f t="shared" si="1"/>
        <v>0</v>
      </c>
      <c r="J44" s="734"/>
      <c r="K44" s="737"/>
    </row>
    <row r="45" spans="1:11" ht="12" customHeight="1" x14ac:dyDescent="0.2">
      <c r="A45" s="732"/>
      <c r="B45" s="733"/>
      <c r="C45" s="734"/>
      <c r="D45" s="735"/>
      <c r="E45" s="734"/>
      <c r="F45" s="734"/>
      <c r="G45" s="734"/>
      <c r="H45" s="734"/>
      <c r="I45" s="1751">
        <f t="shared" si="1"/>
        <v>0</v>
      </c>
      <c r="J45" s="734"/>
      <c r="K45" s="737"/>
    </row>
    <row r="46" spans="1:11" ht="12" customHeight="1" x14ac:dyDescent="0.2">
      <c r="A46" s="732"/>
      <c r="B46" s="733"/>
      <c r="C46" s="734"/>
      <c r="D46" s="735"/>
      <c r="E46" s="734"/>
      <c r="F46" s="734"/>
      <c r="G46" s="734"/>
      <c r="H46" s="734"/>
      <c r="I46" s="1751">
        <f t="shared" si="1"/>
        <v>0</v>
      </c>
      <c r="J46" s="734"/>
      <c r="K46" s="737"/>
    </row>
    <row r="47" spans="1:11" ht="12" customHeight="1" x14ac:dyDescent="0.2">
      <c r="A47" s="732"/>
      <c r="B47" s="733"/>
      <c r="C47" s="738"/>
      <c r="D47" s="735"/>
      <c r="E47" s="738"/>
      <c r="F47" s="738"/>
      <c r="G47" s="738"/>
      <c r="H47" s="738"/>
      <c r="I47" s="1751">
        <f t="shared" si="1"/>
        <v>0</v>
      </c>
      <c r="J47" s="738"/>
      <c r="K47" s="737"/>
    </row>
    <row r="48" spans="1:11" ht="12" customHeight="1" x14ac:dyDescent="0.2">
      <c r="A48" s="732"/>
      <c r="B48" s="733"/>
      <c r="C48" s="734"/>
      <c r="D48" s="735"/>
      <c r="E48" s="734"/>
      <c r="F48" s="734"/>
      <c r="G48" s="734"/>
      <c r="H48" s="734"/>
      <c r="I48" s="1751">
        <f t="shared" si="1"/>
        <v>0</v>
      </c>
      <c r="J48" s="734"/>
      <c r="K48" s="737"/>
    </row>
    <row r="49" spans="1:11" ht="12" customHeight="1" x14ac:dyDescent="0.2">
      <c r="A49" s="732"/>
      <c r="B49" s="733"/>
      <c r="C49" s="1751">
        <f>SUM(C31:C48)</f>
        <v>5483650</v>
      </c>
      <c r="D49" s="745"/>
      <c r="E49" s="1751">
        <f t="shared" ref="E49:J49" si="2">SUM(E31:E48)</f>
        <v>4197847</v>
      </c>
      <c r="F49" s="1751">
        <f t="shared" si="2"/>
        <v>0</v>
      </c>
      <c r="G49" s="1751">
        <f t="shared" si="2"/>
        <v>0</v>
      </c>
      <c r="H49" s="1751">
        <f t="shared" si="2"/>
        <v>418738</v>
      </c>
      <c r="I49" s="1751">
        <f t="shared" si="2"/>
        <v>3779109</v>
      </c>
      <c r="J49" s="1751">
        <f t="shared" si="2"/>
        <v>3605485</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3" t="s">
        <v>584</v>
      </c>
      <c r="C52" s="2194"/>
      <c r="D52" s="2194"/>
      <c r="E52" s="749" t="s">
        <v>845</v>
      </c>
      <c r="F52" s="2195" t="s">
        <v>2068</v>
      </c>
      <c r="G52" s="2196"/>
      <c r="H52" s="736"/>
      <c r="I52" s="736"/>
      <c r="J52" s="746"/>
    </row>
    <row r="53" spans="1:11" ht="11.25" customHeight="1" x14ac:dyDescent="0.2">
      <c r="A53" s="750" t="s">
        <v>913</v>
      </c>
      <c r="B53" s="751" t="s">
        <v>951</v>
      </c>
      <c r="C53" s="746"/>
      <c r="D53" s="737"/>
      <c r="E53" s="749" t="s">
        <v>497</v>
      </c>
      <c r="F53" s="2197"/>
      <c r="G53" s="2198"/>
      <c r="H53" s="736"/>
      <c r="I53" s="736"/>
      <c r="J53" s="746"/>
    </row>
    <row r="54" spans="1:11" ht="11.25" customHeight="1" x14ac:dyDescent="0.2">
      <c r="A54" s="752" t="s">
        <v>914</v>
      </c>
      <c r="B54" s="747" t="s">
        <v>952</v>
      </c>
      <c r="C54" s="746"/>
      <c r="D54" s="737"/>
      <c r="E54" s="749" t="s">
        <v>498</v>
      </c>
      <c r="F54" s="2197"/>
      <c r="G54" s="219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P16" sqref="P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856</v>
      </c>
      <c r="B1" s="2223"/>
      <c r="C1" s="2223"/>
      <c r="D1" s="2223"/>
      <c r="E1" s="2223"/>
      <c r="F1" s="2223"/>
      <c r="G1" s="2224"/>
      <c r="H1" s="1530"/>
      <c r="I1" s="760"/>
      <c r="J1" s="433"/>
    </row>
    <row r="2" spans="1:11" ht="26.25" x14ac:dyDescent="0.2">
      <c r="A2" s="2241" t="s">
        <v>1677</v>
      </c>
      <c r="B2" s="2242"/>
      <c r="C2" s="2242"/>
      <c r="D2" s="2242"/>
      <c r="E2" s="2243"/>
      <c r="F2" s="761" t="s">
        <v>904</v>
      </c>
      <c r="G2" s="762" t="s">
        <v>1674</v>
      </c>
      <c r="H2" s="762" t="s">
        <v>410</v>
      </c>
      <c r="I2" s="762" t="s">
        <v>1158</v>
      </c>
      <c r="J2" s="762" t="s">
        <v>1809</v>
      </c>
      <c r="K2" s="762" t="s">
        <v>138</v>
      </c>
    </row>
    <row r="3" spans="1:11" x14ac:dyDescent="0.2">
      <c r="A3" s="2244" t="s">
        <v>1958</v>
      </c>
      <c r="B3" s="2245"/>
      <c r="C3" s="2245"/>
      <c r="D3" s="2245"/>
      <c r="E3" s="2246"/>
      <c r="F3" s="763"/>
      <c r="G3" s="764"/>
      <c r="H3" s="764"/>
      <c r="I3" s="764"/>
      <c r="J3" s="765"/>
      <c r="K3" s="765"/>
    </row>
    <row r="4" spans="1:11" x14ac:dyDescent="0.2">
      <c r="A4" s="2247" t="s">
        <v>369</v>
      </c>
      <c r="B4" s="2248"/>
      <c r="C4" s="2248"/>
      <c r="D4" s="2248"/>
      <c r="E4" s="2194"/>
      <c r="F4" s="766"/>
      <c r="G4" s="767"/>
      <c r="H4" s="768"/>
      <c r="I4" s="767"/>
      <c r="J4" s="769"/>
      <c r="K4" s="769"/>
    </row>
    <row r="5" spans="1:11" x14ac:dyDescent="0.2">
      <c r="A5" s="2225" t="s">
        <v>1069</v>
      </c>
      <c r="B5" s="2226"/>
      <c r="C5" s="2226"/>
      <c r="D5" s="2226"/>
      <c r="E5" s="2227"/>
      <c r="F5" s="770" t="s">
        <v>848</v>
      </c>
      <c r="G5" s="771"/>
      <c r="H5" s="764">
        <v>109930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5" t="s">
        <v>1810</v>
      </c>
      <c r="B10" s="2226"/>
      <c r="C10" s="2226"/>
      <c r="D10" s="2226"/>
      <c r="E10" s="2228"/>
      <c r="F10" s="783" t="s">
        <v>862</v>
      </c>
      <c r="G10" s="782"/>
      <c r="H10" s="784"/>
      <c r="I10" s="764"/>
      <c r="J10" s="765"/>
      <c r="K10" s="765"/>
    </row>
    <row r="11" spans="1:11" x14ac:dyDescent="0.2">
      <c r="A11" s="2225" t="s">
        <v>160</v>
      </c>
      <c r="B11" s="2226"/>
      <c r="C11" s="2226"/>
      <c r="D11" s="2226"/>
      <c r="E11" s="2227"/>
      <c r="F11" s="770" t="s">
        <v>852</v>
      </c>
      <c r="G11" s="771"/>
      <c r="H11" s="764"/>
      <c r="I11" s="764"/>
      <c r="J11" s="765"/>
      <c r="K11" s="773"/>
    </row>
    <row r="12" spans="1:11" ht="13.5" thickBot="1" x14ac:dyDescent="0.25">
      <c r="A12" s="2252" t="s">
        <v>905</v>
      </c>
      <c r="B12" s="2253"/>
      <c r="C12" s="2253"/>
      <c r="D12" s="2253"/>
      <c r="E12" s="2254"/>
      <c r="F12" s="1752"/>
      <c r="G12" s="1753">
        <f>SUM(G5:G11)</f>
        <v>0</v>
      </c>
      <c r="H12" s="1753">
        <f>SUM(H5:H11)</f>
        <v>109930</v>
      </c>
      <c r="I12" s="1753">
        <f>SUM(I5:I11)</f>
        <v>0</v>
      </c>
      <c r="J12" s="1753">
        <f>SUM(J5:J11)</f>
        <v>0</v>
      </c>
      <c r="K12" s="1753">
        <f>SUM(K5:K11)</f>
        <v>0</v>
      </c>
    </row>
    <row r="13" spans="1:11" ht="13.5" thickTop="1" x14ac:dyDescent="0.2">
      <c r="A13" s="2249" t="s">
        <v>370</v>
      </c>
      <c r="B13" s="2250"/>
      <c r="C13" s="2250"/>
      <c r="D13" s="2250"/>
      <c r="E13" s="2251"/>
      <c r="F13" s="785"/>
      <c r="G13" s="786"/>
      <c r="H13" s="787"/>
      <c r="I13" s="788"/>
      <c r="J13" s="788"/>
      <c r="K13" s="788"/>
    </row>
    <row r="14" spans="1:11" x14ac:dyDescent="0.2">
      <c r="A14" s="2232" t="s">
        <v>456</v>
      </c>
      <c r="B14" s="2232"/>
      <c r="C14" s="2232"/>
      <c r="D14" s="2232"/>
      <c r="E14" s="2233"/>
      <c r="F14" s="789" t="s">
        <v>854</v>
      </c>
      <c r="G14" s="782"/>
      <c r="H14" s="764">
        <v>109930</v>
      </c>
      <c r="I14" s="771"/>
      <c r="J14" s="773"/>
      <c r="K14" s="765"/>
    </row>
    <row r="15" spans="1:11" x14ac:dyDescent="0.2">
      <c r="A15" s="2226" t="s">
        <v>4</v>
      </c>
      <c r="B15" s="2226"/>
      <c r="C15" s="2226"/>
      <c r="D15" s="2226"/>
      <c r="E15" s="2227"/>
      <c r="F15" s="789" t="s">
        <v>855</v>
      </c>
      <c r="G15" s="771"/>
      <c r="H15" s="764"/>
      <c r="I15" s="764"/>
      <c r="J15" s="765"/>
      <c r="K15" s="765"/>
    </row>
    <row r="16" spans="1:11" x14ac:dyDescent="0.2">
      <c r="A16" s="2226" t="s">
        <v>298</v>
      </c>
      <c r="B16" s="2226"/>
      <c r="C16" s="2226"/>
      <c r="D16" s="2226"/>
      <c r="E16" s="2227"/>
      <c r="F16" s="789" t="s">
        <v>923</v>
      </c>
      <c r="G16" s="772"/>
      <c r="H16" s="767"/>
      <c r="I16" s="767"/>
      <c r="J16" s="769"/>
      <c r="K16" s="769"/>
    </row>
    <row r="17" spans="1:11" x14ac:dyDescent="0.2">
      <c r="A17" s="2257" t="s">
        <v>935</v>
      </c>
      <c r="B17" s="2257"/>
      <c r="C17" s="2257"/>
      <c r="D17" s="2257"/>
      <c r="E17" s="2258"/>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34" t="s">
        <v>1806</v>
      </c>
      <c r="B19" s="2234"/>
      <c r="C19" s="2234"/>
      <c r="D19" s="2234"/>
      <c r="E19" s="2235"/>
      <c r="F19" s="789" t="s">
        <v>933</v>
      </c>
      <c r="G19" s="782"/>
      <c r="H19" s="782"/>
      <c r="I19" s="782"/>
      <c r="J19" s="765"/>
      <c r="K19" s="795"/>
    </row>
    <row r="20" spans="1:11" x14ac:dyDescent="0.2">
      <c r="A20" s="2236" t="s">
        <v>1811</v>
      </c>
      <c r="B20" s="2237"/>
      <c r="C20" s="2237"/>
      <c r="D20" s="2237"/>
      <c r="E20" s="2238"/>
      <c r="F20" s="789" t="s">
        <v>934</v>
      </c>
      <c r="G20" s="782"/>
      <c r="H20" s="782"/>
      <c r="I20" s="782"/>
      <c r="J20" s="765"/>
      <c r="K20" s="795"/>
    </row>
    <row r="21" spans="1:11" ht="13.5" thickBot="1" x14ac:dyDescent="0.25">
      <c r="A21" s="2255" t="s">
        <v>638</v>
      </c>
      <c r="B21" s="2255"/>
      <c r="C21" s="2255"/>
      <c r="D21" s="2255"/>
      <c r="E21" s="2255"/>
      <c r="F21" s="1754"/>
      <c r="G21" s="792"/>
      <c r="H21" s="796"/>
      <c r="I21" s="796"/>
      <c r="J21" s="1755">
        <f>SUM(J18:J20)</f>
        <v>0</v>
      </c>
      <c r="K21" s="793"/>
    </row>
    <row r="22" spans="1:11" ht="13.5" thickTop="1" x14ac:dyDescent="0.2">
      <c r="A22" s="2226" t="s">
        <v>1812</v>
      </c>
      <c r="B22" s="2226"/>
      <c r="C22" s="2226"/>
      <c r="D22" s="2226"/>
      <c r="E22" s="2227"/>
      <c r="F22" s="789" t="s">
        <v>862</v>
      </c>
      <c r="G22" s="782"/>
      <c r="H22" s="764"/>
      <c r="I22" s="764"/>
      <c r="J22" s="797"/>
      <c r="K22" s="765"/>
    </row>
    <row r="23" spans="1:11" ht="13.5" thickBot="1" x14ac:dyDescent="0.25">
      <c r="A23" s="2256" t="s">
        <v>906</v>
      </c>
      <c r="B23" s="2255"/>
      <c r="C23" s="2255"/>
      <c r="D23" s="2255"/>
      <c r="E23" s="2255"/>
      <c r="F23" s="1756"/>
      <c r="G23" s="1753">
        <f>SUM(G14:G16,G21,G22)</f>
        <v>0</v>
      </c>
      <c r="H23" s="1753">
        <f>SUM(H14:H16,H21,H22)</f>
        <v>109930</v>
      </c>
      <c r="I23" s="1753">
        <f>SUM(I14:I16,I21,I22)</f>
        <v>0</v>
      </c>
      <c r="J23" s="1753">
        <f>SUM(J14:J16,J21,J22)</f>
        <v>0</v>
      </c>
      <c r="K23" s="1753">
        <f>SUM(K14:K16,K21,K22)</f>
        <v>0</v>
      </c>
    </row>
    <row r="24" spans="1:11" ht="14.25" thickTop="1" thickBot="1" x14ac:dyDescent="0.25">
      <c r="A24" s="2256" t="s">
        <v>1959</v>
      </c>
      <c r="B24" s="2255"/>
      <c r="C24" s="2255"/>
      <c r="D24" s="2255"/>
      <c r="E24" s="2255"/>
      <c r="F24" s="1757"/>
      <c r="G24" s="1758">
        <f>SUM(G3,G12)-G23</f>
        <v>0</v>
      </c>
      <c r="H24" s="1758">
        <f>SUM(H3,H12)-H23</f>
        <v>0</v>
      </c>
      <c r="I24" s="1758">
        <f>SUM(I3,I12)-I23</f>
        <v>0</v>
      </c>
      <c r="J24" s="1758">
        <f>SUM(J3,J12)-J23</f>
        <v>0</v>
      </c>
      <c r="K24" s="1758">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3">
        <f>G24-G25</f>
        <v>0</v>
      </c>
      <c r="H26" s="1753">
        <f>H24-H25</f>
        <v>0</v>
      </c>
      <c r="I26" s="1753">
        <f>I24-I25</f>
        <v>0</v>
      </c>
      <c r="J26" s="1753">
        <f>J24-J25</f>
        <v>0</v>
      </c>
      <c r="K26" s="1753">
        <f>K24-K25</f>
        <v>0</v>
      </c>
    </row>
    <row r="27" spans="1:11" ht="5.25" customHeight="1" thickTop="1" x14ac:dyDescent="0.2">
      <c r="I27" s="202"/>
      <c r="J27" s="202"/>
    </row>
    <row r="28" spans="1:11" ht="29.25" customHeight="1" x14ac:dyDescent="0.2">
      <c r="A28" s="1874" t="s">
        <v>1905</v>
      </c>
      <c r="B28" s="1875"/>
      <c r="C28" s="1875"/>
      <c r="D28" s="1875"/>
      <c r="E28" s="1876"/>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9"/>
      <c r="I31" s="2230"/>
      <c r="J31" s="2230"/>
      <c r="K31" s="2230"/>
    </row>
    <row r="32" spans="1:11" x14ac:dyDescent="0.2">
      <c r="A32" s="809"/>
      <c r="B32" s="237"/>
      <c r="C32" s="237"/>
      <c r="D32" s="237"/>
      <c r="E32" s="805"/>
      <c r="F32" s="811" t="s">
        <v>540</v>
      </c>
      <c r="G32" s="764"/>
      <c r="H32" s="2231"/>
      <c r="I32" s="2230"/>
      <c r="J32" s="2230"/>
      <c r="K32" s="2230"/>
    </row>
    <row r="33" spans="1:11" ht="1.5" customHeight="1" x14ac:dyDescent="0.2">
      <c r="A33" s="812" t="s">
        <v>1169</v>
      </c>
      <c r="B33" s="364"/>
      <c r="C33" s="364"/>
      <c r="D33" s="364"/>
      <c r="E33" s="364"/>
      <c r="F33" s="364"/>
      <c r="G33" s="813"/>
      <c r="H33" s="2231"/>
      <c r="I33" s="2230"/>
      <c r="J33" s="2230"/>
      <c r="K33" s="2230"/>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6" t="s">
        <v>541</v>
      </c>
      <c r="B41" s="2239"/>
      <c r="C41" s="2239"/>
      <c r="D41" s="2239"/>
      <c r="E41" s="2239"/>
      <c r="F41" s="224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P16" sqref="P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1904</v>
      </c>
      <c r="B1" s="2262"/>
      <c r="C1" s="2263"/>
      <c r="D1" s="826"/>
      <c r="E1" s="827"/>
      <c r="F1" s="827"/>
      <c r="G1" s="828"/>
      <c r="H1" s="829"/>
      <c r="I1" s="830"/>
      <c r="J1" s="2259"/>
      <c r="K1" s="2260"/>
      <c r="L1" s="2260"/>
    </row>
    <row r="2" spans="1:14" ht="69.75" customHeight="1" x14ac:dyDescent="0.2">
      <c r="A2" s="831" t="s">
        <v>1678</v>
      </c>
      <c r="B2" s="832" t="s">
        <v>378</v>
      </c>
      <c r="C2" s="833" t="s">
        <v>1960</v>
      </c>
      <c r="D2" s="833" t="s">
        <v>1961</v>
      </c>
      <c r="E2" s="833" t="s">
        <v>1962</v>
      </c>
      <c r="F2" s="833" t="s">
        <v>1963</v>
      </c>
      <c r="G2" s="833" t="s">
        <v>605</v>
      </c>
      <c r="H2" s="833" t="s">
        <v>1964</v>
      </c>
      <c r="I2" s="833" t="s">
        <v>1965</v>
      </c>
      <c r="J2" s="833" t="s">
        <v>1966</v>
      </c>
      <c r="K2" s="833" t="s">
        <v>1967</v>
      </c>
      <c r="L2" s="833" t="s">
        <v>1968</v>
      </c>
      <c r="M2" s="834"/>
      <c r="N2" s="834"/>
    </row>
    <row r="3" spans="1:14" ht="13.5" thickBot="1" x14ac:dyDescent="0.25">
      <c r="A3" s="1629" t="s">
        <v>892</v>
      </c>
      <c r="B3" s="1630">
        <v>210</v>
      </c>
      <c r="C3" s="835"/>
      <c r="D3" s="835"/>
      <c r="E3" s="835"/>
      <c r="F3" s="1755">
        <f>(C3+D3)-E3</f>
        <v>0</v>
      </c>
      <c r="G3" s="836"/>
      <c r="H3" s="835"/>
      <c r="I3" s="835"/>
      <c r="J3" s="835"/>
      <c r="K3" s="1764">
        <f>(H3+I3)-J3</f>
        <v>0</v>
      </c>
      <c r="L3" s="1764">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378038</v>
      </c>
      <c r="D5" s="841"/>
      <c r="E5" s="841"/>
      <c r="F5" s="1755">
        <f>(C5+D5)-E5</f>
        <v>378038</v>
      </c>
      <c r="G5" s="837"/>
      <c r="H5" s="842"/>
      <c r="I5" s="842"/>
      <c r="J5" s="842"/>
      <c r="K5" s="793"/>
      <c r="L5" s="1764">
        <f>F5-K5</f>
        <v>378038</v>
      </c>
    </row>
    <row r="6" spans="1:14" ht="14.25" thickTop="1" thickBot="1" x14ac:dyDescent="0.25">
      <c r="A6" s="778" t="s">
        <v>1117</v>
      </c>
      <c r="B6" s="840">
        <v>222</v>
      </c>
      <c r="C6" s="765"/>
      <c r="D6" s="765"/>
      <c r="E6" s="765"/>
      <c r="F6" s="1755">
        <f>(C6+D6)-E6</f>
        <v>0</v>
      </c>
      <c r="G6" s="837">
        <v>50</v>
      </c>
      <c r="H6" s="765"/>
      <c r="I6" s="765"/>
      <c r="J6" s="765"/>
      <c r="K6" s="1764">
        <f>(H6+I6)-J6</f>
        <v>0</v>
      </c>
      <c r="L6" s="1764">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60716118</v>
      </c>
      <c r="D8" s="844">
        <v>564405</v>
      </c>
      <c r="E8" s="844"/>
      <c r="F8" s="1755">
        <f>(C8+D8)-E8</f>
        <v>61280523</v>
      </c>
      <c r="G8" s="843">
        <v>50</v>
      </c>
      <c r="H8" s="765">
        <v>26423103</v>
      </c>
      <c r="I8" s="765">
        <v>1127425</v>
      </c>
      <c r="J8" s="765"/>
      <c r="K8" s="1764">
        <f>(H8+I8)-J8</f>
        <v>27550528</v>
      </c>
      <c r="L8" s="1764">
        <f>F8-K8</f>
        <v>33729995</v>
      </c>
    </row>
    <row r="9" spans="1:14" ht="14.25" thickTop="1" thickBot="1" x14ac:dyDescent="0.25">
      <c r="A9" s="778" t="s">
        <v>1119</v>
      </c>
      <c r="B9" s="840">
        <v>232</v>
      </c>
      <c r="C9" s="765"/>
      <c r="D9" s="765"/>
      <c r="E9" s="765"/>
      <c r="F9" s="1755">
        <f>(C9+D9)-E9</f>
        <v>0</v>
      </c>
      <c r="G9" s="843">
        <v>20</v>
      </c>
      <c r="H9" s="765"/>
      <c r="I9" s="765"/>
      <c r="J9" s="765"/>
      <c r="K9" s="1764">
        <f>(H9+I9)-J9</f>
        <v>0</v>
      </c>
      <c r="L9" s="1764">
        <f>F9-K9</f>
        <v>0</v>
      </c>
    </row>
    <row r="10" spans="1:14" ht="24" thickTop="1" thickBot="1" x14ac:dyDescent="0.25">
      <c r="A10" s="845" t="s">
        <v>1120</v>
      </c>
      <c r="B10" s="840">
        <v>240</v>
      </c>
      <c r="C10" s="846">
        <v>248387</v>
      </c>
      <c r="D10" s="846"/>
      <c r="E10" s="846"/>
      <c r="F10" s="1759">
        <f>(C10+D10)-E10</f>
        <v>248387</v>
      </c>
      <c r="G10" s="843">
        <v>20</v>
      </c>
      <c r="H10" s="847">
        <v>222515</v>
      </c>
      <c r="I10" s="847">
        <v>1408</v>
      </c>
      <c r="J10" s="847"/>
      <c r="K10" s="1764">
        <f>(H10+I10)-J10</f>
        <v>223923</v>
      </c>
      <c r="L10" s="1764">
        <f>F10-K10</f>
        <v>24464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3848037</v>
      </c>
      <c r="D12" s="844">
        <v>95001</v>
      </c>
      <c r="E12" s="844">
        <v>597564</v>
      </c>
      <c r="F12" s="1755">
        <f>(C12+D12)-E12</f>
        <v>3345474</v>
      </c>
      <c r="G12" s="843">
        <v>10</v>
      </c>
      <c r="H12" s="765">
        <v>2659600</v>
      </c>
      <c r="I12" s="765">
        <v>325048</v>
      </c>
      <c r="J12" s="765">
        <v>597564</v>
      </c>
      <c r="K12" s="1764">
        <f>(H12+I12)-J12</f>
        <v>2387084</v>
      </c>
      <c r="L12" s="1764">
        <f>F12-K12</f>
        <v>958390</v>
      </c>
    </row>
    <row r="13" spans="1:14" ht="14.25" thickTop="1" thickBot="1" x14ac:dyDescent="0.25">
      <c r="A13" s="848" t="s">
        <v>1122</v>
      </c>
      <c r="B13" s="840">
        <v>252</v>
      </c>
      <c r="C13" s="844"/>
      <c r="D13" s="844"/>
      <c r="E13" s="844"/>
      <c r="F13" s="1755">
        <f>(C13+D13)-E13</f>
        <v>0</v>
      </c>
      <c r="G13" s="843">
        <v>5</v>
      </c>
      <c r="H13" s="765"/>
      <c r="I13" s="765"/>
      <c r="J13" s="765"/>
      <c r="K13" s="1764">
        <f>(H13+I13)-J13</f>
        <v>0</v>
      </c>
      <c r="L13" s="1764">
        <f>F13-K13</f>
        <v>0</v>
      </c>
    </row>
    <row r="14" spans="1:14" ht="14.25" thickTop="1" thickBot="1" x14ac:dyDescent="0.25">
      <c r="A14" s="848" t="s">
        <v>1123</v>
      </c>
      <c r="B14" s="840">
        <v>253</v>
      </c>
      <c r="C14" s="765"/>
      <c r="D14" s="765"/>
      <c r="E14" s="765"/>
      <c r="F14" s="1755">
        <f>(C14+D14)-E14</f>
        <v>0</v>
      </c>
      <c r="G14" s="843">
        <v>3</v>
      </c>
      <c r="H14" s="765"/>
      <c r="I14" s="765"/>
      <c r="J14" s="765"/>
      <c r="K14" s="1764">
        <f>(H14+I14)-J14</f>
        <v>0</v>
      </c>
      <c r="L14" s="1764">
        <f>F14-K14</f>
        <v>0</v>
      </c>
    </row>
    <row r="15" spans="1:14" ht="15" customHeight="1" thickTop="1" thickBot="1" x14ac:dyDescent="0.25">
      <c r="A15" s="1631" t="s">
        <v>528</v>
      </c>
      <c r="B15" s="1630">
        <v>260</v>
      </c>
      <c r="C15" s="844"/>
      <c r="D15" s="844">
        <v>127827</v>
      </c>
      <c r="E15" s="844"/>
      <c r="F15" s="1755">
        <f>(C15+D15)-E15</f>
        <v>127827</v>
      </c>
      <c r="G15" s="849" t="s">
        <v>862</v>
      </c>
      <c r="H15" s="781"/>
      <c r="I15" s="781"/>
      <c r="J15" s="781"/>
      <c r="K15" s="781"/>
      <c r="L15" s="1764">
        <f>F15-K15</f>
        <v>127827</v>
      </c>
    </row>
    <row r="16" spans="1:14" ht="15" customHeight="1" thickTop="1" thickBot="1" x14ac:dyDescent="0.25">
      <c r="A16" s="1760" t="s">
        <v>643</v>
      </c>
      <c r="B16" s="1761">
        <v>200</v>
      </c>
      <c r="C16" s="1755">
        <f>SUM(C3,C5:C6,C8:C10,C12:C15)</f>
        <v>65190580</v>
      </c>
      <c r="D16" s="1755">
        <f>SUM(D3,D5:D6,D8:D10,D12:D15)</f>
        <v>787233</v>
      </c>
      <c r="E16" s="1755">
        <f>SUM(E3,E5:E6,E8:E10,E12:E15)</f>
        <v>597564</v>
      </c>
      <c r="F16" s="1755">
        <f>SUM(F3,F5:F6,F8:F10,F12:F15)</f>
        <v>65380249</v>
      </c>
      <c r="G16" s="843"/>
      <c r="H16" s="1755">
        <f>SUM(H3,H6,H8:H10,H12:H14,)</f>
        <v>29305218</v>
      </c>
      <c r="I16" s="1755">
        <f>SUM(I3,I6,I8:I10,I12:I14,)</f>
        <v>1453881</v>
      </c>
      <c r="J16" s="1755">
        <f>SUM(J3,J6,J8:J10,J12:J14,)</f>
        <v>597564</v>
      </c>
      <c r="K16" s="1755">
        <f>(H16+I16)-J16</f>
        <v>30161535</v>
      </c>
      <c r="L16" s="1755">
        <f>F16-K16</f>
        <v>35218714</v>
      </c>
    </row>
    <row r="17" spans="1:12" ht="15" customHeight="1" thickTop="1" thickBot="1" x14ac:dyDescent="0.25">
      <c r="A17" s="1633" t="s">
        <v>291</v>
      </c>
      <c r="B17" s="1630">
        <v>700</v>
      </c>
      <c r="C17" s="769"/>
      <c r="D17" s="769"/>
      <c r="E17" s="769"/>
      <c r="F17" s="1755">
        <f>SUM('Expenditures 15-22'!I114,'Expenditures 15-22'!I151,'Expenditures 15-22'!I210,'Expenditures 15-22'!I312,'Expenditures 15-22'!I342,'Expenditures 15-22'!I367)</f>
        <v>0</v>
      </c>
      <c r="G17" s="837">
        <v>10</v>
      </c>
      <c r="H17" s="769"/>
      <c r="I17" s="1764">
        <f>F17/G17</f>
        <v>0</v>
      </c>
      <c r="J17" s="769"/>
      <c r="K17" s="795"/>
      <c r="L17" s="795"/>
    </row>
    <row r="18" spans="1:12" ht="14.25" thickTop="1" thickBot="1" x14ac:dyDescent="0.25">
      <c r="A18" s="1762" t="s">
        <v>685</v>
      </c>
      <c r="B18" s="1763"/>
      <c r="C18" s="771"/>
      <c r="D18" s="771"/>
      <c r="E18" s="771"/>
      <c r="F18" s="850"/>
      <c r="G18" s="851"/>
      <c r="H18" s="773"/>
      <c r="I18" s="1755">
        <f>SUM(I16,I17)</f>
        <v>1453881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3" activePane="bottomLeft" state="frozen"/>
      <selection activeCell="P16" sqref="P16"/>
      <selection pane="bottomLeft" activeCell="P16" sqref="P1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1969</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2">
        <f>'Expenditures 15-22'!K114</f>
        <v>30449743</v>
      </c>
      <c r="G8" s="865"/>
    </row>
    <row r="9" spans="1:7" x14ac:dyDescent="0.2">
      <c r="A9" s="869" t="s">
        <v>460</v>
      </c>
      <c r="B9" s="870" t="s">
        <v>1872</v>
      </c>
      <c r="C9" s="871"/>
      <c r="D9" s="869" t="s">
        <v>501</v>
      </c>
      <c r="E9" s="868"/>
      <c r="F9" s="1903">
        <f>'Expenditures 15-22'!K151</f>
        <v>2691795</v>
      </c>
      <c r="G9" s="872"/>
    </row>
    <row r="10" spans="1:7" x14ac:dyDescent="0.2">
      <c r="A10" s="869" t="s">
        <v>499</v>
      </c>
      <c r="B10" s="870" t="s">
        <v>1873</v>
      </c>
      <c r="C10" s="871"/>
      <c r="D10" s="869" t="s">
        <v>501</v>
      </c>
      <c r="E10" s="868"/>
      <c r="F10" s="1903">
        <f>'Expenditures 15-22'!K174</f>
        <v>661178</v>
      </c>
      <c r="G10" s="872"/>
    </row>
    <row r="11" spans="1:7" x14ac:dyDescent="0.2">
      <c r="A11" s="869" t="s">
        <v>461</v>
      </c>
      <c r="B11" s="870" t="s">
        <v>1874</v>
      </c>
      <c r="C11" s="871"/>
      <c r="D11" s="869" t="s">
        <v>501</v>
      </c>
      <c r="E11" s="868"/>
      <c r="F11" s="1903">
        <f>'Expenditures 15-22'!K210</f>
        <v>2988714</v>
      </c>
      <c r="G11" s="872"/>
    </row>
    <row r="12" spans="1:7" x14ac:dyDescent="0.2">
      <c r="A12" s="869" t="s">
        <v>462</v>
      </c>
      <c r="B12" s="870" t="s">
        <v>1875</v>
      </c>
      <c r="C12" s="871"/>
      <c r="D12" s="869" t="s">
        <v>501</v>
      </c>
      <c r="E12" s="868"/>
      <c r="F12" s="1903">
        <f>'Expenditures 15-22'!K295</f>
        <v>853673</v>
      </c>
      <c r="G12" s="872"/>
    </row>
    <row r="13" spans="1:7" x14ac:dyDescent="0.2">
      <c r="A13" s="869" t="s">
        <v>106</v>
      </c>
      <c r="B13" s="870" t="s">
        <v>1876</v>
      </c>
      <c r="C13" s="871"/>
      <c r="D13" s="869" t="s">
        <v>501</v>
      </c>
      <c r="E13" s="868"/>
      <c r="F13" s="1903">
        <f>'Expenditures 15-22'!K342</f>
        <v>0</v>
      </c>
      <c r="G13" s="873"/>
    </row>
    <row r="14" spans="1:7" ht="12" customHeight="1" thickBot="1" x14ac:dyDescent="0.25">
      <c r="A14" s="1765"/>
      <c r="B14" s="1766"/>
      <c r="C14" s="1767"/>
      <c r="D14" s="1768" t="s">
        <v>501</v>
      </c>
      <c r="E14" s="1769" t="s">
        <v>958</v>
      </c>
      <c r="F14" s="1770">
        <f>SUM(F8:F13)</f>
        <v>37645103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4">
        <f>'Revenues 9-14'!F43</f>
        <v>0</v>
      </c>
      <c r="G18" s="865"/>
    </row>
    <row r="19" spans="1:7" x14ac:dyDescent="0.2">
      <c r="A19" s="869" t="s">
        <v>461</v>
      </c>
      <c r="B19" s="870" t="s">
        <v>1011</v>
      </c>
      <c r="C19" s="877">
        <f>'Revenues 9-14'!B47</f>
        <v>1421</v>
      </c>
      <c r="D19" s="878" t="str">
        <f>'Revenues 9-14'!A47</f>
        <v>Summer Sch - Transp. Fees from Pupils or Parents (In State)</v>
      </c>
      <c r="E19" s="879"/>
      <c r="F19" s="1905">
        <f>'Revenues 9-14'!F47</f>
        <v>0</v>
      </c>
      <c r="G19" s="865"/>
    </row>
    <row r="20" spans="1:7" x14ac:dyDescent="0.2">
      <c r="A20" s="869" t="s">
        <v>461</v>
      </c>
      <c r="B20" s="870" t="s">
        <v>1012</v>
      </c>
      <c r="C20" s="875">
        <f>'Revenues 9-14'!B48</f>
        <v>1422</v>
      </c>
      <c r="D20" s="876" t="str">
        <f>'Revenues 9-14'!A48</f>
        <v>Summer Sch - Transp. Fees from Other Districts (In State)</v>
      </c>
      <c r="E20" s="868"/>
      <c r="F20" s="1906">
        <f>'Revenues 9-14'!F48</f>
        <v>0</v>
      </c>
      <c r="G20" s="865"/>
    </row>
    <row r="21" spans="1:7" x14ac:dyDescent="0.2">
      <c r="A21" s="869" t="s">
        <v>461</v>
      </c>
      <c r="B21" s="870" t="s">
        <v>1013</v>
      </c>
      <c r="C21" s="877">
        <f>'Revenues 9-14'!B49</f>
        <v>1423</v>
      </c>
      <c r="D21" s="876" t="str">
        <f>'Revenues 9-14'!A49</f>
        <v>Summer Sch - Transp. Fees from Other Sources (In State)</v>
      </c>
      <c r="E21" s="868"/>
      <c r="F21" s="1907">
        <f>'Revenues 9-14'!F49</f>
        <v>0</v>
      </c>
      <c r="G21" s="865"/>
    </row>
    <row r="22" spans="1:7" x14ac:dyDescent="0.2">
      <c r="A22" s="869" t="s">
        <v>461</v>
      </c>
      <c r="B22" s="870" t="s">
        <v>1014</v>
      </c>
      <c r="C22" s="877">
        <f>'Revenues 9-14'!B50</f>
        <v>1424</v>
      </c>
      <c r="D22" s="876" t="str">
        <f>'Revenues 9-14'!A50</f>
        <v>Summer Sch - Transp. Fees from Other Sources (Out of State)</v>
      </c>
      <c r="E22" s="868"/>
      <c r="F22" s="1907">
        <f>'Revenues 9-14'!F50</f>
        <v>0</v>
      </c>
      <c r="G22" s="865"/>
    </row>
    <row r="23" spans="1:7" x14ac:dyDescent="0.2">
      <c r="A23" s="869" t="s">
        <v>461</v>
      </c>
      <c r="B23" s="870" t="s">
        <v>1015</v>
      </c>
      <c r="C23" s="875">
        <f>'Revenues 9-14'!B52</f>
        <v>1432</v>
      </c>
      <c r="D23" s="876" t="str">
        <f>'Revenues 9-14'!A52</f>
        <v>CTE - Transp Fees from Other Districts (In State)</v>
      </c>
      <c r="E23" s="868"/>
      <c r="F23" s="1907">
        <f>'Revenues 9-14'!F52</f>
        <v>0</v>
      </c>
      <c r="G23" s="865"/>
    </row>
    <row r="24" spans="1:7" x14ac:dyDescent="0.2">
      <c r="A24" s="869" t="s">
        <v>461</v>
      </c>
      <c r="B24" s="870" t="s">
        <v>1016</v>
      </c>
      <c r="C24" s="875">
        <f>'Revenues 9-14'!B56</f>
        <v>1442</v>
      </c>
      <c r="D24" s="876" t="str">
        <f>'Revenues 9-14'!A56</f>
        <v>Special Ed - Transp Fees from Other Districts (In State)</v>
      </c>
      <c r="E24" s="868"/>
      <c r="F24" s="1907">
        <f>'Revenues 9-14'!F56</f>
        <v>0</v>
      </c>
      <c r="G24" s="865"/>
    </row>
    <row r="25" spans="1:7" x14ac:dyDescent="0.2">
      <c r="A25" s="869" t="s">
        <v>461</v>
      </c>
      <c r="B25" s="870" t="s">
        <v>1017</v>
      </c>
      <c r="C25" s="875">
        <f>'Revenues 9-14'!B59</f>
        <v>1451</v>
      </c>
      <c r="D25" s="876" t="str">
        <f>'Revenues 9-14'!A59</f>
        <v>Adult - Transp Fees from Pupils or Parents (In State)</v>
      </c>
      <c r="E25" s="868"/>
      <c r="F25" s="1907">
        <f>'Revenues 9-14'!F59</f>
        <v>0</v>
      </c>
      <c r="G25" s="865"/>
    </row>
    <row r="26" spans="1:7" x14ac:dyDescent="0.2">
      <c r="A26" s="869" t="s">
        <v>461</v>
      </c>
      <c r="B26" s="870" t="s">
        <v>1018</v>
      </c>
      <c r="C26" s="875">
        <f>'Revenues 9-14'!B60</f>
        <v>1452</v>
      </c>
      <c r="D26" s="876" t="str">
        <f>'Revenues 9-14'!A60</f>
        <v>Adult - Transp Fees from Other Districts (In State)</v>
      </c>
      <c r="E26" s="868"/>
      <c r="F26" s="1907">
        <f>'Revenues 9-14'!F60</f>
        <v>0</v>
      </c>
      <c r="G26" s="865"/>
    </row>
    <row r="27" spans="1:7" x14ac:dyDescent="0.2">
      <c r="A27" s="869" t="s">
        <v>461</v>
      </c>
      <c r="B27" s="870" t="s">
        <v>1019</v>
      </c>
      <c r="C27" s="875">
        <f>'Revenues 9-14'!B61</f>
        <v>1453</v>
      </c>
      <c r="D27" s="876" t="str">
        <f>'Revenues 9-14'!A61</f>
        <v>Adult - Transp Fees from Other Sources (In State)</v>
      </c>
      <c r="E27" s="868"/>
      <c r="F27" s="1907">
        <f>'Revenues 9-14'!F61</f>
        <v>0</v>
      </c>
      <c r="G27" s="865"/>
    </row>
    <row r="28" spans="1:7" x14ac:dyDescent="0.2">
      <c r="A28" s="869" t="s">
        <v>461</v>
      </c>
      <c r="B28" s="870" t="s">
        <v>1020</v>
      </c>
      <c r="C28" s="875">
        <f>'Revenues 9-14'!B62</f>
        <v>1454</v>
      </c>
      <c r="D28" s="876" t="str">
        <f>'Revenues 9-14'!A62</f>
        <v>Adult - Transp Fees from Other Sources (Out of State)</v>
      </c>
      <c r="E28" s="868"/>
      <c r="F28" s="1907">
        <f>'Revenues 9-14'!F62</f>
        <v>0</v>
      </c>
      <c r="G28" s="865"/>
    </row>
    <row r="29" spans="1:7" x14ac:dyDescent="0.2">
      <c r="A29" s="869" t="s">
        <v>1097</v>
      </c>
      <c r="B29" s="870" t="s">
        <v>810</v>
      </c>
      <c r="C29" s="880">
        <f>'Revenues 9-14'!B149</f>
        <v>3410</v>
      </c>
      <c r="D29" s="881" t="str">
        <f>'Revenues 9-14'!A149</f>
        <v>Adult Ed (from ICCB)</v>
      </c>
      <c r="E29" s="868"/>
      <c r="F29" s="1907">
        <f>SUM('Revenues 9-14'!D149,'Revenues 9-14'!F149)</f>
        <v>0</v>
      </c>
      <c r="G29" s="865"/>
    </row>
    <row r="30" spans="1:7" x14ac:dyDescent="0.2">
      <c r="A30" s="869" t="s">
        <v>1097</v>
      </c>
      <c r="B30" s="870" t="s">
        <v>1992</v>
      </c>
      <c r="C30" s="880">
        <f>'Revenues 9-14'!B150</f>
        <v>3499</v>
      </c>
      <c r="D30" s="881" t="str">
        <f>'Revenues 9-14'!A150</f>
        <v>Adult Ed - Other (Describe &amp; Itemize)</v>
      </c>
      <c r="E30" s="868"/>
      <c r="F30" s="1908">
        <f>('Revenues 9-14'!D150+'Revenues 9-14'!F150)</f>
        <v>0</v>
      </c>
      <c r="G30" s="865"/>
    </row>
    <row r="31" spans="1:7" x14ac:dyDescent="0.2">
      <c r="A31" s="869" t="s">
        <v>1097</v>
      </c>
      <c r="B31" s="870" t="s">
        <v>1993</v>
      </c>
      <c r="C31" s="875">
        <f>'Revenues 9-14'!B211</f>
        <v>4600</v>
      </c>
      <c r="D31" s="883" t="str">
        <f>'Revenues 9-14'!A211</f>
        <v>Fed - Spec Education - Preschool Flow-Through</v>
      </c>
      <c r="E31" s="884"/>
      <c r="F31" s="1907">
        <f>SUM('Revenues 9-14'!D211,'Revenues 9-14'!F211)</f>
        <v>0</v>
      </c>
      <c r="G31" s="865"/>
    </row>
    <row r="32" spans="1:7" x14ac:dyDescent="0.2">
      <c r="A32" s="869" t="s">
        <v>1097</v>
      </c>
      <c r="B32" s="870" t="s">
        <v>1994</v>
      </c>
      <c r="C32" s="875">
        <f>'Revenues 9-14'!B212</f>
        <v>4605</v>
      </c>
      <c r="D32" s="885" t="str">
        <f>'Revenues 9-14'!A212</f>
        <v>Fed - Spec Education - Preschool Discretionary</v>
      </c>
      <c r="E32" s="884"/>
      <c r="F32" s="1907">
        <f>SUM('Revenues 9-14'!D212,'Revenues 9-14'!F212)</f>
        <v>0</v>
      </c>
      <c r="G32" s="865"/>
    </row>
    <row r="33" spans="1:7" x14ac:dyDescent="0.2">
      <c r="A33" s="869" t="s">
        <v>460</v>
      </c>
      <c r="B33" s="870" t="s">
        <v>1995</v>
      </c>
      <c r="C33" s="875">
        <f>'Revenues 9-14'!B222</f>
        <v>4810</v>
      </c>
      <c r="D33" s="883" t="str">
        <f>'Revenues 9-14'!A222</f>
        <v>Federal - Adult Education</v>
      </c>
      <c r="E33" s="868"/>
      <c r="F33" s="1907">
        <f>'Revenues 9-14'!D222</f>
        <v>0</v>
      </c>
      <c r="G33" s="865"/>
    </row>
    <row r="34" spans="1:7" x14ac:dyDescent="0.2">
      <c r="A34" s="869" t="s">
        <v>459</v>
      </c>
      <c r="B34" s="869" t="s">
        <v>1469</v>
      </c>
      <c r="C34" s="886" t="str">
        <f>'Expenditures 15-22'!B7</f>
        <v>1125</v>
      </c>
      <c r="D34" s="887" t="str">
        <f>'Expenditures 15-22'!A7</f>
        <v>Pre-K Programs</v>
      </c>
      <c r="E34" s="868"/>
      <c r="F34" s="1907">
        <f>'Expenditures 15-22'!K7-SUM('Expenditures 15-22'!G7,'Expenditures 15-22'!I7)</f>
        <v>494126</v>
      </c>
      <c r="G34" s="865"/>
    </row>
    <row r="35" spans="1:7" x14ac:dyDescent="0.2">
      <c r="A35" s="869" t="s">
        <v>459</v>
      </c>
      <c r="B35" s="869" t="s">
        <v>1470</v>
      </c>
      <c r="C35" s="886" t="str">
        <f>'Expenditures 15-22'!B9</f>
        <v>1225</v>
      </c>
      <c r="D35" s="887" t="str">
        <f>'Expenditures 15-22'!A9</f>
        <v>Special Education Programs Pre-K</v>
      </c>
      <c r="E35" s="868"/>
      <c r="F35" s="1907">
        <f>'Expenditures 15-22'!K9-SUM('Expenditures 15-22'!G9+'Expenditures 15-22'!I9)</f>
        <v>418497</v>
      </c>
      <c r="G35" s="865"/>
    </row>
    <row r="36" spans="1:7" x14ac:dyDescent="0.2">
      <c r="A36" s="869" t="s">
        <v>459</v>
      </c>
      <c r="B36" s="869" t="s">
        <v>116</v>
      </c>
      <c r="C36" s="886" t="str">
        <f>'Expenditures 15-22'!B11</f>
        <v>1275</v>
      </c>
      <c r="D36" s="887" t="str">
        <f>'Expenditures 15-22'!A11</f>
        <v>Remedial and Supplemental Programs Pre-K</v>
      </c>
      <c r="E36" s="868"/>
      <c r="F36" s="1907">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7">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7">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7">
        <f>'Expenditures 15-22'!K20</f>
        <v>0</v>
      </c>
      <c r="G39" s="865"/>
    </row>
    <row r="40" spans="1:7" x14ac:dyDescent="0.2">
      <c r="A40" s="869" t="s">
        <v>459</v>
      </c>
      <c r="B40" s="869" t="s">
        <v>118</v>
      </c>
      <c r="C40" s="886" t="str">
        <f>'Expenditures 15-22'!B21</f>
        <v>1911</v>
      </c>
      <c r="D40" s="888" t="str">
        <f>'Expenditures 15-22'!A21</f>
        <v>Regular K-12 Programs - Private Tuition</v>
      </c>
      <c r="E40" s="868"/>
      <c r="F40" s="1907">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7">
        <f>'Expenditures 15-22'!K22</f>
        <v>1108559</v>
      </c>
      <c r="G41" s="865"/>
    </row>
    <row r="42" spans="1:7" x14ac:dyDescent="0.2">
      <c r="A42" s="869" t="s">
        <v>459</v>
      </c>
      <c r="B42" s="869" t="s">
        <v>120</v>
      </c>
      <c r="C42" s="889" t="str">
        <f>'Expenditures 15-22'!B23</f>
        <v>1913</v>
      </c>
      <c r="D42" s="888" t="str">
        <f>'Expenditures 15-22'!A23</f>
        <v>Special Education Programs Pre-K - Tuition</v>
      </c>
      <c r="E42" s="868"/>
      <c r="F42" s="1907">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7">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7">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7">
        <f>'Expenditures 15-22'!K26</f>
        <v>0</v>
      </c>
      <c r="G45" s="865"/>
    </row>
    <row r="46" spans="1:7" x14ac:dyDescent="0.2">
      <c r="A46" s="869" t="s">
        <v>459</v>
      </c>
      <c r="B46" s="869" t="s">
        <v>124</v>
      </c>
      <c r="C46" s="886" t="str">
        <f>'Expenditures 15-22'!B27</f>
        <v>1917</v>
      </c>
      <c r="D46" s="888" t="str">
        <f>'Expenditures 15-22'!A27</f>
        <v>CTE Programs - Private Tuition</v>
      </c>
      <c r="E46" s="868"/>
      <c r="F46" s="1907">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7">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7">
        <f>'Expenditures 15-22'!K29</f>
        <v>0</v>
      </c>
      <c r="G48" s="865"/>
    </row>
    <row r="49" spans="1:7" x14ac:dyDescent="0.2">
      <c r="A49" s="869" t="s">
        <v>459</v>
      </c>
      <c r="B49" s="869" t="s">
        <v>127</v>
      </c>
      <c r="C49" s="886" t="str">
        <f>'Expenditures 15-22'!B30</f>
        <v>1920</v>
      </c>
      <c r="D49" s="888" t="str">
        <f>'Expenditures 15-22'!A30</f>
        <v>Gifted Programs - Private Tuition</v>
      </c>
      <c r="E49" s="868"/>
      <c r="F49" s="1907">
        <f>'Expenditures 15-22'!K30</f>
        <v>0</v>
      </c>
      <c r="G49" s="865"/>
    </row>
    <row r="50" spans="1:7" x14ac:dyDescent="0.2">
      <c r="A50" s="869" t="s">
        <v>459</v>
      </c>
      <c r="B50" s="869" t="s">
        <v>128</v>
      </c>
      <c r="C50" s="886" t="str">
        <f>'Expenditures 15-22'!B31</f>
        <v>1921</v>
      </c>
      <c r="D50" s="888" t="str">
        <f>'Expenditures 15-22'!A31</f>
        <v>Bilingual Programs - Private Tuition</v>
      </c>
      <c r="E50" s="868"/>
      <c r="F50" s="1907">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7">
        <f>'Expenditures 15-22'!K32</f>
        <v>0</v>
      </c>
      <c r="G51" s="865"/>
    </row>
    <row r="52" spans="1:7" x14ac:dyDescent="0.2">
      <c r="A52" s="869" t="s">
        <v>459</v>
      </c>
      <c r="B52" s="869" t="s">
        <v>1474</v>
      </c>
      <c r="C52" s="889" t="str">
        <f>'Expenditures 15-22'!B75</f>
        <v>3000</v>
      </c>
      <c r="D52" s="888" t="s">
        <v>449</v>
      </c>
      <c r="E52" s="868"/>
      <c r="F52" s="1907">
        <f>'Expenditures 15-22'!K75-SUM('Expenditures 15-22'!G75,'Expenditures 15-22'!I75)</f>
        <v>274927</v>
      </c>
      <c r="G52" s="865"/>
    </row>
    <row r="53" spans="1:7" x14ac:dyDescent="0.2">
      <c r="A53" s="869" t="s">
        <v>459</v>
      </c>
      <c r="B53" s="869" t="s">
        <v>1475</v>
      </c>
      <c r="C53" s="889">
        <f>'Expenditures 15-22'!B102</f>
        <v>4000</v>
      </c>
      <c r="D53" s="888" t="str">
        <f>'Expenditures 15-22'!A102</f>
        <v>Total Payments to Other Govt Units</v>
      </c>
      <c r="E53" s="868"/>
      <c r="F53" s="1907">
        <f>'Expenditures 15-22'!K102</f>
        <v>690201</v>
      </c>
      <c r="G53" s="865"/>
    </row>
    <row r="54" spans="1:7" x14ac:dyDescent="0.2">
      <c r="A54" s="869" t="s">
        <v>459</v>
      </c>
      <c r="B54" s="869" t="s">
        <v>1476</v>
      </c>
      <c r="C54" s="889" t="s">
        <v>982</v>
      </c>
      <c r="D54" s="885" t="s">
        <v>1095</v>
      </c>
      <c r="E54" s="868"/>
      <c r="F54" s="1907">
        <f>'Expenditures 15-22'!G114</f>
        <v>132270</v>
      </c>
      <c r="G54" s="865"/>
    </row>
    <row r="55" spans="1:7" x14ac:dyDescent="0.2">
      <c r="A55" s="869" t="s">
        <v>459</v>
      </c>
      <c r="B55" s="869" t="s">
        <v>1477</v>
      </c>
      <c r="C55" s="889" t="s">
        <v>982</v>
      </c>
      <c r="D55" s="885" t="s">
        <v>291</v>
      </c>
      <c r="E55" s="868"/>
      <c r="F55" s="1907">
        <f>'Expenditures 15-22'!I114</f>
        <v>0</v>
      </c>
      <c r="G55" s="865"/>
    </row>
    <row r="56" spans="1:7" x14ac:dyDescent="0.2">
      <c r="A56" s="869" t="s">
        <v>460</v>
      </c>
      <c r="B56" s="869" t="s">
        <v>1478</v>
      </c>
      <c r="C56" s="886" t="str">
        <f>'Expenditures 15-22'!B130</f>
        <v>3000</v>
      </c>
      <c r="D56" s="892" t="s">
        <v>449</v>
      </c>
      <c r="E56" s="868"/>
      <c r="F56" s="1907">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07">
        <f>'Expenditures 15-22'!K139</f>
        <v>0</v>
      </c>
      <c r="G57" s="865"/>
    </row>
    <row r="58" spans="1:7" x14ac:dyDescent="0.2">
      <c r="A58" s="869" t="s">
        <v>460</v>
      </c>
      <c r="B58" s="869" t="s">
        <v>1878</v>
      </c>
      <c r="C58" s="886" t="s">
        <v>982</v>
      </c>
      <c r="D58" s="885" t="s">
        <v>1095</v>
      </c>
      <c r="E58" s="868"/>
      <c r="F58" s="1909">
        <f>'Expenditures 15-22'!G151</f>
        <v>306809</v>
      </c>
      <c r="G58" s="865"/>
    </row>
    <row r="59" spans="1:7" x14ac:dyDescent="0.2">
      <c r="A59" s="893" t="s">
        <v>460</v>
      </c>
      <c r="B59" s="856" t="s">
        <v>1879</v>
      </c>
      <c r="C59" s="894" t="s">
        <v>982</v>
      </c>
      <c r="D59" s="856" t="s">
        <v>291</v>
      </c>
      <c r="F59" s="1910">
        <f>'Expenditures 15-22'!I151</f>
        <v>0</v>
      </c>
      <c r="G59" s="865"/>
    </row>
    <row r="60" spans="1:7" x14ac:dyDescent="0.2">
      <c r="A60" s="893" t="s">
        <v>499</v>
      </c>
      <c r="B60" s="856" t="s">
        <v>1880</v>
      </c>
      <c r="C60" s="894">
        <v>4000</v>
      </c>
      <c r="D60" s="856" t="s">
        <v>312</v>
      </c>
      <c r="F60" s="1908">
        <f>'Expenditures 15-22'!K160</f>
        <v>0</v>
      </c>
      <c r="G60" s="865"/>
    </row>
    <row r="61" spans="1:7" x14ac:dyDescent="0.2">
      <c r="A61" s="895" t="s">
        <v>499</v>
      </c>
      <c r="B61" s="895" t="s">
        <v>1881</v>
      </c>
      <c r="C61" s="896" t="str">
        <f>'Expenditures 15-22'!B170</f>
        <v>5300</v>
      </c>
      <c r="D61" s="897" t="s">
        <v>311</v>
      </c>
      <c r="E61" s="879"/>
      <c r="F61" s="1907">
        <f>'Expenditures 15-22'!K170</f>
        <v>418738</v>
      </c>
      <c r="G61" s="865"/>
    </row>
    <row r="62" spans="1:7" x14ac:dyDescent="0.2">
      <c r="A62" s="869" t="s">
        <v>461</v>
      </c>
      <c r="B62" s="869" t="s">
        <v>1882</v>
      </c>
      <c r="C62" s="886">
        <f>'Expenditures 15-22'!B185</f>
        <v>3000</v>
      </c>
      <c r="D62" s="876" t="s">
        <v>449</v>
      </c>
      <c r="E62" s="868"/>
      <c r="F62" s="1907">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07">
        <f>'Expenditures 15-22'!K196</f>
        <v>0</v>
      </c>
      <c r="G63" s="865"/>
    </row>
    <row r="64" spans="1:7" x14ac:dyDescent="0.2">
      <c r="A64" s="895" t="s">
        <v>461</v>
      </c>
      <c r="B64" s="895" t="s">
        <v>1884</v>
      </c>
      <c r="C64" s="896" t="str">
        <f>'Expenditures 15-22'!B206</f>
        <v>5300</v>
      </c>
      <c r="D64" s="892" t="s">
        <v>311</v>
      </c>
      <c r="E64" s="868"/>
      <c r="F64" s="1907">
        <f>'Expenditures 15-22'!K206</f>
        <v>0</v>
      </c>
      <c r="G64" s="865"/>
    </row>
    <row r="65" spans="1:8" x14ac:dyDescent="0.2">
      <c r="A65" s="869" t="s">
        <v>461</v>
      </c>
      <c r="B65" s="869" t="s">
        <v>1885</v>
      </c>
      <c r="C65" s="886" t="s">
        <v>982</v>
      </c>
      <c r="D65" s="885" t="s">
        <v>1095</v>
      </c>
      <c r="E65" s="868"/>
      <c r="F65" s="1907">
        <f>'Expenditures 15-22'!G210</f>
        <v>0</v>
      </c>
      <c r="G65" s="865"/>
    </row>
    <row r="66" spans="1:8" x14ac:dyDescent="0.2">
      <c r="A66" s="869" t="s">
        <v>461</v>
      </c>
      <c r="B66" s="869" t="s">
        <v>1886</v>
      </c>
      <c r="C66" s="886" t="s">
        <v>982</v>
      </c>
      <c r="D66" s="885" t="s">
        <v>291</v>
      </c>
      <c r="E66" s="868"/>
      <c r="F66" s="1907">
        <f>'Expenditures 15-22'!I210</f>
        <v>0</v>
      </c>
      <c r="G66" s="865"/>
    </row>
    <row r="67" spans="1:8" x14ac:dyDescent="0.2">
      <c r="A67" s="869" t="s">
        <v>462</v>
      </c>
      <c r="B67" s="869" t="s">
        <v>1887</v>
      </c>
      <c r="C67" s="886" t="str">
        <f>'Expenditures 15-22'!B216</f>
        <v>1125</v>
      </c>
      <c r="D67" s="892" t="str">
        <f>'Expenditures 15-22'!A216</f>
        <v>Pre-K Programs</v>
      </c>
      <c r="E67" s="868"/>
      <c r="F67" s="1907">
        <f>'Expenditures 15-22'!K216</f>
        <v>27616</v>
      </c>
      <c r="G67" s="865"/>
    </row>
    <row r="68" spans="1:8" x14ac:dyDescent="0.2">
      <c r="A68" s="869" t="s">
        <v>462</v>
      </c>
      <c r="B68" s="869" t="s">
        <v>1479</v>
      </c>
      <c r="C68" s="886" t="str">
        <f>'Expenditures 15-22'!B218</f>
        <v>1225</v>
      </c>
      <c r="D68" s="892" t="str">
        <f>'Expenditures 15-22'!A218</f>
        <v>Special Education Programs - Pre-K</v>
      </c>
      <c r="E68" s="868"/>
      <c r="F68" s="1907">
        <f>'Expenditures 15-22'!K218</f>
        <v>26839</v>
      </c>
      <c r="G68" s="865"/>
    </row>
    <row r="69" spans="1:8" x14ac:dyDescent="0.2">
      <c r="A69" s="869" t="s">
        <v>462</v>
      </c>
      <c r="B69" s="869" t="s">
        <v>1888</v>
      </c>
      <c r="C69" s="886" t="str">
        <f>'Expenditures 15-22'!B220</f>
        <v>1275</v>
      </c>
      <c r="D69" s="892" t="str">
        <f>'Expenditures 15-22'!A220</f>
        <v>Remedial and Supplemental Programs - Pre-K</v>
      </c>
      <c r="E69" s="868"/>
      <c r="F69" s="1907">
        <f>'Expenditures 15-22'!K220</f>
        <v>0</v>
      </c>
      <c r="G69" s="865"/>
    </row>
    <row r="70" spans="1:8" x14ac:dyDescent="0.2">
      <c r="A70" s="869" t="s">
        <v>462</v>
      </c>
      <c r="B70" s="869" t="s">
        <v>1889</v>
      </c>
      <c r="C70" s="886">
        <f>'Expenditures 15-22'!B221</f>
        <v>1300</v>
      </c>
      <c r="D70" s="887" t="str">
        <f>'Expenditures 15-22'!A221</f>
        <v>Adult/Continuing Education Programs</v>
      </c>
      <c r="E70" s="868"/>
      <c r="F70" s="1907">
        <f>'Expenditures 15-22'!K221</f>
        <v>0</v>
      </c>
      <c r="G70" s="865"/>
    </row>
    <row r="71" spans="1:8" x14ac:dyDescent="0.2">
      <c r="A71" s="869" t="s">
        <v>462</v>
      </c>
      <c r="B71" s="869" t="s">
        <v>1890</v>
      </c>
      <c r="C71" s="886">
        <f>'Expenditures 15-22'!B224</f>
        <v>1600</v>
      </c>
      <c r="D71" s="887" t="str">
        <f>'Expenditures 15-22'!A224</f>
        <v>Summer School Programs</v>
      </c>
      <c r="E71" s="868"/>
      <c r="F71" s="1907">
        <f>'Expenditures 15-22'!K224</f>
        <v>0</v>
      </c>
      <c r="G71" s="865"/>
    </row>
    <row r="72" spans="1:8" x14ac:dyDescent="0.2">
      <c r="A72" s="869" t="s">
        <v>462</v>
      </c>
      <c r="B72" s="869" t="s">
        <v>1891</v>
      </c>
      <c r="C72" s="886">
        <f>'Expenditures 15-22'!B280</f>
        <v>3000</v>
      </c>
      <c r="D72" s="876" t="s">
        <v>449</v>
      </c>
      <c r="E72" s="868"/>
      <c r="F72" s="1907">
        <f>'Expenditures 15-22'!K280</f>
        <v>35737</v>
      </c>
      <c r="G72" s="865"/>
    </row>
    <row r="73" spans="1:8" x14ac:dyDescent="0.2">
      <c r="A73" s="869" t="s">
        <v>462</v>
      </c>
      <c r="B73" s="869" t="s">
        <v>1892</v>
      </c>
      <c r="C73" s="886" t="str">
        <f>'Expenditures 15-22'!B285</f>
        <v>4000</v>
      </c>
      <c r="D73" s="887" t="str">
        <f>'Expenditures 15-22'!A285</f>
        <v>Total Payments to Other Govt Units</v>
      </c>
      <c r="E73" s="868"/>
      <c r="F73" s="1907">
        <f>'Expenditures 15-22'!K285</f>
        <v>0</v>
      </c>
      <c r="G73" s="865"/>
    </row>
    <row r="74" spans="1:8" x14ac:dyDescent="0.2">
      <c r="A74" s="869" t="s">
        <v>436</v>
      </c>
      <c r="B74" s="869" t="s">
        <v>1893</v>
      </c>
      <c r="C74" s="886" t="s">
        <v>860</v>
      </c>
      <c r="D74" s="887" t="s">
        <v>1487</v>
      </c>
      <c r="E74" s="868"/>
      <c r="F74" s="1911">
        <f>'Expenditures 15-22'!K334</f>
        <v>0</v>
      </c>
      <c r="G74" s="865"/>
    </row>
    <row r="75" spans="1:8" ht="5.25" customHeight="1" x14ac:dyDescent="0.2">
      <c r="A75" s="865"/>
      <c r="B75" s="875"/>
      <c r="C75" s="875"/>
      <c r="D75" s="865"/>
      <c r="E75" s="868"/>
      <c r="F75" s="882"/>
      <c r="G75" s="867"/>
    </row>
    <row r="76" spans="1:8" ht="12" thickBot="1" x14ac:dyDescent="0.25">
      <c r="A76" s="1765"/>
      <c r="B76" s="1771"/>
      <c r="C76" s="1767"/>
      <c r="D76" s="1772" t="s">
        <v>1894</v>
      </c>
      <c r="E76" s="1769" t="s">
        <v>958</v>
      </c>
      <c r="F76" s="1773">
        <f>SUM(F18:F74)</f>
        <v>3934319</v>
      </c>
      <c r="G76" s="865"/>
    </row>
    <row r="77" spans="1:8" s="893" customFormat="1" ht="12" customHeight="1" thickTop="1" thickBot="1" x14ac:dyDescent="0.25">
      <c r="A77" s="1774"/>
      <c r="B77" s="1771"/>
      <c r="C77" s="1767"/>
      <c r="D77" s="1772" t="s">
        <v>1895</v>
      </c>
      <c r="E77" s="1769"/>
      <c r="F77" s="1775">
        <f>(F14-F76)</f>
        <v>33710784</v>
      </c>
      <c r="G77" s="869"/>
    </row>
    <row r="78" spans="1:8" s="893" customFormat="1" ht="12" customHeight="1" thickTop="1" x14ac:dyDescent="0.2">
      <c r="A78" s="1776"/>
      <c r="B78" s="1771"/>
      <c r="C78" s="1767"/>
      <c r="D78" s="1772" t="s">
        <v>2055</v>
      </c>
      <c r="E78" s="1769"/>
      <c r="F78" s="898">
        <v>3220.1</v>
      </c>
      <c r="G78" s="899"/>
      <c r="H78" s="869"/>
    </row>
    <row r="79" spans="1:8" s="893" customFormat="1" ht="12" customHeight="1" thickBot="1" x14ac:dyDescent="0.25">
      <c r="A79" s="1777"/>
      <c r="B79" s="1771"/>
      <c r="C79" s="1767"/>
      <c r="D79" s="1772" t="s">
        <v>1896</v>
      </c>
      <c r="E79" s="1769" t="s">
        <v>958</v>
      </c>
      <c r="F79" s="1778">
        <f>IF(F78&gt;0,F77/F78," Complete Line 78")</f>
        <v>10468.86245768765</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1">
        <f>'Revenues 9-14'!F42</f>
        <v>0</v>
      </c>
      <c r="G84" s="912"/>
    </row>
    <row r="85" spans="1:7" x14ac:dyDescent="0.2">
      <c r="A85" s="908" t="s">
        <v>461</v>
      </c>
      <c r="B85" s="908" t="s">
        <v>183</v>
      </c>
      <c r="C85" s="913">
        <f>'Revenues 9-14'!B44</f>
        <v>1413</v>
      </c>
      <c r="D85" s="911" t="str">
        <f>'Revenues 9-14'!A44</f>
        <v>Regular - Transp Fees from Other Sources (In State)</v>
      </c>
      <c r="E85" s="906"/>
      <c r="F85" s="1784">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4">
        <f>'Revenues 9-14'!F45</f>
        <v>0</v>
      </c>
      <c r="G86" s="914"/>
    </row>
    <row r="87" spans="1:7" x14ac:dyDescent="0.2">
      <c r="A87" s="908" t="s">
        <v>461</v>
      </c>
      <c r="B87" s="908" t="s">
        <v>167</v>
      </c>
      <c r="C87" s="910">
        <v>1416</v>
      </c>
      <c r="D87" s="911" t="str">
        <f>'Revenues 9-14'!A46</f>
        <v>Regular Transp Fees from Other Sources (Out of State)</v>
      </c>
      <c r="E87" s="906"/>
      <c r="F87" s="1784">
        <f>'Revenues 9-14'!F46</f>
        <v>0</v>
      </c>
      <c r="G87" s="914"/>
    </row>
    <row r="88" spans="1:7" x14ac:dyDescent="0.2">
      <c r="A88" s="908" t="s">
        <v>461</v>
      </c>
      <c r="B88" s="908" t="s">
        <v>168</v>
      </c>
      <c r="C88" s="910">
        <f>'Revenues 9-14'!B51</f>
        <v>1431</v>
      </c>
      <c r="D88" s="911" t="str">
        <f>'Revenues 9-14'!A51</f>
        <v>CTE - Transp Fees from Pupils or Parents (In State)</v>
      </c>
      <c r="E88" s="906"/>
      <c r="F88" s="1784">
        <f>'Revenues 9-14'!F51</f>
        <v>0</v>
      </c>
      <c r="G88" s="914"/>
    </row>
    <row r="89" spans="1:7" x14ac:dyDescent="0.2">
      <c r="A89" s="908" t="s">
        <v>461</v>
      </c>
      <c r="B89" s="908" t="s">
        <v>169</v>
      </c>
      <c r="C89" s="910">
        <f>'Revenues 9-14'!B53</f>
        <v>1433</v>
      </c>
      <c r="D89" s="911" t="str">
        <f>'Revenues 9-14'!A53</f>
        <v>CTE - Transp Fees from Other Sources (In State)</v>
      </c>
      <c r="E89" s="906"/>
      <c r="F89" s="1784">
        <f>'Revenues 9-14'!F53</f>
        <v>0</v>
      </c>
      <c r="G89" s="914"/>
    </row>
    <row r="90" spans="1:7" x14ac:dyDescent="0.2">
      <c r="A90" s="908" t="s">
        <v>461</v>
      </c>
      <c r="B90" s="908" t="s">
        <v>170</v>
      </c>
      <c r="C90" s="910">
        <f>'Revenues 9-14'!B54</f>
        <v>1434</v>
      </c>
      <c r="D90" s="911" t="str">
        <f>'Revenues 9-14'!A54</f>
        <v>CTE - Transp Fees from Other Sources (Out of State)</v>
      </c>
      <c r="E90" s="906"/>
      <c r="F90" s="1784">
        <f>'Revenues 9-14'!F54</f>
        <v>0</v>
      </c>
      <c r="G90" s="914"/>
    </row>
    <row r="91" spans="1:7" x14ac:dyDescent="0.2">
      <c r="A91" s="908" t="s">
        <v>461</v>
      </c>
      <c r="B91" s="908" t="s">
        <v>171</v>
      </c>
      <c r="C91" s="915">
        <f>'Revenues 9-14'!B55</f>
        <v>1441</v>
      </c>
      <c r="D91" s="911" t="str">
        <f>'Revenues 9-14'!A55</f>
        <v>Special Ed - Transp Fees from Pupils or Parents (In State)</v>
      </c>
      <c r="E91" s="906"/>
      <c r="F91" s="1784">
        <f>'Revenues 9-14'!F55</f>
        <v>0</v>
      </c>
      <c r="G91" s="914"/>
    </row>
    <row r="92" spans="1:7" x14ac:dyDescent="0.2">
      <c r="A92" s="908" t="s">
        <v>461</v>
      </c>
      <c r="B92" s="908" t="s">
        <v>172</v>
      </c>
      <c r="C92" s="910">
        <f>'Revenues 9-14'!B57</f>
        <v>1443</v>
      </c>
      <c r="D92" s="911" t="str">
        <f>'Revenues 9-14'!A57</f>
        <v>Special Ed - Transp Fees from Other Sources (In State)</v>
      </c>
      <c r="E92" s="906"/>
      <c r="F92" s="1784">
        <f>'Revenues 9-14'!F57</f>
        <v>0</v>
      </c>
      <c r="G92" s="916"/>
    </row>
    <row r="93" spans="1:7" x14ac:dyDescent="0.2">
      <c r="A93" s="908" t="s">
        <v>461</v>
      </c>
      <c r="B93" s="908" t="s">
        <v>173</v>
      </c>
      <c r="C93" s="910">
        <f>'Revenues 9-14'!B58</f>
        <v>1444</v>
      </c>
      <c r="D93" s="911" t="str">
        <f>'Revenues 9-14'!A58</f>
        <v>Special Ed - Transp Fees from Other Sources (Out of State)</v>
      </c>
      <c r="E93" s="906"/>
      <c r="F93" s="1784">
        <f>'Revenues 9-14'!F58</f>
        <v>0</v>
      </c>
      <c r="G93" s="916"/>
    </row>
    <row r="94" spans="1:7" x14ac:dyDescent="0.2">
      <c r="A94" s="908" t="s">
        <v>459</v>
      </c>
      <c r="B94" s="908" t="s">
        <v>174</v>
      </c>
      <c r="C94" s="910">
        <v>1600</v>
      </c>
      <c r="D94" s="917" t="str">
        <f>'Revenues 9-14'!A75</f>
        <v>Total Food Service</v>
      </c>
      <c r="E94" s="906"/>
      <c r="F94" s="1784">
        <f>'Revenues 9-14'!C75</f>
        <v>28601</v>
      </c>
      <c r="G94" s="912"/>
    </row>
    <row r="95" spans="1:7" x14ac:dyDescent="0.2">
      <c r="A95" s="908" t="s">
        <v>140</v>
      </c>
      <c r="B95" s="908" t="s">
        <v>175</v>
      </c>
      <c r="C95" s="910">
        <v>1700</v>
      </c>
      <c r="D95" s="918" t="str">
        <f>'Revenues 9-14'!A82</f>
        <v>Total District/School Activity Income</v>
      </c>
      <c r="E95" s="906"/>
      <c r="F95" s="1784">
        <f>SUM('Revenues 9-14'!C82,'Revenues 9-14'!D82)</f>
        <v>362547</v>
      </c>
      <c r="G95" s="912"/>
    </row>
    <row r="96" spans="1:7" x14ac:dyDescent="0.2">
      <c r="A96" s="908" t="s">
        <v>459</v>
      </c>
      <c r="B96" s="908" t="s">
        <v>176</v>
      </c>
      <c r="C96" s="910">
        <f>'Revenues 9-14'!B84</f>
        <v>1811</v>
      </c>
      <c r="D96" s="911" t="str">
        <f>'Revenues 9-14'!A84</f>
        <v>Rentals - Regular Textbooks</v>
      </c>
      <c r="E96" s="906"/>
      <c r="F96" s="1784">
        <f>'Revenues 9-14'!C84</f>
        <v>98249</v>
      </c>
      <c r="G96" s="912"/>
    </row>
    <row r="97" spans="1:7" x14ac:dyDescent="0.2">
      <c r="A97" s="908" t="s">
        <v>459</v>
      </c>
      <c r="B97" s="908" t="s">
        <v>177</v>
      </c>
      <c r="C97" s="910">
        <f>'Revenues 9-14'!B87</f>
        <v>1819</v>
      </c>
      <c r="D97" s="911" t="str">
        <f>'Revenues 9-14'!A87</f>
        <v>Rentals - Other (Describe &amp; Itemize)</v>
      </c>
      <c r="E97" s="906"/>
      <c r="F97" s="1784">
        <f>'Revenues 9-14'!C87</f>
        <v>0</v>
      </c>
      <c r="G97" s="912"/>
    </row>
    <row r="98" spans="1:7" x14ac:dyDescent="0.2">
      <c r="A98" s="908" t="s">
        <v>459</v>
      </c>
      <c r="B98" s="908" t="s">
        <v>178</v>
      </c>
      <c r="C98" s="910">
        <f>'Revenues 9-14'!B88</f>
        <v>1821</v>
      </c>
      <c r="D98" s="911" t="str">
        <f>'Revenues 9-14'!A88</f>
        <v>Sales - Regular Textbooks</v>
      </c>
      <c r="E98" s="906"/>
      <c r="F98" s="1784">
        <f>'Revenues 9-14'!C88</f>
        <v>0</v>
      </c>
      <c r="G98" s="912"/>
    </row>
    <row r="99" spans="1:7" x14ac:dyDescent="0.2">
      <c r="A99" s="908" t="s">
        <v>459</v>
      </c>
      <c r="B99" s="908" t="s">
        <v>179</v>
      </c>
      <c r="C99" s="910">
        <f>'Revenues 9-14'!B91</f>
        <v>1829</v>
      </c>
      <c r="D99" s="911" t="str">
        <f>'Revenues 9-14'!A91</f>
        <v>Sales - Other (Describe &amp; Itemize)</v>
      </c>
      <c r="E99" s="906"/>
      <c r="F99" s="1784">
        <f>'Revenues 9-14'!C91</f>
        <v>0</v>
      </c>
      <c r="G99" s="912"/>
    </row>
    <row r="100" spans="1:7" x14ac:dyDescent="0.2">
      <c r="A100" s="908" t="s">
        <v>459</v>
      </c>
      <c r="B100" s="908" t="s">
        <v>180</v>
      </c>
      <c r="C100" s="910">
        <f>'Revenues 9-14'!B92</f>
        <v>1890</v>
      </c>
      <c r="D100" s="911" t="str">
        <f>'Revenues 9-14'!A92</f>
        <v>Other (Describe &amp; Itemize)</v>
      </c>
      <c r="E100" s="906"/>
      <c r="F100" s="1784">
        <f>'Revenues 9-14'!C92</f>
        <v>0</v>
      </c>
      <c r="G100" s="912"/>
    </row>
    <row r="101" spans="1:7" x14ac:dyDescent="0.2">
      <c r="A101" s="908" t="s">
        <v>140</v>
      </c>
      <c r="B101" s="908" t="s">
        <v>181</v>
      </c>
      <c r="C101" s="910">
        <f>'Revenues 9-14'!B95</f>
        <v>1910</v>
      </c>
      <c r="D101" s="911" t="str">
        <f>'Revenues 9-14'!A95</f>
        <v>Rentals</v>
      </c>
      <c r="E101" s="906"/>
      <c r="F101" s="1784">
        <f>SUM('Revenues 9-14'!C95:D95)</f>
        <v>61713</v>
      </c>
      <c r="G101" s="912"/>
    </row>
    <row r="102" spans="1:7" x14ac:dyDescent="0.2">
      <c r="A102" s="908" t="s">
        <v>503</v>
      </c>
      <c r="B102" s="908" t="s">
        <v>182</v>
      </c>
      <c r="C102" s="910">
        <f>'Revenues 9-14'!B98</f>
        <v>1940</v>
      </c>
      <c r="D102" s="911" t="str">
        <f>'Revenues 9-14'!A98</f>
        <v>Services Provided Other Districts</v>
      </c>
      <c r="E102" s="906"/>
      <c r="F102" s="1784">
        <f>SUM('Revenues 9-14'!C98,'Revenues 9-14'!D98,'Revenues 9-14'!F98)</f>
        <v>84550</v>
      </c>
      <c r="G102" s="912"/>
    </row>
    <row r="103" spans="1:7" x14ac:dyDescent="0.2">
      <c r="A103" s="908" t="s">
        <v>1009</v>
      </c>
      <c r="B103" s="908" t="s">
        <v>801</v>
      </c>
      <c r="C103" s="910">
        <f>'Revenues 9-14'!B104</f>
        <v>1991</v>
      </c>
      <c r="D103" s="919" t="str">
        <f>'Revenues 9-14'!A104</f>
        <v>Payment from Other Districts</v>
      </c>
      <c r="E103" s="906"/>
      <c r="F103" s="1784">
        <f>SUM('Revenues 9-14'!C104,'Revenues 9-14'!D104,'Revenues 9-14'!E104,'Revenues 9-14'!F104,'Revenues 9-14'!G104)</f>
        <v>25000</v>
      </c>
      <c r="G103" s="912"/>
    </row>
    <row r="104" spans="1:7" x14ac:dyDescent="0.2">
      <c r="A104" s="908" t="s">
        <v>459</v>
      </c>
      <c r="B104" s="908" t="s">
        <v>808</v>
      </c>
      <c r="C104" s="910">
        <f>'Revenues 9-14'!B106</f>
        <v>1993</v>
      </c>
      <c r="D104" s="911" t="str">
        <f>'Revenues 9-14'!A106</f>
        <v>Other Local Fees (Describe &amp; Itemize)</v>
      </c>
      <c r="E104" s="906"/>
      <c r="F104" s="1784">
        <f>('Revenues 9-14'!C106)</f>
        <v>0</v>
      </c>
      <c r="G104" s="912"/>
    </row>
    <row r="105" spans="1:7" x14ac:dyDescent="0.2">
      <c r="A105" s="908" t="s">
        <v>503</v>
      </c>
      <c r="B105" s="908" t="s">
        <v>1996</v>
      </c>
      <c r="C105" s="913">
        <v>3100</v>
      </c>
      <c r="D105" s="919" t="str">
        <f>'Revenues 9-14'!A132</f>
        <v>Total Special Education</v>
      </c>
      <c r="E105" s="906"/>
      <c r="F105" s="1784">
        <f>SUM('Revenues 9-14'!C132:D132,'Revenues 9-14'!F132)</f>
        <v>420599</v>
      </c>
      <c r="G105" s="912"/>
    </row>
    <row r="106" spans="1:7" x14ac:dyDescent="0.2">
      <c r="A106" s="908" t="s">
        <v>673</v>
      </c>
      <c r="B106" s="908" t="s">
        <v>1997</v>
      </c>
      <c r="C106" s="920">
        <v>3200</v>
      </c>
      <c r="D106" s="911" t="str">
        <f>'Revenues 9-14'!A141</f>
        <v>Total Career and Technical Education</v>
      </c>
      <c r="E106" s="906"/>
      <c r="F106" s="1784">
        <f>SUM('Revenues 9-14'!C141,'Revenues 9-14'!D141,'Revenues 9-14'!G141)</f>
        <v>0</v>
      </c>
      <c r="G106" s="912"/>
    </row>
    <row r="107" spans="1:7" x14ac:dyDescent="0.2">
      <c r="A107" s="921" t="s">
        <v>664</v>
      </c>
      <c r="B107" s="908" t="s">
        <v>1998</v>
      </c>
      <c r="C107" s="920">
        <v>3300</v>
      </c>
      <c r="D107" s="911" t="str">
        <f>'Revenues 9-14'!A145</f>
        <v>Total Bilingual Ed</v>
      </c>
      <c r="E107" s="906"/>
      <c r="F107" s="1784">
        <f>SUM('Revenues 9-14'!C145,'Revenues 9-14'!G145)</f>
        <v>0</v>
      </c>
      <c r="G107" s="912"/>
    </row>
    <row r="108" spans="1:7" x14ac:dyDescent="0.2">
      <c r="A108" s="908" t="s">
        <v>459</v>
      </c>
      <c r="B108" s="908" t="s">
        <v>1999</v>
      </c>
      <c r="C108" s="920">
        <f>'Revenues 9-14'!B146</f>
        <v>3360</v>
      </c>
      <c r="D108" s="911" t="str">
        <f>'Revenues 9-14'!A146</f>
        <v>State Free Lunch &amp; Breakfast</v>
      </c>
      <c r="E108" s="906"/>
      <c r="F108" s="1784">
        <f>'Revenues 9-14'!C146</f>
        <v>36694</v>
      </c>
      <c r="G108" s="912"/>
    </row>
    <row r="109" spans="1:7" x14ac:dyDescent="0.2">
      <c r="A109" s="908" t="s">
        <v>673</v>
      </c>
      <c r="B109" s="908" t="s">
        <v>2000</v>
      </c>
      <c r="C109" s="920">
        <f>'Revenues 9-14'!B147</f>
        <v>3365</v>
      </c>
      <c r="D109" s="911" t="str">
        <f>'Revenues 9-14'!A147</f>
        <v>School Breakfast Initiative</v>
      </c>
      <c r="E109" s="906"/>
      <c r="F109" s="1784">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4">
        <f>SUM('Revenues 9-14'!C148,'Revenues 9-14'!D148)</f>
        <v>0</v>
      </c>
      <c r="G110" s="912"/>
    </row>
    <row r="111" spans="1:7" x14ac:dyDescent="0.2">
      <c r="A111" s="908" t="s">
        <v>668</v>
      </c>
      <c r="B111" s="908" t="s">
        <v>2002</v>
      </c>
      <c r="C111" s="922">
        <v>3500</v>
      </c>
      <c r="D111" s="911" t="str">
        <f>'Revenues 9-14'!A155</f>
        <v>Total Transportation</v>
      </c>
      <c r="E111" s="906"/>
      <c r="F111" s="1784">
        <f>SUM('Revenues 9-14'!C155,'Revenues 9-14'!D155,'Revenues 9-14'!F155,'Revenues 9-14'!G155)</f>
        <v>1680291</v>
      </c>
      <c r="G111" s="912"/>
    </row>
    <row r="112" spans="1:7" x14ac:dyDescent="0.2">
      <c r="A112" s="908" t="s">
        <v>459</v>
      </c>
      <c r="B112" s="908" t="s">
        <v>2003</v>
      </c>
      <c r="C112" s="920">
        <f>'Revenues 9-14'!B156</f>
        <v>3610</v>
      </c>
      <c r="D112" s="911" t="str">
        <f>'Revenues 9-14'!A156</f>
        <v>Learning Improvement - Change Grants</v>
      </c>
      <c r="E112" s="906"/>
      <c r="F112" s="1784">
        <f>'Revenues 9-14'!C156</f>
        <v>0</v>
      </c>
      <c r="G112" s="912"/>
    </row>
    <row r="113" spans="1:7" x14ac:dyDescent="0.2">
      <c r="A113" s="908" t="s">
        <v>668</v>
      </c>
      <c r="B113" s="908" t="s">
        <v>2004</v>
      </c>
      <c r="C113" s="920">
        <f>'Revenues 9-14'!B157</f>
        <v>3660</v>
      </c>
      <c r="D113" s="911" t="str">
        <f>'Revenues 9-14'!A157</f>
        <v>Scientific Literacy</v>
      </c>
      <c r="E113" s="906"/>
      <c r="F113" s="1784">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4">
        <f>SUM('Revenues 9-14'!C158,'Revenues 9-14'!F158,'Revenues 9-14'!G158)</f>
        <v>0</v>
      </c>
      <c r="G114" s="912"/>
    </row>
    <row r="115" spans="1:7" x14ac:dyDescent="0.2">
      <c r="A115" s="908" t="s">
        <v>668</v>
      </c>
      <c r="B115" s="908" t="s">
        <v>2006</v>
      </c>
      <c r="C115" s="920">
        <f>'Revenues 9-14'!B160</f>
        <v>3766</v>
      </c>
      <c r="D115" s="911" t="str">
        <f>'Revenues 9-14'!A160</f>
        <v>Chicago General Education Block Grant</v>
      </c>
      <c r="E115" s="906"/>
      <c r="F115" s="1784">
        <f>SUM('Revenues 9-14'!C160,'Revenues 9-14'!D160,'Revenues 9-14'!F160,'Revenues 9-14'!G160)</f>
        <v>0</v>
      </c>
      <c r="G115" s="912"/>
    </row>
    <row r="116" spans="1:7" x14ac:dyDescent="0.2">
      <c r="A116" s="908" t="s">
        <v>668</v>
      </c>
      <c r="B116" s="908" t="s">
        <v>2007</v>
      </c>
      <c r="C116" s="920">
        <f>'Revenues 9-14'!B161</f>
        <v>3767</v>
      </c>
      <c r="D116" s="911" t="str">
        <f>'Revenues 9-14'!A161</f>
        <v>Chicago Educational Services Block Grant</v>
      </c>
      <c r="E116" s="906"/>
      <c r="F116" s="1784">
        <f>SUM('Revenues 9-14'!C161,'Revenues 9-14'!D161,'Revenues 9-14'!F161,'Revenues 9-14'!G161)</f>
        <v>0</v>
      </c>
      <c r="G116" s="912"/>
    </row>
    <row r="117" spans="1:7" x14ac:dyDescent="0.2">
      <c r="A117" s="923" t="s">
        <v>1009</v>
      </c>
      <c r="B117" s="923" t="s">
        <v>2008</v>
      </c>
      <c r="C117" s="924">
        <f>'Revenues 9-14'!B162</f>
        <v>3775</v>
      </c>
      <c r="D117" s="925" t="str">
        <f>'Revenues 9-14'!A162</f>
        <v>School Safety &amp; Educational Improvement Block Grant</v>
      </c>
      <c r="E117" s="906"/>
      <c r="F117" s="1901">
        <f>SUM('Revenues 9-14'!C162,'Revenues 9-14'!D162,'Revenues 9-14'!E162,'Revenues 9-14'!F162,'Revenues 9-14'!G162)</f>
        <v>0</v>
      </c>
      <c r="G117" s="912"/>
    </row>
    <row r="118" spans="1:7" x14ac:dyDescent="0.2">
      <c r="A118" s="923" t="s">
        <v>1009</v>
      </c>
      <c r="B118" s="923" t="s">
        <v>2009</v>
      </c>
      <c r="C118" s="924">
        <f>'Revenues 9-14'!B163</f>
        <v>3780</v>
      </c>
      <c r="D118" s="925" t="str">
        <f>'Revenues 9-14'!A163</f>
        <v>Technology - Technology for Success</v>
      </c>
      <c r="E118" s="906"/>
      <c r="F118" s="1901">
        <f>SUM('Revenues 9-14'!C163:G163)</f>
        <v>0</v>
      </c>
      <c r="G118" s="912"/>
    </row>
    <row r="119" spans="1:7" x14ac:dyDescent="0.2">
      <c r="A119" s="923" t="s">
        <v>504</v>
      </c>
      <c r="B119" s="923" t="s">
        <v>2010</v>
      </c>
      <c r="C119" s="924">
        <f>'Revenues 9-14'!B164</f>
        <v>3815</v>
      </c>
      <c r="D119" s="925" t="str">
        <f>'Revenues 9-14'!A164</f>
        <v>State Charter Schools</v>
      </c>
      <c r="E119" s="906"/>
      <c r="F119" s="1901">
        <f>SUM('Revenues 9-14'!C164,'Revenues 9-14'!F164)</f>
        <v>0</v>
      </c>
      <c r="G119" s="912"/>
    </row>
    <row r="120" spans="1:7" x14ac:dyDescent="0.2">
      <c r="A120" s="927" t="s">
        <v>460</v>
      </c>
      <c r="B120" s="927" t="s">
        <v>2011</v>
      </c>
      <c r="C120" s="928">
        <f>'Revenues 9-14'!B167</f>
        <v>3925</v>
      </c>
      <c r="D120" s="929" t="str">
        <f>'Revenues 9-14'!A167</f>
        <v>School Infrastructure - Maintenance Projects</v>
      </c>
      <c r="E120" s="906"/>
      <c r="F120" s="1784">
        <f>'Revenues 9-14'!D167</f>
        <v>0</v>
      </c>
      <c r="G120" s="930"/>
    </row>
    <row r="121" spans="1:7" x14ac:dyDescent="0.2">
      <c r="A121" s="927" t="s">
        <v>500</v>
      </c>
      <c r="B121" s="927" t="s">
        <v>2012</v>
      </c>
      <c r="C121" s="928">
        <f>'Revenues 9-14'!B168</f>
        <v>3999</v>
      </c>
      <c r="D121" s="929" t="s">
        <v>543</v>
      </c>
      <c r="E121" s="931"/>
      <c r="F121" s="1784">
        <f>SUM('Revenues 9-14'!C168:G168,'Revenues 9-14'!J168)</f>
        <v>0</v>
      </c>
      <c r="G121" s="930"/>
    </row>
    <row r="122" spans="1:7" x14ac:dyDescent="0.2">
      <c r="A122" s="927" t="s">
        <v>459</v>
      </c>
      <c r="B122" s="927" t="s">
        <v>2013</v>
      </c>
      <c r="C122" s="932">
        <f>'Revenues 9-14'!B177</f>
        <v>4045</v>
      </c>
      <c r="D122" s="929" t="str">
        <f>'Revenues 9-14'!A177 &amp; " (Subtract)"</f>
        <v>Head Start (Subtract)</v>
      </c>
      <c r="E122" s="906"/>
      <c r="F122" s="1784">
        <f>SUM(-'Revenues 9-14'!C177)</f>
        <v>0</v>
      </c>
      <c r="G122" s="930"/>
    </row>
    <row r="123" spans="1:7" x14ac:dyDescent="0.2">
      <c r="A123" s="927" t="s">
        <v>668</v>
      </c>
      <c r="B123" s="927" t="s">
        <v>2014</v>
      </c>
      <c r="C123" s="932" t="s">
        <v>982</v>
      </c>
      <c r="D123" s="929" t="str">
        <f>('Revenues 9-14'!A181)</f>
        <v>Total Restricted Grants-In-Aid Received Directly from Federal Govt</v>
      </c>
      <c r="E123" s="906"/>
      <c r="F123" s="1784">
        <f>SUM('Revenues 9-14'!C181,'Revenues 9-14'!D181,'Revenues 9-14'!F181,'Revenues 9-14'!G181)</f>
        <v>0</v>
      </c>
      <c r="G123" s="930"/>
    </row>
    <row r="124" spans="1:7" x14ac:dyDescent="0.2">
      <c r="A124" s="927" t="s">
        <v>668</v>
      </c>
      <c r="B124" s="927" t="s">
        <v>2015</v>
      </c>
      <c r="C124" s="932">
        <v>4100</v>
      </c>
      <c r="D124" s="933" t="str">
        <f>'Revenues 9-14'!A188</f>
        <v>Total Title V</v>
      </c>
      <c r="E124" s="906"/>
      <c r="F124" s="1784">
        <f>SUM('Revenues 9-14'!C188,'Revenues 9-14'!D188,'Revenues 9-14'!F188,'Revenues 9-14'!G188)</f>
        <v>0</v>
      </c>
      <c r="G124" s="930"/>
    </row>
    <row r="125" spans="1:7" x14ac:dyDescent="0.2">
      <c r="A125" s="927" t="s">
        <v>664</v>
      </c>
      <c r="B125" s="927" t="s">
        <v>2016</v>
      </c>
      <c r="C125" s="932">
        <v>4200</v>
      </c>
      <c r="D125" s="929" t="str">
        <f>'Revenues 9-14'!A198</f>
        <v>Total Food Service</v>
      </c>
      <c r="E125" s="906"/>
      <c r="F125" s="1784">
        <f>SUM('Revenues 9-14'!C198,'Revenues 9-14'!G198)</f>
        <v>1772322</v>
      </c>
      <c r="G125" s="930"/>
    </row>
    <row r="126" spans="1:7" x14ac:dyDescent="0.2">
      <c r="A126" s="927" t="s">
        <v>668</v>
      </c>
      <c r="B126" s="927" t="s">
        <v>2017</v>
      </c>
      <c r="C126" s="932">
        <v>4300</v>
      </c>
      <c r="D126" s="933" t="str">
        <f>'Revenues 9-14'!A204</f>
        <v>Total Title I</v>
      </c>
      <c r="E126" s="906"/>
      <c r="F126" s="1784">
        <f>SUM('Revenues 9-14'!C204,'Revenues 9-14'!D204,'Revenues 9-14'!F204,'Revenues 9-14'!G204)</f>
        <v>841709</v>
      </c>
      <c r="G126" s="930"/>
    </row>
    <row r="127" spans="1:7" x14ac:dyDescent="0.2">
      <c r="A127" s="927" t="s">
        <v>668</v>
      </c>
      <c r="B127" s="927" t="s">
        <v>2018</v>
      </c>
      <c r="C127" s="932">
        <v>4400</v>
      </c>
      <c r="D127" s="933" t="str">
        <f>'Revenues 9-14'!A209</f>
        <v>Total Title IV</v>
      </c>
      <c r="E127" s="906"/>
      <c r="F127" s="1784">
        <f>SUM('Revenues 9-14'!C209,'Revenues 9-14'!D209,'Revenues 9-14'!F209,'Revenues 9-14'!G209)</f>
        <v>0</v>
      </c>
      <c r="G127" s="930"/>
    </row>
    <row r="128" spans="1:7" x14ac:dyDescent="0.2">
      <c r="A128" s="927" t="s">
        <v>668</v>
      </c>
      <c r="B128" s="927" t="s">
        <v>2019</v>
      </c>
      <c r="C128" s="932">
        <f>'Revenues 9-14'!B213</f>
        <v>4620</v>
      </c>
      <c r="D128" s="933" t="str">
        <f>'Revenues 9-14'!A213</f>
        <v>Fed - Spec Education - IDEA - Flow Through</v>
      </c>
      <c r="E128" s="906"/>
      <c r="F128" s="1784">
        <f>SUM('Revenues 9-14'!C213:D213,'Revenues 9-14'!F213:G213)</f>
        <v>494058</v>
      </c>
      <c r="G128" s="930"/>
    </row>
    <row r="129" spans="1:7" x14ac:dyDescent="0.2">
      <c r="A129" s="927" t="s">
        <v>668</v>
      </c>
      <c r="B129" s="927" t="s">
        <v>2020</v>
      </c>
      <c r="C129" s="932">
        <f>'Revenues 9-14'!B214</f>
        <v>4625</v>
      </c>
      <c r="D129" s="933" t="str">
        <f>'Revenues 9-14'!A214</f>
        <v>Fed - Spec Education - IDEA - Room &amp; Board</v>
      </c>
      <c r="E129" s="906"/>
      <c r="F129" s="1784">
        <f>SUM('Revenues 9-14'!C214,'Revenues 9-14'!D214,'Revenues 9-14'!F214,'Revenues 9-14'!G214)</f>
        <v>7228</v>
      </c>
      <c r="G129" s="930"/>
    </row>
    <row r="130" spans="1:7" x14ac:dyDescent="0.2">
      <c r="A130" s="927" t="s">
        <v>668</v>
      </c>
      <c r="B130" s="927" t="s">
        <v>2021</v>
      </c>
      <c r="C130" s="932">
        <f>'Revenues 9-14'!B215</f>
        <v>4630</v>
      </c>
      <c r="D130" s="933" t="str">
        <f>'Revenues 9-14'!A215</f>
        <v>Fed - Spec Education - IDEA - Discretionary</v>
      </c>
      <c r="E130" s="906"/>
      <c r="F130" s="1784">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4">
        <f>SUM('Revenues 9-14'!C216:D216,'Revenues 9-14'!F216:G216)</f>
        <v>0</v>
      </c>
      <c r="G131" s="930"/>
    </row>
    <row r="132" spans="1:7" x14ac:dyDescent="0.2">
      <c r="A132" s="927" t="s">
        <v>673</v>
      </c>
      <c r="B132" s="927" t="s">
        <v>2022</v>
      </c>
      <c r="C132" s="932">
        <v>4700</v>
      </c>
      <c r="D132" s="929" t="str">
        <f>'Revenues 9-14'!A221</f>
        <v>Total CTE - Perkins</v>
      </c>
      <c r="E132" s="906"/>
      <c r="F132" s="1784">
        <f>SUM('Revenues 9-14'!C221,'Revenues 9-14'!D221,'Revenues 9-14'!G221)</f>
        <v>0</v>
      </c>
      <c r="G132" s="930">
        <v>6303</v>
      </c>
    </row>
    <row r="133" spans="1:7" s="867" customFormat="1" hidden="1" x14ac:dyDescent="0.2">
      <c r="A133" s="934" t="s">
        <v>206</v>
      </c>
      <c r="B133" s="934" t="s">
        <v>2023</v>
      </c>
      <c r="C133" s="935" t="s">
        <v>207</v>
      </c>
      <c r="D133" s="936" t="str">
        <f>'Revenues 9-14'!A224</f>
        <v>ARRA - Title I - Low Income</v>
      </c>
      <c r="E133" s="937"/>
      <c r="F133" s="1901">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4">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4">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4">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4">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4">
        <v>0</v>
      </c>
      <c r="G138" s="905"/>
    </row>
    <row r="139" spans="1:7" s="867" customFormat="1" hidden="1" x14ac:dyDescent="0.2">
      <c r="A139" s="934" t="s">
        <v>206</v>
      </c>
      <c r="B139" s="934" t="s">
        <v>2029</v>
      </c>
      <c r="C139" s="935" t="s">
        <v>213</v>
      </c>
      <c r="D139" s="936" t="str">
        <f>'Revenues 9-14'!A230</f>
        <v>ARRA - IDEA - Part B - Flow-Through</v>
      </c>
      <c r="E139" s="937"/>
      <c r="F139" s="1784">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4">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4">
        <f>SUM('Revenues 9-14'!C232:G232,'Revenues 9-14'!J232)</f>
        <v>0</v>
      </c>
      <c r="G141" s="905"/>
    </row>
    <row r="142" spans="1:7" s="867" customFormat="1" hidden="1" x14ac:dyDescent="0.2">
      <c r="A142" s="934" t="s">
        <v>668</v>
      </c>
      <c r="B142" s="934" t="s">
        <v>2032</v>
      </c>
      <c r="C142" s="935" t="s">
        <v>217</v>
      </c>
      <c r="D142" s="936" t="str">
        <f>'Revenues 9-14'!A233</f>
        <v>ARRA - McKinney - Vento Homeless Education</v>
      </c>
      <c r="E142" s="937"/>
      <c r="F142" s="1784">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4">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4">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4">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4">
        <f>SUM('Revenues 9-14'!C240:G240,'Revenues 9-14'!J240)</f>
        <v>77027</v>
      </c>
      <c r="G146" s="905"/>
    </row>
    <row r="147" spans="1:7" s="867" customFormat="1" hidden="1" x14ac:dyDescent="0.2">
      <c r="A147" s="934" t="s">
        <v>206</v>
      </c>
      <c r="B147" s="934" t="s">
        <v>2034</v>
      </c>
      <c r="C147" s="935" t="s">
        <v>225</v>
      </c>
      <c r="D147" s="936" t="str">
        <f>'Revenues 9-14'!A242</f>
        <v>Other ARRA Funds - II</v>
      </c>
      <c r="E147" s="937"/>
      <c r="F147" s="1784">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4">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4">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4">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4">
        <v>0</v>
      </c>
      <c r="G151" s="905"/>
    </row>
    <row r="152" spans="1:7" s="867" customFormat="1" hidden="1" x14ac:dyDescent="0.2">
      <c r="A152" s="934" t="s">
        <v>206</v>
      </c>
      <c r="B152" s="934" t="s">
        <v>1417</v>
      </c>
      <c r="C152" s="935" t="s">
        <v>233</v>
      </c>
      <c r="D152" s="936" t="str">
        <f>'Revenues 9-14'!A247</f>
        <v>Other ARRA Funds VII</v>
      </c>
      <c r="E152" s="937"/>
      <c r="F152" s="1784">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4">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4">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4">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4">
        <f>SUM('Revenues 9-14'!C251:G251,'Revenues 9-14'!J251)</f>
        <v>0</v>
      </c>
      <c r="G156" s="905"/>
    </row>
    <row r="157" spans="1:7" s="867" customFormat="1" x14ac:dyDescent="0.2">
      <c r="A157" s="938" t="s">
        <v>500</v>
      </c>
      <c r="B157" s="939" t="s">
        <v>2037</v>
      </c>
      <c r="C157" s="940" t="s">
        <v>841</v>
      </c>
      <c r="D157" s="941" t="s">
        <v>777</v>
      </c>
      <c r="E157" s="942"/>
      <c r="F157" s="1784">
        <f>SUM(F133:F156)</f>
        <v>77027</v>
      </c>
      <c r="G157" s="905"/>
    </row>
    <row r="158" spans="1:7" s="867" customFormat="1" x14ac:dyDescent="0.2">
      <c r="A158" s="938" t="s">
        <v>459</v>
      </c>
      <c r="B158" s="939" t="s">
        <v>2038</v>
      </c>
      <c r="C158" s="940" t="s">
        <v>1427</v>
      </c>
      <c r="D158" s="941" t="s">
        <v>1428</v>
      </c>
      <c r="E158" s="942"/>
      <c r="F158" s="1784">
        <f>SUM('Revenues 9-14'!C253)</f>
        <v>0</v>
      </c>
      <c r="G158" s="905"/>
    </row>
    <row r="159" spans="1:7" s="867" customFormat="1" x14ac:dyDescent="0.2">
      <c r="A159" s="938" t="s">
        <v>500</v>
      </c>
      <c r="B159" s="939" t="s">
        <v>2039</v>
      </c>
      <c r="C159" s="940" t="s">
        <v>1466</v>
      </c>
      <c r="D159" s="941" t="s">
        <v>1467</v>
      </c>
      <c r="E159" s="942"/>
      <c r="F159" s="1784">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4">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84">
        <f>SUM('Revenues 9-14'!C256,'Revenues 9-14'!F256,'Revenues 9-14'!G256)</f>
        <v>0</v>
      </c>
      <c r="G161" s="943"/>
    </row>
    <row r="162" spans="1:7" x14ac:dyDescent="0.2">
      <c r="A162" s="927" t="s">
        <v>668</v>
      </c>
      <c r="B162" s="927" t="s">
        <v>2042</v>
      </c>
      <c r="C162" s="932">
        <f>'Revenues 9-14'!B257</f>
        <v>4920</v>
      </c>
      <c r="D162" s="929" t="str">
        <f>'Revenues 9-14'!A257</f>
        <v>McKinney Education for Homeless Children</v>
      </c>
      <c r="E162" s="906"/>
      <c r="F162" s="1784">
        <f>SUM('Revenues 9-14'!C257,'Revenues 9-14'!D257,'Revenues 9-14'!F257,'Revenues 9-14'!G257)</f>
        <v>0</v>
      </c>
      <c r="G162" s="930"/>
    </row>
    <row r="163" spans="1:7" x14ac:dyDescent="0.2">
      <c r="A163" s="944" t="s">
        <v>668</v>
      </c>
      <c r="B163" s="944" t="s">
        <v>2043</v>
      </c>
      <c r="C163" s="945">
        <f>'Revenues 9-14'!B258</f>
        <v>4930</v>
      </c>
      <c r="D163" s="946" t="str">
        <f>'Revenues 9-14'!A258</f>
        <v>Title II - Eisenhower Professional Development Formula</v>
      </c>
      <c r="E163" s="926"/>
      <c r="F163" s="1901">
        <f>SUM('Revenues 9-14'!C258:D258,'Revenues 9-14'!F258,'Revenues 9-14'!G258)</f>
        <v>0</v>
      </c>
      <c r="G163" s="930"/>
    </row>
    <row r="164" spans="1:7" x14ac:dyDescent="0.2">
      <c r="A164" s="927" t="s">
        <v>668</v>
      </c>
      <c r="B164" s="927" t="s">
        <v>2044</v>
      </c>
      <c r="C164" s="932">
        <f>'Revenues 9-14'!B259</f>
        <v>4932</v>
      </c>
      <c r="D164" s="933" t="str">
        <f>'Revenues 9-14'!A259</f>
        <v>Title II - Teacher Quality</v>
      </c>
      <c r="E164" s="906"/>
      <c r="F164" s="1901">
        <f>SUM('Revenues 9-14'!C259,'Revenues 9-14'!D259,'Revenues 9-14'!F259,'Revenues 9-14'!G259)</f>
        <v>131252</v>
      </c>
      <c r="G164" s="930"/>
    </row>
    <row r="165" spans="1:7" x14ac:dyDescent="0.2">
      <c r="A165" s="927" t="s">
        <v>668</v>
      </c>
      <c r="B165" s="927" t="s">
        <v>2045</v>
      </c>
      <c r="C165" s="932">
        <f>'Revenues 9-14'!B260</f>
        <v>4960</v>
      </c>
      <c r="D165" s="929" t="str">
        <f>'Revenues 9-14'!A260</f>
        <v>Federal Charter Schools</v>
      </c>
      <c r="E165" s="906"/>
      <c r="F165" s="1784">
        <f>SUM('Revenues 9-14'!C260:D260,'Revenues 9-14'!F260:G260)</f>
        <v>0</v>
      </c>
      <c r="G165" s="930"/>
    </row>
    <row r="166" spans="1:7" x14ac:dyDescent="0.2">
      <c r="A166" s="927" t="s">
        <v>668</v>
      </c>
      <c r="B166" s="927" t="s">
        <v>1990</v>
      </c>
      <c r="C166" s="932">
        <f>'Revenues 9-14'!B261</f>
        <v>4981</v>
      </c>
      <c r="D166" s="929" t="str">
        <f>'Revenues 9-14'!A261</f>
        <v>State Assessment Grants</v>
      </c>
      <c r="E166" s="906"/>
      <c r="F166" s="1784">
        <f>SUM('Revenues 9-14'!C261:D261,'Revenues 9-14'!F261:G261)</f>
        <v>0</v>
      </c>
      <c r="G166" s="930"/>
    </row>
    <row r="167" spans="1:7" x14ac:dyDescent="0.2">
      <c r="A167" s="927" t="s">
        <v>668</v>
      </c>
      <c r="B167" s="927" t="s">
        <v>1991</v>
      </c>
      <c r="C167" s="932">
        <f>'Revenues 9-14'!B262</f>
        <v>4982</v>
      </c>
      <c r="D167" s="929" t="str">
        <f>'Revenues 9-14'!A262</f>
        <v>Grant for State Assessments and Related Activities</v>
      </c>
      <c r="E167" s="906"/>
      <c r="F167" s="1784">
        <f>SUM('Revenues 9-14'!C262:D262,'Revenues 9-14'!F262:G262)</f>
        <v>0</v>
      </c>
      <c r="G167" s="930"/>
    </row>
    <row r="168" spans="1:7" x14ac:dyDescent="0.2">
      <c r="A168" s="927" t="s">
        <v>668</v>
      </c>
      <c r="B168" s="927" t="s">
        <v>2046</v>
      </c>
      <c r="C168" s="932">
        <f>'Revenues 9-14'!B263</f>
        <v>4991</v>
      </c>
      <c r="D168" s="933" t="str">
        <f>'Revenues 9-14'!A263</f>
        <v>Medicaid Matching Funds - Administrative Outreach</v>
      </c>
      <c r="E168" s="906"/>
      <c r="F168" s="1784">
        <f>SUM('Revenues 9-14'!C263:D263,'Revenues 9-14'!F263:G263)</f>
        <v>131056</v>
      </c>
      <c r="G168" s="947">
        <v>6320</v>
      </c>
    </row>
    <row r="169" spans="1:7" x14ac:dyDescent="0.2">
      <c r="A169" s="927" t="s">
        <v>668</v>
      </c>
      <c r="B169" s="927" t="s">
        <v>2047</v>
      </c>
      <c r="C169" s="932">
        <f>'Revenues 9-14'!B264</f>
        <v>4992</v>
      </c>
      <c r="D169" s="933" t="str">
        <f>'Revenues 9-14'!A264</f>
        <v>Medicaid Matching Funds - Fee-for-Service Program</v>
      </c>
      <c r="E169" s="906"/>
      <c r="F169" s="1784">
        <f>SUM('Revenues 9-14'!C264:D264,'Revenues 9-14'!F264:G264)</f>
        <v>337419</v>
      </c>
      <c r="G169" s="947"/>
    </row>
    <row r="170" spans="1:7" x14ac:dyDescent="0.2">
      <c r="A170" s="948" t="s">
        <v>668</v>
      </c>
      <c r="B170" s="944" t="s">
        <v>2048</v>
      </c>
      <c r="C170" s="945">
        <f>'Revenues 9-14'!B265</f>
        <v>4999</v>
      </c>
      <c r="D170" s="946" t="str">
        <f>'Revenues 9-14'!A265</f>
        <v>Other Restricted Revenue from Federal Sources (Describe &amp; Itemize)</v>
      </c>
      <c r="E170" s="906"/>
      <c r="F170" s="1784">
        <f>SUM('Revenues 9-14'!C265:D265,'Revenues 9-14'!F265:G265)</f>
        <v>0</v>
      </c>
      <c r="G170" s="927"/>
    </row>
    <row r="171" spans="1:7" x14ac:dyDescent="0.2">
      <c r="A171" s="1912" t="s">
        <v>5</v>
      </c>
      <c r="B171" s="1913" t="s">
        <v>1915</v>
      </c>
      <c r="C171" s="1914">
        <v>3100</v>
      </c>
      <c r="D171" s="1915" t="s">
        <v>1917</v>
      </c>
      <c r="E171" s="906"/>
      <c r="F171" s="1900">
        <v>1344759.28</v>
      </c>
      <c r="G171" s="927"/>
    </row>
    <row r="172" spans="1:7" x14ac:dyDescent="0.2">
      <c r="A172" s="1912" t="s">
        <v>664</v>
      </c>
      <c r="B172" s="1913" t="s">
        <v>1915</v>
      </c>
      <c r="C172" s="1914">
        <v>3300</v>
      </c>
      <c r="D172" s="1915" t="s">
        <v>1918</v>
      </c>
      <c r="E172" s="906"/>
      <c r="F172" s="1900">
        <v>1587.86</v>
      </c>
      <c r="G172" s="927"/>
    </row>
    <row r="173" spans="1:7" ht="6" customHeight="1" x14ac:dyDescent="0.2">
      <c r="A173" s="927"/>
      <c r="B173" s="927"/>
      <c r="C173" s="949"/>
      <c r="D173" s="927"/>
      <c r="E173" s="906"/>
      <c r="F173" s="950"/>
      <c r="G173" s="947"/>
    </row>
    <row r="174" spans="1:7" x14ac:dyDescent="0.2">
      <c r="A174" s="1765"/>
      <c r="B174" s="1779"/>
      <c r="C174" s="1780"/>
      <c r="D174" s="1781" t="s">
        <v>2049</v>
      </c>
      <c r="E174" s="1782" t="s">
        <v>958</v>
      </c>
      <c r="F174" s="1783">
        <f>SUM(F84:F132,F157:F172)</f>
        <v>7936662.1400000006</v>
      </c>
    </row>
    <row r="175" spans="1:7" ht="12" customHeight="1" x14ac:dyDescent="0.2">
      <c r="A175" s="1765"/>
      <c r="B175" s="1779"/>
      <c r="C175" s="1780"/>
      <c r="D175" s="1781" t="s">
        <v>2050</v>
      </c>
      <c r="E175" s="1782"/>
      <c r="F175" s="1784">
        <f>'PCTC-OEPP 27-28'!F77-F174</f>
        <v>25774121.859999999</v>
      </c>
    </row>
    <row r="176" spans="1:7" ht="12" customHeight="1" x14ac:dyDescent="0.2">
      <c r="A176" s="1765"/>
      <c r="B176" s="1779"/>
      <c r="C176" s="1780"/>
      <c r="D176" s="1781" t="s">
        <v>1814</v>
      </c>
      <c r="E176" s="1782"/>
      <c r="F176" s="1784">
        <f>'Cap Outlay Deprec 26'!I18</f>
        <v>1453881</v>
      </c>
    </row>
    <row r="177" spans="1:7" ht="12" customHeight="1" x14ac:dyDescent="0.2">
      <c r="A177" s="1765"/>
      <c r="B177" s="1779"/>
      <c r="C177" s="1780"/>
      <c r="D177" s="1781" t="s">
        <v>2051</v>
      </c>
      <c r="E177" s="1782"/>
      <c r="F177" s="1784">
        <f>F175+F176</f>
        <v>27228002.859999999</v>
      </c>
    </row>
    <row r="178" spans="1:7" ht="12" customHeight="1" x14ac:dyDescent="0.2">
      <c r="A178" s="1765"/>
      <c r="B178" s="1785"/>
      <c r="C178" s="1780"/>
      <c r="D178" s="1781" t="str">
        <f>D78</f>
        <v>9 Month ADA from District Average Daily Attendance/Prior General State Aid Inquiry 2018-2019</v>
      </c>
      <c r="E178" s="1782"/>
      <c r="F178" s="1786">
        <f>'PCTC-OEPP 27-28'!F78</f>
        <v>3220.1</v>
      </c>
      <c r="G178" s="930"/>
    </row>
    <row r="179" spans="1:7" ht="12" customHeight="1" thickBot="1" x14ac:dyDescent="0.25">
      <c r="A179" s="1765"/>
      <c r="B179" s="1785"/>
      <c r="C179" s="1780"/>
      <c r="D179" s="1781" t="s">
        <v>2052</v>
      </c>
      <c r="E179" s="1782" t="s">
        <v>1545</v>
      </c>
      <c r="F179" s="1787">
        <f>F177/F178</f>
        <v>8455.6389118350362</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16" customFormat="1" ht="12.2" customHeight="1" x14ac:dyDescent="0.2">
      <c r="A182" s="1916" t="s">
        <v>1987</v>
      </c>
      <c r="B182" s="1917"/>
      <c r="C182" s="1918"/>
      <c r="D182" s="1917"/>
      <c r="E182" s="1918"/>
      <c r="F182" s="1917"/>
      <c r="G182" s="1917"/>
    </row>
    <row r="183" spans="1:7" s="1916" customFormat="1" ht="12.2" customHeight="1" x14ac:dyDescent="0.2">
      <c r="A183" s="1919" t="s">
        <v>1989</v>
      </c>
      <c r="C183" s="1918"/>
      <c r="D183" s="1917"/>
      <c r="E183" s="1918"/>
      <c r="F183" s="1917"/>
      <c r="G183" s="1917"/>
    </row>
    <row r="184" spans="1:7" ht="12" customHeight="1" x14ac:dyDescent="0.2">
      <c r="C184" s="949"/>
      <c r="D184" s="930"/>
      <c r="E184" s="949"/>
      <c r="F184" s="930"/>
      <c r="G184" s="930"/>
    </row>
    <row r="185" spans="1:7" x14ac:dyDescent="0.2">
      <c r="A185" s="1920" t="s">
        <v>1920</v>
      </c>
      <c r="B185" s="1921"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44"/>
  <sheetViews>
    <sheetView showGridLines="0" view="pageLayout" topLeftCell="A16" zoomScaleNormal="100" workbookViewId="0">
      <selection activeCell="P16" sqref="P16"/>
    </sheetView>
  </sheetViews>
  <sheetFormatPr defaultRowHeight="15" x14ac:dyDescent="0.25"/>
  <cols>
    <col min="1" max="1" width="55.28515625" style="1542" customWidth="1"/>
    <col min="2" max="2" width="16.42578125" style="1543" bestFit="1" customWidth="1"/>
    <col min="3" max="3" width="29.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6" t="s">
        <v>1829</v>
      </c>
      <c r="B1" s="1657"/>
      <c r="C1" s="1657"/>
      <c r="D1" s="1657"/>
      <c r="E1" s="1657"/>
      <c r="F1" s="1657"/>
      <c r="G1" s="1657"/>
    </row>
    <row r="2" spans="1:7" ht="30" x14ac:dyDescent="0.25">
      <c r="A2" s="1654"/>
      <c r="B2" s="1654"/>
      <c r="C2" s="1655" t="s">
        <v>979</v>
      </c>
      <c r="D2" s="1654"/>
      <c r="E2" s="1654"/>
      <c r="F2" s="1654"/>
      <c r="G2" s="1654"/>
    </row>
    <row r="3" spans="1:7" ht="5.25" customHeight="1" x14ac:dyDescent="0.25">
      <c r="A3" s="1545"/>
      <c r="B3" s="1545"/>
      <c r="C3" s="1545"/>
      <c r="D3" s="1545"/>
      <c r="E3" s="1545"/>
      <c r="F3" s="1545"/>
      <c r="G3" s="1545"/>
    </row>
    <row r="4" spans="1:7" ht="18.75" customHeight="1" x14ac:dyDescent="0.25">
      <c r="A4" s="2278" t="s">
        <v>1815</v>
      </c>
      <c r="B4" s="2279"/>
      <c r="C4" s="2279"/>
      <c r="D4" s="2279"/>
      <c r="E4" s="2279"/>
      <c r="F4" s="2279"/>
      <c r="G4" s="2280"/>
    </row>
    <row r="5" spans="1:7" x14ac:dyDescent="0.25">
      <c r="A5" s="2281"/>
      <c r="B5" s="2282"/>
      <c r="C5" s="2282"/>
      <c r="D5" s="2282"/>
      <c r="E5" s="2282"/>
      <c r="F5" s="2282"/>
      <c r="G5" s="2283"/>
    </row>
    <row r="6" spans="1:7" ht="18.75" x14ac:dyDescent="0.25">
      <c r="A6" s="1534" t="s">
        <v>1816</v>
      </c>
      <c r="B6" s="1535"/>
      <c r="C6" s="1535"/>
      <c r="D6" s="1535"/>
      <c r="E6" s="1535"/>
      <c r="F6" s="1535"/>
      <c r="G6" s="1536"/>
    </row>
    <row r="7" spans="1:7" ht="30.75" customHeight="1" x14ac:dyDescent="0.25">
      <c r="A7" s="2284" t="s">
        <v>1927</v>
      </c>
      <c r="B7" s="2285"/>
      <c r="C7" s="2285"/>
      <c r="D7" s="2285"/>
      <c r="E7" s="2285"/>
      <c r="F7" s="2285"/>
      <c r="G7" s="2286"/>
    </row>
    <row r="8" spans="1:7" ht="15.75" customHeight="1" x14ac:dyDescent="0.25">
      <c r="A8" s="2287" t="s">
        <v>1902</v>
      </c>
      <c r="B8" s="2288"/>
      <c r="C8" s="2288"/>
      <c r="D8" s="2288"/>
      <c r="E8" s="2288"/>
      <c r="F8" s="2288"/>
      <c r="G8" s="2289"/>
    </row>
    <row r="9" spans="1:7" ht="35.25" customHeight="1" x14ac:dyDescent="0.25">
      <c r="A9" s="2284" t="s">
        <v>2202</v>
      </c>
      <c r="B9" s="2285"/>
      <c r="C9" s="2285"/>
      <c r="D9" s="2285"/>
      <c r="E9" s="2285"/>
      <c r="F9" s="2285"/>
      <c r="G9" s="2286"/>
    </row>
    <row r="10" spans="1:7" ht="15" customHeight="1" x14ac:dyDescent="0.25">
      <c r="A10" s="1537" t="s">
        <v>1817</v>
      </c>
      <c r="B10" s="1538"/>
      <c r="C10" s="1538"/>
      <c r="D10" s="1538"/>
      <c r="E10" s="1538"/>
      <c r="F10" s="1538"/>
      <c r="G10" s="1539"/>
    </row>
    <row r="11" spans="1:7" ht="17.25" customHeight="1" x14ac:dyDescent="0.25">
      <c r="A11" s="2284" t="s">
        <v>1929</v>
      </c>
      <c r="B11" s="2285"/>
      <c r="C11" s="2285"/>
      <c r="D11" s="2285"/>
      <c r="E11" s="2285"/>
      <c r="F11" s="2285"/>
      <c r="G11" s="2286"/>
    </row>
    <row r="12" spans="1:7" ht="15" customHeight="1" x14ac:dyDescent="0.25">
      <c r="A12" s="1537" t="s">
        <v>1822</v>
      </c>
      <c r="B12" s="1538"/>
      <c r="C12" s="1538"/>
      <c r="D12" s="1538"/>
      <c r="E12" s="1538"/>
      <c r="F12" s="1538"/>
      <c r="G12" s="1539"/>
    </row>
    <row r="13" spans="1:7" ht="32.25" customHeight="1" x14ac:dyDescent="0.25">
      <c r="A13" s="2275" t="s">
        <v>2203</v>
      </c>
      <c r="B13" s="2276"/>
      <c r="C13" s="2276"/>
      <c r="D13" s="2276"/>
      <c r="E13" s="2276"/>
      <c r="F13" s="2276"/>
      <c r="G13" s="2277"/>
    </row>
    <row r="14" spans="1:7" x14ac:dyDescent="0.25">
      <c r="A14" s="1658" t="s">
        <v>2204</v>
      </c>
      <c r="B14" s="1659"/>
      <c r="C14" s="1659"/>
      <c r="D14" s="1659"/>
      <c r="E14" s="1659"/>
      <c r="F14" s="1659"/>
      <c r="G14" s="1660"/>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1830</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8" t="s">
        <v>2179</v>
      </c>
      <c r="B17" s="1946" t="s">
        <v>2146</v>
      </c>
      <c r="C17" s="1947" t="s">
        <v>2147</v>
      </c>
      <c r="D17" s="1838">
        <v>2655861</v>
      </c>
      <c r="E17" s="1540">
        <f t="shared" ref="E17:E44" si="0">IF(D17&lt;=25000,D17,IF(D17&gt;25000,25000,0))</f>
        <v>25000</v>
      </c>
      <c r="F17" s="1926">
        <f t="shared" ref="F17:F42"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8">
        <f>IF(F17=0,0,D17-F17)</f>
        <v>2630861</v>
      </c>
      <c r="H17" s="1647"/>
    </row>
    <row r="18" spans="1:8" x14ac:dyDescent="0.25">
      <c r="A18" s="1948" t="s">
        <v>2180</v>
      </c>
      <c r="B18" s="1946" t="s">
        <v>2149</v>
      </c>
      <c r="C18" s="1947" t="s">
        <v>2148</v>
      </c>
      <c r="D18" s="1838">
        <v>65688</v>
      </c>
      <c r="E18" s="1540">
        <f t="shared" ref="E18:E42" si="2">IF(D18&lt;=25000,D18,IF(D18&gt;25000,25000,0))</f>
        <v>25000</v>
      </c>
      <c r="F18" s="1926">
        <f t="shared" si="1"/>
        <v>25000</v>
      </c>
      <c r="G18" s="1788">
        <f t="shared" ref="G18:G42" si="3">IF(F18=0,0,D18-F18)</f>
        <v>40688</v>
      </c>
    </row>
    <row r="19" spans="1:8" x14ac:dyDescent="0.25">
      <c r="A19" s="1948" t="s">
        <v>2187</v>
      </c>
      <c r="B19" s="1946" t="s">
        <v>2157</v>
      </c>
      <c r="C19" s="1947" t="s">
        <v>2148</v>
      </c>
      <c r="D19" s="1838">
        <v>4344</v>
      </c>
      <c r="E19" s="1540">
        <f t="shared" si="2"/>
        <v>4344</v>
      </c>
      <c r="F19" s="1926">
        <f t="shared" si="1"/>
        <v>4344</v>
      </c>
      <c r="G19" s="1788">
        <f t="shared" si="3"/>
        <v>0</v>
      </c>
    </row>
    <row r="20" spans="1:8" x14ac:dyDescent="0.25">
      <c r="A20" s="1948" t="s">
        <v>2181</v>
      </c>
      <c r="B20" s="1946" t="s">
        <v>2158</v>
      </c>
      <c r="C20" s="1947" t="s">
        <v>2148</v>
      </c>
      <c r="D20" s="1838">
        <v>2585</v>
      </c>
      <c r="E20" s="1540">
        <f t="shared" si="2"/>
        <v>2585</v>
      </c>
      <c r="F20" s="1926">
        <f t="shared" si="1"/>
        <v>2585</v>
      </c>
      <c r="G20" s="1788">
        <f t="shared" si="3"/>
        <v>0</v>
      </c>
    </row>
    <row r="21" spans="1:8" x14ac:dyDescent="0.25">
      <c r="A21" s="1948" t="s">
        <v>2182</v>
      </c>
      <c r="B21" s="1946" t="s">
        <v>2150</v>
      </c>
      <c r="C21" s="1947" t="s">
        <v>2155</v>
      </c>
      <c r="D21" s="1838">
        <v>1948056</v>
      </c>
      <c r="E21" s="1540">
        <f t="shared" si="2"/>
        <v>25000</v>
      </c>
      <c r="F21" s="1926">
        <f t="shared" si="1"/>
        <v>25000</v>
      </c>
      <c r="G21" s="1788">
        <f t="shared" si="3"/>
        <v>1923056</v>
      </c>
    </row>
    <row r="22" spans="1:8" x14ac:dyDescent="0.25">
      <c r="A22" s="1948" t="s">
        <v>2188</v>
      </c>
      <c r="B22" s="1946" t="s">
        <v>2151</v>
      </c>
      <c r="C22" s="1947" t="s">
        <v>2155</v>
      </c>
      <c r="D22" s="1838">
        <v>253081</v>
      </c>
      <c r="E22" s="1540">
        <f t="shared" si="2"/>
        <v>25000</v>
      </c>
      <c r="F22" s="1926">
        <f t="shared" si="1"/>
        <v>25000</v>
      </c>
      <c r="G22" s="1788">
        <f t="shared" si="3"/>
        <v>228081</v>
      </c>
    </row>
    <row r="23" spans="1:8" ht="17.25" customHeight="1" x14ac:dyDescent="0.25">
      <c r="A23" s="1948" t="s">
        <v>2189</v>
      </c>
      <c r="B23" s="1946" t="s">
        <v>2152</v>
      </c>
      <c r="C23" s="1947" t="s">
        <v>2155</v>
      </c>
      <c r="D23" s="1838">
        <v>54728</v>
      </c>
      <c r="E23" s="1540">
        <f t="shared" si="2"/>
        <v>25000</v>
      </c>
      <c r="F23" s="1926">
        <f t="shared" si="1"/>
        <v>25000</v>
      </c>
      <c r="G23" s="1788">
        <f t="shared" si="3"/>
        <v>29728</v>
      </c>
    </row>
    <row r="24" spans="1:8" x14ac:dyDescent="0.25">
      <c r="A24" s="1948" t="s">
        <v>2190</v>
      </c>
      <c r="B24" s="1946" t="s">
        <v>2153</v>
      </c>
      <c r="C24" s="1947" t="s">
        <v>2155</v>
      </c>
      <c r="D24" s="1838">
        <v>113598</v>
      </c>
      <c r="E24" s="1540">
        <f t="shared" si="2"/>
        <v>25000</v>
      </c>
      <c r="F24" s="1926">
        <f t="shared" si="1"/>
        <v>25000</v>
      </c>
      <c r="G24" s="1788">
        <f t="shared" si="3"/>
        <v>88598</v>
      </c>
    </row>
    <row r="25" spans="1:8" x14ac:dyDescent="0.25">
      <c r="A25" s="1948" t="s">
        <v>2191</v>
      </c>
      <c r="B25" s="1946" t="s">
        <v>2154</v>
      </c>
      <c r="C25" s="1947" t="s">
        <v>2155</v>
      </c>
      <c r="D25" s="1838">
        <v>305047</v>
      </c>
      <c r="E25" s="1540">
        <f t="shared" si="2"/>
        <v>25000</v>
      </c>
      <c r="F25" s="1926">
        <f t="shared" si="1"/>
        <v>25000</v>
      </c>
      <c r="G25" s="1788">
        <f t="shared" si="3"/>
        <v>280047</v>
      </c>
    </row>
    <row r="26" spans="1:8" x14ac:dyDescent="0.25">
      <c r="A26" s="1948" t="s">
        <v>2193</v>
      </c>
      <c r="B26" s="1946" t="s">
        <v>2175</v>
      </c>
      <c r="C26" s="1947" t="s">
        <v>2155</v>
      </c>
      <c r="D26" s="1838">
        <v>33848</v>
      </c>
      <c r="E26" s="1540">
        <f t="shared" si="2"/>
        <v>25000</v>
      </c>
      <c r="F26" s="1926">
        <f t="shared" si="1"/>
        <v>25000</v>
      </c>
      <c r="G26" s="1788">
        <f t="shared" si="3"/>
        <v>8848</v>
      </c>
    </row>
    <row r="27" spans="1:8" x14ac:dyDescent="0.25">
      <c r="A27" s="1948" t="s">
        <v>2192</v>
      </c>
      <c r="B27" s="1946" t="s">
        <v>2176</v>
      </c>
      <c r="C27" s="1947" t="s">
        <v>2155</v>
      </c>
      <c r="D27" s="1838">
        <v>79362</v>
      </c>
      <c r="E27" s="1540">
        <f t="shared" si="2"/>
        <v>25000</v>
      </c>
      <c r="F27" s="1926">
        <f t="shared" si="1"/>
        <v>25000</v>
      </c>
      <c r="G27" s="1788">
        <f t="shared" si="3"/>
        <v>54362</v>
      </c>
    </row>
    <row r="28" spans="1:8" x14ac:dyDescent="0.25">
      <c r="A28" s="1948" t="s">
        <v>2194</v>
      </c>
      <c r="B28" s="1946" t="s">
        <v>2156</v>
      </c>
      <c r="C28" s="1947" t="s">
        <v>2155</v>
      </c>
      <c r="D28" s="1838">
        <v>7327</v>
      </c>
      <c r="E28" s="1540">
        <f t="shared" si="2"/>
        <v>7327</v>
      </c>
      <c r="F28" s="1926">
        <f t="shared" si="1"/>
        <v>7327</v>
      </c>
      <c r="G28" s="1788">
        <f t="shared" si="3"/>
        <v>0</v>
      </c>
    </row>
    <row r="29" spans="1:8" x14ac:dyDescent="0.25">
      <c r="A29" s="1948" t="s">
        <v>2195</v>
      </c>
      <c r="B29" s="1946" t="s">
        <v>2165</v>
      </c>
      <c r="C29" s="1947" t="s">
        <v>2155</v>
      </c>
      <c r="D29" s="1838">
        <v>40034</v>
      </c>
      <c r="E29" s="1540">
        <f t="shared" si="2"/>
        <v>25000</v>
      </c>
      <c r="F29" s="1926">
        <f t="shared" si="1"/>
        <v>25000</v>
      </c>
      <c r="G29" s="1788">
        <f t="shared" si="3"/>
        <v>15034</v>
      </c>
    </row>
    <row r="30" spans="1:8" x14ac:dyDescent="0.25">
      <c r="A30" s="1948" t="s">
        <v>2196</v>
      </c>
      <c r="B30" s="1946" t="s">
        <v>2177</v>
      </c>
      <c r="C30" s="1947" t="s">
        <v>2155</v>
      </c>
      <c r="D30" s="1838">
        <v>30820</v>
      </c>
      <c r="E30" s="1540">
        <f t="shared" si="2"/>
        <v>25000</v>
      </c>
      <c r="F30" s="1926">
        <f t="shared" si="1"/>
        <v>25000</v>
      </c>
      <c r="G30" s="1788">
        <f t="shared" si="3"/>
        <v>5820</v>
      </c>
    </row>
    <row r="31" spans="1:8" ht="17.25" customHeight="1" x14ac:dyDescent="0.25">
      <c r="A31" s="1948" t="s">
        <v>2197</v>
      </c>
      <c r="B31" s="1946" t="s">
        <v>2178</v>
      </c>
      <c r="C31" s="1947" t="s">
        <v>2155</v>
      </c>
      <c r="D31" s="1838">
        <v>3992</v>
      </c>
      <c r="E31" s="1540">
        <f t="shared" si="2"/>
        <v>3992</v>
      </c>
      <c r="F31" s="1926">
        <f t="shared" si="1"/>
        <v>3992</v>
      </c>
      <c r="G31" s="1788">
        <f t="shared" si="3"/>
        <v>0</v>
      </c>
    </row>
    <row r="32" spans="1:8" x14ac:dyDescent="0.25">
      <c r="A32" s="1948" t="s">
        <v>2186</v>
      </c>
      <c r="B32" s="1946" t="s">
        <v>2159</v>
      </c>
      <c r="C32" s="1947" t="s">
        <v>2161</v>
      </c>
      <c r="D32" s="1838">
        <v>122777</v>
      </c>
      <c r="E32" s="1540">
        <f t="shared" si="2"/>
        <v>25000</v>
      </c>
      <c r="F32" s="1926">
        <f t="shared" si="1"/>
        <v>25000</v>
      </c>
      <c r="G32" s="1788">
        <f t="shared" si="3"/>
        <v>97777</v>
      </c>
    </row>
    <row r="33" spans="1:7" x14ac:dyDescent="0.25">
      <c r="A33" s="1948" t="s">
        <v>2185</v>
      </c>
      <c r="B33" s="1946" t="s">
        <v>2160</v>
      </c>
      <c r="C33" s="1947" t="s">
        <v>2161</v>
      </c>
      <c r="D33" s="1838">
        <v>89903</v>
      </c>
      <c r="E33" s="1540">
        <f t="shared" si="2"/>
        <v>25000</v>
      </c>
      <c r="F33" s="1926">
        <f t="shared" si="1"/>
        <v>25000</v>
      </c>
      <c r="G33" s="1788">
        <f t="shared" si="3"/>
        <v>64903</v>
      </c>
    </row>
    <row r="34" spans="1:7" x14ac:dyDescent="0.25">
      <c r="A34" s="1948" t="s">
        <v>2198</v>
      </c>
      <c r="B34" s="1946" t="s">
        <v>2162</v>
      </c>
      <c r="C34" s="1947" t="s">
        <v>2161</v>
      </c>
      <c r="D34" s="1838">
        <v>8979</v>
      </c>
      <c r="E34" s="1540">
        <f t="shared" si="2"/>
        <v>8979</v>
      </c>
      <c r="F34" s="1926">
        <f t="shared" si="1"/>
        <v>8979</v>
      </c>
      <c r="G34" s="1788">
        <f t="shared" si="3"/>
        <v>0</v>
      </c>
    </row>
    <row r="35" spans="1:7" x14ac:dyDescent="0.25">
      <c r="A35" s="1948" t="s">
        <v>2199</v>
      </c>
      <c r="B35" s="1946" t="s">
        <v>2157</v>
      </c>
      <c r="C35" s="1947" t="s">
        <v>2164</v>
      </c>
      <c r="D35" s="1838">
        <v>23179</v>
      </c>
      <c r="E35" s="1540">
        <f t="shared" si="2"/>
        <v>23179</v>
      </c>
      <c r="F35" s="1926">
        <f t="shared" si="1"/>
        <v>23179</v>
      </c>
      <c r="G35" s="1788">
        <f t="shared" si="3"/>
        <v>0</v>
      </c>
    </row>
    <row r="36" spans="1:7" x14ac:dyDescent="0.25">
      <c r="A36" s="1948" t="s">
        <v>2200</v>
      </c>
      <c r="B36" s="1946" t="s">
        <v>2163</v>
      </c>
      <c r="C36" s="1947" t="s">
        <v>2164</v>
      </c>
      <c r="D36" s="1838">
        <v>1374081</v>
      </c>
      <c r="E36" s="1540">
        <f t="shared" si="2"/>
        <v>25000</v>
      </c>
      <c r="F36" s="1926">
        <f t="shared" si="1"/>
        <v>25000</v>
      </c>
      <c r="G36" s="1788">
        <f t="shared" si="3"/>
        <v>1349081</v>
      </c>
    </row>
    <row r="37" spans="1:7" x14ac:dyDescent="0.25">
      <c r="A37" s="1948" t="s">
        <v>2201</v>
      </c>
      <c r="B37" s="1946" t="s">
        <v>2166</v>
      </c>
      <c r="C37" s="1947" t="s">
        <v>2167</v>
      </c>
      <c r="D37" s="1838">
        <v>771</v>
      </c>
      <c r="E37" s="1540">
        <f t="shared" si="2"/>
        <v>771</v>
      </c>
      <c r="F37" s="1926">
        <f t="shared" si="1"/>
        <v>771</v>
      </c>
      <c r="G37" s="1788">
        <f t="shared" si="3"/>
        <v>0</v>
      </c>
    </row>
    <row r="38" spans="1:7" x14ac:dyDescent="0.25">
      <c r="A38" s="1948" t="s">
        <v>2185</v>
      </c>
      <c r="B38" s="1946" t="s">
        <v>2160</v>
      </c>
      <c r="C38" s="1947" t="s">
        <v>2168</v>
      </c>
      <c r="D38" s="1838">
        <v>725448</v>
      </c>
      <c r="E38" s="1540">
        <f t="shared" si="2"/>
        <v>25000</v>
      </c>
      <c r="F38" s="1926">
        <f t="shared" si="1"/>
        <v>25000</v>
      </c>
      <c r="G38" s="1788">
        <f t="shared" si="3"/>
        <v>700448</v>
      </c>
    </row>
    <row r="39" spans="1:7" x14ac:dyDescent="0.25">
      <c r="A39" s="1948" t="s">
        <v>2185</v>
      </c>
      <c r="B39" s="1946" t="s">
        <v>2169</v>
      </c>
      <c r="C39" s="1947" t="s">
        <v>2170</v>
      </c>
      <c r="D39" s="1838">
        <v>130825</v>
      </c>
      <c r="E39" s="1540">
        <f t="shared" si="2"/>
        <v>25000</v>
      </c>
      <c r="F39" s="1926">
        <f t="shared" si="1"/>
        <v>25000</v>
      </c>
      <c r="G39" s="1788">
        <f t="shared" si="3"/>
        <v>105825</v>
      </c>
    </row>
    <row r="40" spans="1:7" x14ac:dyDescent="0.25">
      <c r="A40" s="1948" t="s">
        <v>2184</v>
      </c>
      <c r="B40" s="1946" t="s">
        <v>2169</v>
      </c>
      <c r="C40" s="1947" t="s">
        <v>2171</v>
      </c>
      <c r="D40" s="1838">
        <v>5060</v>
      </c>
      <c r="E40" s="1540">
        <f t="shared" si="2"/>
        <v>5060</v>
      </c>
      <c r="F40" s="1926">
        <f t="shared" si="1"/>
        <v>5060</v>
      </c>
      <c r="G40" s="1788">
        <f t="shared" si="3"/>
        <v>0</v>
      </c>
    </row>
    <row r="41" spans="1:7" x14ac:dyDescent="0.25">
      <c r="A41" s="1948" t="s">
        <v>2184</v>
      </c>
      <c r="B41" s="1946" t="s">
        <v>2169</v>
      </c>
      <c r="C41" s="1947" t="s">
        <v>2172</v>
      </c>
      <c r="D41" s="1838">
        <v>402249</v>
      </c>
      <c r="E41" s="1540">
        <f t="shared" si="2"/>
        <v>25000</v>
      </c>
      <c r="F41" s="1926">
        <f t="shared" si="1"/>
        <v>25000</v>
      </c>
      <c r="G41" s="1788">
        <f t="shared" si="3"/>
        <v>377249</v>
      </c>
    </row>
    <row r="42" spans="1:7" x14ac:dyDescent="0.25">
      <c r="A42" s="1948" t="s">
        <v>2183</v>
      </c>
      <c r="B42" s="1946" t="s">
        <v>2174</v>
      </c>
      <c r="C42" s="1947" t="s">
        <v>2173</v>
      </c>
      <c r="D42" s="1838">
        <v>271625</v>
      </c>
      <c r="E42" s="1540">
        <f t="shared" si="2"/>
        <v>25000</v>
      </c>
      <c r="F42" s="1926">
        <f t="shared" si="1"/>
        <v>25000</v>
      </c>
      <c r="G42" s="1788">
        <f t="shared" si="3"/>
        <v>246625</v>
      </c>
    </row>
    <row r="43" spans="1:7" x14ac:dyDescent="0.25">
      <c r="A43" s="1653"/>
      <c r="B43" s="1946"/>
      <c r="C43" s="1947"/>
      <c r="D43" s="1838"/>
      <c r="E43" s="1540"/>
      <c r="F43" s="1926"/>
      <c r="G43" s="1788"/>
    </row>
    <row r="44" spans="1:7" x14ac:dyDescent="0.25">
      <c r="A44" s="1791" t="s">
        <v>156</v>
      </c>
      <c r="B44" s="1792"/>
      <c r="C44" s="1793"/>
      <c r="D44" s="1789">
        <f>SUM(D17:D43)</f>
        <v>8753268</v>
      </c>
      <c r="E44" s="1541">
        <f t="shared" si="0"/>
        <v>25000</v>
      </c>
      <c r="F44" s="1927">
        <f>SUM(F17:F43)</f>
        <v>506237</v>
      </c>
      <c r="G44" s="1790">
        <f>SUM(G17:G43)</f>
        <v>8247031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P16" sqref="P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f>'Expenditures 15-22'!F63</f>
        <v>3787</v>
      </c>
      <c r="F10" s="974"/>
      <c r="G10" s="975"/>
      <c r="H10" s="162"/>
      <c r="I10" s="162"/>
    </row>
    <row r="11" spans="1:9" s="668" customFormat="1" ht="22.5" customHeight="1" x14ac:dyDescent="0.2">
      <c r="A11" s="2295" t="s">
        <v>1970</v>
      </c>
      <c r="B11" s="2296"/>
      <c r="C11" s="2296"/>
      <c r="D11" s="2297"/>
      <c r="E11" s="977">
        <v>128739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4"/>
      <c r="E19" s="1795">
        <f>'Expenditures 15-22'!K33-SUM('Expenditures 15-22'!G33,'Expenditures 15-22'!I33)+'Expenditures 15-22'!D229</f>
        <v>19434242</v>
      </c>
      <c r="F19" s="1794"/>
      <c r="G19" s="1796">
        <f>'Expenditures 15-22'!K33-SUM('Expenditures 15-22'!G33,'Expenditures 15-22'!I33)+'Expenditures 15-22'!D229</f>
        <v>19434242</v>
      </c>
      <c r="H19" s="987"/>
      <c r="I19" s="162"/>
    </row>
    <row r="20" spans="1:9" s="668" customFormat="1" ht="12" customHeight="1" x14ac:dyDescent="0.2">
      <c r="A20" s="990" t="s">
        <v>54</v>
      </c>
      <c r="B20" s="991"/>
      <c r="C20" s="993"/>
      <c r="D20" s="1797"/>
      <c r="E20" s="1797"/>
      <c r="F20" s="1797"/>
      <c r="G20" s="1798"/>
      <c r="H20" s="987"/>
      <c r="I20" s="162"/>
    </row>
    <row r="21" spans="1:9" s="668" customFormat="1" ht="12" customHeight="1" x14ac:dyDescent="0.2">
      <c r="A21" s="994" t="s">
        <v>401</v>
      </c>
      <c r="B21" s="995"/>
      <c r="C21" s="993">
        <v>2100</v>
      </c>
      <c r="D21" s="1797"/>
      <c r="E21" s="1799">
        <f>'Expenditures 15-22'!K42-SUM('Expenditures 15-22'!G42,'Expenditures 15-22'!I42)+'Expenditures 15-22'!K120-SUM('Expenditures 15-22'!G120,'Expenditures 15-22'!I120)+'Expenditures 15-22'!K180-SUM('Expenditures 15-22'!G180,'Expenditures 15-22'!I180)+'Expenditures 15-22'!D238</f>
        <v>2223624</v>
      </c>
      <c r="F21" s="1797"/>
      <c r="G21" s="1800">
        <f>'Expenditures 15-22'!K42-SUM('Expenditures 15-22'!G42,'Expenditures 15-22'!I42)+'Expenditures 15-22'!K120-SUM('Expenditures 15-22'!G120,'Expenditures 15-22'!I120)+'Expenditures 15-22'!K180-SUM('Expenditures 15-22'!G180,'Expenditures 15-22'!I180)+'Expenditures 15-22'!D238</f>
        <v>2223624</v>
      </c>
      <c r="H21" s="987"/>
      <c r="I21" s="162"/>
    </row>
    <row r="22" spans="1:9" s="668" customFormat="1" ht="12" customHeight="1" x14ac:dyDescent="0.2">
      <c r="A22" s="994" t="s">
        <v>564</v>
      </c>
      <c r="B22" s="995"/>
      <c r="C22" s="993">
        <v>2200</v>
      </c>
      <c r="D22" s="1797"/>
      <c r="E22" s="1799">
        <f>'Expenditures 15-22'!K47-SUM('Expenditures 15-22'!G47,'Expenditures 15-22'!I47)+'Expenditures 15-22'!D243</f>
        <v>1019070</v>
      </c>
      <c r="F22" s="1797"/>
      <c r="G22" s="1800">
        <f>'Expenditures 15-22'!K47-SUM('Expenditures 15-22'!G47,'Expenditures 15-22'!I47)+'Expenditures 15-22'!D243</f>
        <v>1019070</v>
      </c>
      <c r="H22" s="987"/>
      <c r="I22" s="162"/>
    </row>
    <row r="23" spans="1:9" s="668" customFormat="1" ht="12" customHeight="1" x14ac:dyDescent="0.2">
      <c r="A23" s="994" t="s">
        <v>565</v>
      </c>
      <c r="B23" s="995"/>
      <c r="C23" s="993">
        <v>2300</v>
      </c>
      <c r="D23" s="1797"/>
      <c r="E23" s="1799">
        <f>'Expenditures 15-22'!K53-SUM('Expenditures 15-22'!G53,'Expenditures 15-22'!I53)+'Expenditures 15-22'!D257+'Expenditures 15-22'!K330-SUM('Expenditures 15-22'!G330,'Expenditures 15-22'!I330)</f>
        <v>1200981</v>
      </c>
      <c r="F23" s="1797"/>
      <c r="G23" s="1799">
        <f>'Expenditures 15-22'!K53-SUM('Expenditures 15-22'!G53,'Expenditures 15-22'!I53)+'Expenditures 15-22'!D257+'Expenditures 15-22'!K330-SUM('Expenditures 15-22'!G330,'Expenditures 15-22'!I330)</f>
        <v>1200981</v>
      </c>
      <c r="H23" s="987"/>
      <c r="I23" s="162"/>
    </row>
    <row r="24" spans="1:9" s="668" customFormat="1" ht="12" customHeight="1" x14ac:dyDescent="0.2">
      <c r="A24" s="994" t="s">
        <v>566</v>
      </c>
      <c r="B24" s="995"/>
      <c r="C24" s="993">
        <v>2400</v>
      </c>
      <c r="D24" s="1797"/>
      <c r="E24" s="1799">
        <f>'Expenditures 15-22'!K57-SUM('Expenditures 15-22'!G57,'Expenditures 15-22'!I57)+'Expenditures 15-22'!D261</f>
        <v>2903854</v>
      </c>
      <c r="F24" s="1797"/>
      <c r="G24" s="1800">
        <f>'Expenditures 15-22'!K57-SUM('Expenditures 15-22'!G57,'Expenditures 15-22'!I57)+'Expenditures 15-22'!D261</f>
        <v>2903854</v>
      </c>
      <c r="H24" s="987"/>
      <c r="I24" s="162"/>
    </row>
    <row r="25" spans="1:9" s="668" customFormat="1" ht="12" customHeight="1" x14ac:dyDescent="0.2">
      <c r="A25" s="990" t="s">
        <v>567</v>
      </c>
      <c r="B25" s="996"/>
      <c r="C25" s="993"/>
      <c r="D25" s="1797"/>
      <c r="E25" s="1799"/>
      <c r="F25" s="1797"/>
      <c r="G25" s="1800"/>
      <c r="H25" s="987"/>
      <c r="I25" s="162"/>
    </row>
    <row r="26" spans="1:9" s="668" customFormat="1" ht="12" customHeight="1" x14ac:dyDescent="0.2">
      <c r="A26" s="994" t="s">
        <v>515</v>
      </c>
      <c r="B26" s="997"/>
      <c r="C26" s="993">
        <v>2510</v>
      </c>
      <c r="D26" s="1799">
        <f>'Expenditures 15-22'!K59-SUM('Expenditures 15-22'!G59,'Expenditures 15-22'!I59)+'Expenditures 15-22'!D263-E7</f>
        <v>143083</v>
      </c>
      <c r="E26" s="1799">
        <f>'Expenditures 15-22'!K122-SUM('Expenditures 15-22'!G122,'Expenditures 15-22'!I122)+E7</f>
        <v>0</v>
      </c>
      <c r="F26" s="1799">
        <f>'Expenditures 15-22'!K59-SUM('Expenditures 15-22'!G59,'Expenditures 15-22'!I59)+'Expenditures 15-22'!D263-E7</f>
        <v>143083</v>
      </c>
      <c r="G26" s="1800">
        <f>'Expenditures 15-22'!K122-SUM('Expenditures 15-22'!G122,'Expenditures 15-22'!I122)+E7</f>
        <v>0</v>
      </c>
      <c r="H26" s="987"/>
      <c r="I26" s="162"/>
    </row>
    <row r="27" spans="1:9" s="668" customFormat="1" ht="12" customHeight="1" x14ac:dyDescent="0.2">
      <c r="A27" s="994" t="s">
        <v>463</v>
      </c>
      <c r="B27" s="997"/>
      <c r="C27" s="993">
        <v>2520</v>
      </c>
      <c r="D27" s="1799">
        <f>'Expenditures 15-22'!K60-SUM('Expenditures 15-22'!G60,'Expenditures 15-22'!I60)+'Expenditures 15-22'!D264-E8</f>
        <v>247081</v>
      </c>
      <c r="E27" s="1799">
        <f>E8</f>
        <v>0</v>
      </c>
      <c r="F27" s="1799">
        <f>'Expenditures 15-22'!K60-SUM('Expenditures 15-22'!G60,'Expenditures 15-22'!I60)+'Expenditures 15-22'!D264-E8</f>
        <v>247081</v>
      </c>
      <c r="G27" s="1800">
        <f>E8</f>
        <v>0</v>
      </c>
      <c r="H27" s="987"/>
      <c r="I27" s="162"/>
    </row>
    <row r="28" spans="1:9" s="668" customFormat="1" ht="12" customHeight="1" x14ac:dyDescent="0.2">
      <c r="A28" s="994" t="s">
        <v>516</v>
      </c>
      <c r="B28" s="997"/>
      <c r="C28" s="993">
        <v>2540</v>
      </c>
      <c r="D28" s="1801"/>
      <c r="E28" s="1799">
        <f>'Expenditures 15-22'!K61-SUM('Expenditures 15-22'!G61,'Expenditures 15-22'!I61)+'Expenditures 15-22'!K124-SUM('Expenditures 15-22'!G124,'Expenditures 15-22'!I124)+'Expenditures 15-22'!D266</f>
        <v>2543250</v>
      </c>
      <c r="F28" s="1801">
        <f>'Expenditures 15-22'!K61-SUM('Expenditures 15-22'!G61,'Expenditures 15-22'!I61)+'Expenditures 15-22'!K124-SUM('Expenditures 15-22'!G124,'Expenditures 15-22'!I124)+'Expenditures 15-22'!D266-E9</f>
        <v>2543250</v>
      </c>
      <c r="G28" s="1800">
        <f>E9</f>
        <v>0</v>
      </c>
      <c r="H28" s="987"/>
      <c r="I28" s="162"/>
    </row>
    <row r="29" spans="1:9" ht="12" customHeight="1" x14ac:dyDescent="0.2">
      <c r="A29" s="994" t="s">
        <v>517</v>
      </c>
      <c r="B29" s="997"/>
      <c r="C29" s="993">
        <v>2550</v>
      </c>
      <c r="D29" s="1797"/>
      <c r="E29" s="1799">
        <f>'Expenditures 15-22'!K62-SUM('Expenditures 15-22'!G62,'Expenditures 15-22'!I62)+'Expenditures 15-22'!K125-SUM('Expenditures 15-22'!G125,'Expenditures 15-22'!I125)+'Expenditures 15-22'!K182-SUM('Expenditures 15-22'!G182,'Expenditures 15-22'!I182)+'Expenditures 15-22'!D267</f>
        <v>2989201</v>
      </c>
      <c r="F29" s="1797"/>
      <c r="G29" s="1800">
        <f>'Expenditures 15-22'!K62-SUM('Expenditures 15-22'!G62,'Expenditures 15-22'!I62)+'Expenditures 15-22'!K125-SUM('Expenditures 15-22'!G125,'Expenditures 15-22'!I125)+'Expenditures 15-22'!K182-SUM('Expenditures 15-22'!G182,'Expenditures 15-22'!I182)+'Expenditures 15-22'!D267</f>
        <v>2989201</v>
      </c>
      <c r="H29" s="985"/>
    </row>
    <row r="30" spans="1:9" ht="12" customHeight="1" x14ac:dyDescent="0.2">
      <c r="A30" s="994" t="s">
        <v>100</v>
      </c>
      <c r="B30" s="997"/>
      <c r="C30" s="993">
        <v>2560</v>
      </c>
      <c r="D30" s="1797"/>
      <c r="E30" s="1799">
        <f>'Expenditures 15-22'!K63-SUM('Expenditures 15-22'!G63,'Expenditures 15-22'!I63)+'Expenditures 15-22'!D268-E10</f>
        <v>1409579</v>
      </c>
      <c r="F30" s="1797"/>
      <c r="G30" s="1799">
        <f>'Expenditures 15-22'!K63-SUM('Expenditures 15-22'!G63,'Expenditures 15-22'!I63)+'Expenditures 15-22'!D268-E10</f>
        <v>1409579</v>
      </c>
    </row>
    <row r="31" spans="1:9" ht="12" customHeight="1" x14ac:dyDescent="0.2">
      <c r="A31" s="994" t="s">
        <v>101</v>
      </c>
      <c r="B31" s="997"/>
      <c r="C31" s="993">
        <v>2570</v>
      </c>
      <c r="D31" s="1799">
        <f>'Expenditures 15-22'!K64-SUM('Expenditures 15-22'!G64,'Expenditures 15-22'!I64)+'Expenditures 15-22'!D269-E12</f>
        <v>84283</v>
      </c>
      <c r="E31" s="1799">
        <f>E12</f>
        <v>0</v>
      </c>
      <c r="F31" s="1799">
        <f>'Expenditures 15-22'!K64-SUM('Expenditures 15-22'!G64,'Expenditures 15-22'!I64)+'Expenditures 15-22'!D269-E12</f>
        <v>84283</v>
      </c>
      <c r="G31" s="1799">
        <f>E12</f>
        <v>0</v>
      </c>
    </row>
    <row r="32" spans="1:9" ht="12" customHeight="1" x14ac:dyDescent="0.2">
      <c r="A32" s="990" t="s">
        <v>518</v>
      </c>
      <c r="B32" s="996"/>
      <c r="C32" s="993"/>
      <c r="D32" s="1797"/>
      <c r="E32" s="1797"/>
      <c r="F32" s="1797"/>
      <c r="G32" s="1797"/>
    </row>
    <row r="33" spans="1:7" ht="12" customHeight="1" x14ac:dyDescent="0.2">
      <c r="A33" s="994" t="s">
        <v>519</v>
      </c>
      <c r="B33" s="997"/>
      <c r="C33" s="99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994" t="s">
        <v>520</v>
      </c>
      <c r="B34" s="997"/>
      <c r="C34" s="99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994" t="s">
        <v>1061</v>
      </c>
      <c r="B35" s="997"/>
      <c r="C35" s="993">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994" t="s">
        <v>403</v>
      </c>
      <c r="B36" s="997"/>
      <c r="C36" s="993">
        <v>2640</v>
      </c>
      <c r="D36" s="1799">
        <f>'Expenditures 15-22'!K70-SUM('Expenditures 15-22'!G70,'Expenditures 15-22'!I70)+'Expenditures 15-22'!D275-E13</f>
        <v>239487</v>
      </c>
      <c r="E36" s="1799">
        <f>E13</f>
        <v>0</v>
      </c>
      <c r="F36" s="1799">
        <f>'Expenditures 15-22'!K70-SUM('Expenditures 15-22'!G70,'Expenditures 15-22'!I70)+'Expenditures 15-22'!D275-E13</f>
        <v>239487</v>
      </c>
      <c r="G36" s="1799">
        <f>E13</f>
        <v>0</v>
      </c>
    </row>
    <row r="37" spans="1:7" ht="12" customHeight="1" x14ac:dyDescent="0.2">
      <c r="A37" s="994" t="s">
        <v>404</v>
      </c>
      <c r="B37" s="997"/>
      <c r="C37" s="993">
        <v>2660</v>
      </c>
      <c r="D37" s="1799">
        <f>'Expenditures 15-22'!K71-SUM('Expenditures 15-22'!G71,'Expenditures 15-22'!I71)+'Expenditures 15-22'!D276-E14</f>
        <v>1051434</v>
      </c>
      <c r="E37" s="1799">
        <f>E14</f>
        <v>0</v>
      </c>
      <c r="F37" s="1799">
        <f>'Expenditures 15-22'!K71-SUM('Expenditures 15-22'!G71,'Expenditures 15-22'!I71)+'Expenditures 15-22'!D276-E14</f>
        <v>1051434</v>
      </c>
      <c r="G37" s="1799">
        <f>E14</f>
        <v>0</v>
      </c>
    </row>
    <row r="38" spans="1:7" ht="12" customHeight="1" x14ac:dyDescent="0.2">
      <c r="A38" s="990" t="s">
        <v>521</v>
      </c>
      <c r="B38" s="991"/>
      <c r="C38" s="993">
        <v>2900</v>
      </c>
      <c r="D38" s="1797"/>
      <c r="E38" s="1799">
        <f>'Expenditures 15-22'!K73-SUM('Expenditures 15-22'!G73,'Expenditures 15-22'!I73)+'Expenditures 15-22'!K128-SUM('Expenditures 15-22'!G128,'Expenditures 15-22'!I128)+'Expenditures 15-22'!K183-SUM('Expenditures 15-22'!G183,'Expenditures 15-22'!I183)+'Expenditures 15-22'!D278</f>
        <v>51025</v>
      </c>
      <c r="F38" s="1797"/>
      <c r="G38" s="1799">
        <f>'Expenditures 15-22'!K73-SUM('Expenditures 15-22'!G73,'Expenditures 15-22'!I73)+'Expenditures 15-22'!K128-SUM('Expenditures 15-22'!G128,'Expenditures 15-22'!I128)+'Expenditures 15-22'!K183-SUM('Expenditures 15-22'!G183,'Expenditures 15-22'!I183)+'Expenditures 15-22'!D278</f>
        <v>51025</v>
      </c>
    </row>
    <row r="39" spans="1:7" ht="12" customHeight="1" x14ac:dyDescent="0.2">
      <c r="A39" s="990" t="s">
        <v>449</v>
      </c>
      <c r="B39" s="991"/>
      <c r="C39" s="993">
        <v>3000</v>
      </c>
      <c r="D39" s="1797"/>
      <c r="E39" s="1799">
        <f>'Expenditures 15-22'!K75-SUM('Expenditures 15-22'!G75,'Expenditures 15-22'!I75)+'Expenditures 15-22'!K130-SUM('Expenditures 15-22'!G130,'Expenditures 15-22'!I130)+'Expenditures 15-22'!K185-SUM('Expenditures 15-22'!G185,'Expenditures 15-22'!I185)+'Expenditures 15-22'!D280</f>
        <v>310664</v>
      </c>
      <c r="F39" s="1797"/>
      <c r="G39" s="1799">
        <f>'Expenditures 15-22'!K75-SUM('Expenditures 15-22'!G75,'Expenditures 15-22'!I75)+'Expenditures 15-22'!K130-SUM('Expenditures 15-22'!G130,'Expenditures 15-22'!I130)+'Expenditures 15-22'!K185-SUM('Expenditures 15-22'!G185,'Expenditures 15-22'!I185)+'Expenditures 15-22'!D280</f>
        <v>310664</v>
      </c>
    </row>
    <row r="40" spans="1:7" ht="12" customHeight="1" x14ac:dyDescent="0.2">
      <c r="A40" s="990" t="s">
        <v>1820</v>
      </c>
      <c r="B40" s="991"/>
      <c r="C40" s="993"/>
      <c r="D40" s="1797"/>
      <c r="E40" s="1801">
        <f>-'Contracts Paid in CY 29'!G44</f>
        <v>-8247031</v>
      </c>
      <c r="F40" s="1797"/>
      <c r="G40" s="1801">
        <f>-'Contracts Paid in CY 29'!G44</f>
        <v>-8247031</v>
      </c>
    </row>
    <row r="41" spans="1:7" ht="12" customHeight="1" x14ac:dyDescent="0.2">
      <c r="A41" s="998" t="s">
        <v>156</v>
      </c>
      <c r="B41" s="999"/>
      <c r="C41" s="1000"/>
      <c r="D41" s="1801">
        <f>SUM(D19:D39)</f>
        <v>1765368</v>
      </c>
      <c r="E41" s="1801">
        <f>SUM(E19:E40)</f>
        <v>25838459</v>
      </c>
      <c r="F41" s="1801">
        <f>SUM(F19:F39)</f>
        <v>4308618</v>
      </c>
      <c r="G41" s="1801">
        <f>SUM(G19:G40)</f>
        <v>23295209</v>
      </c>
    </row>
    <row r="42" spans="1:7" x14ac:dyDescent="0.2">
      <c r="A42" s="987"/>
      <c r="B42" s="162"/>
      <c r="C42" s="1001"/>
      <c r="D42" s="2293" t="s">
        <v>522</v>
      </c>
      <c r="E42" s="2294"/>
      <c r="F42" s="1002" t="s">
        <v>523</v>
      </c>
      <c r="G42" s="1003"/>
    </row>
    <row r="43" spans="1:7" ht="12" customHeight="1" x14ac:dyDescent="0.2">
      <c r="A43" s="987"/>
      <c r="B43" s="162"/>
      <c r="C43" s="1001"/>
      <c r="D43" s="1802" t="s">
        <v>473</v>
      </c>
      <c r="E43" s="1803">
        <f>D41</f>
        <v>1765368</v>
      </c>
      <c r="F43" s="1802" t="s">
        <v>473</v>
      </c>
      <c r="G43" s="1803">
        <f>F41</f>
        <v>4308618</v>
      </c>
    </row>
    <row r="44" spans="1:7" ht="12" customHeight="1" x14ac:dyDescent="0.2">
      <c r="A44" s="987"/>
      <c r="B44" s="162"/>
      <c r="C44" s="1001"/>
      <c r="D44" s="1802" t="s">
        <v>474</v>
      </c>
      <c r="E44" s="1803">
        <f>E41</f>
        <v>25838459</v>
      </c>
      <c r="F44" s="1802" t="s">
        <v>474</v>
      </c>
      <c r="G44" s="1803">
        <f>G41</f>
        <v>23295209</v>
      </c>
    </row>
    <row r="45" spans="1:7" ht="12" customHeight="1" x14ac:dyDescent="0.2">
      <c r="A45" s="987"/>
      <c r="B45" s="162"/>
      <c r="C45" s="162"/>
      <c r="D45" s="1804" t="s">
        <v>1006</v>
      </c>
      <c r="E45" s="1805">
        <f>(E43/E44)</f>
        <v>6.8323269588174737E-2</v>
      </c>
      <c r="F45" s="1804" t="s">
        <v>1006</v>
      </c>
      <c r="G45" s="1805">
        <f>(G43/G44)</f>
        <v>0.18495725880802358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P16" sqref="P16"/>
      <selection pane="bottomLeft" activeCell="P16" sqref="P16"/>
    </sheetView>
  </sheetViews>
  <sheetFormatPr defaultColWidth="9.140625" defaultRowHeight="12.75" x14ac:dyDescent="0.2"/>
  <cols>
    <col min="1" max="1" width="54.5703125" style="1870" customWidth="1"/>
    <col min="2" max="2" width="4.140625" style="1870" customWidth="1"/>
    <col min="3" max="4" width="9.85546875" style="1841" customWidth="1"/>
    <col min="5" max="5" width="12.5703125" style="1871" customWidth="1"/>
    <col min="6" max="6" width="67.5703125" style="1841" customWidth="1"/>
    <col min="7" max="7" width="9.140625" style="1841" customWidth="1"/>
    <col min="8" max="8" width="5.5703125" style="1872" bestFit="1" customWidth="1"/>
    <col min="9" max="10" width="2" style="1872" bestFit="1" customWidth="1"/>
    <col min="11" max="11" width="9" style="1872" customWidth="1"/>
    <col min="12" max="16384" width="9.140625" style="1841"/>
  </cols>
  <sheetData>
    <row r="1" spans="1:10" x14ac:dyDescent="0.2">
      <c r="A1" s="2312" t="s">
        <v>1379</v>
      </c>
      <c r="B1" s="2312"/>
      <c r="C1" s="2312"/>
      <c r="D1" s="2312"/>
      <c r="E1" s="2312"/>
      <c r="F1" s="2312"/>
    </row>
    <row r="2" spans="1:10" x14ac:dyDescent="0.2">
      <c r="A2" s="1881" t="s">
        <v>1907</v>
      </c>
      <c r="B2" s="1842"/>
      <c r="C2" s="1881"/>
      <c r="D2" s="1842"/>
      <c r="E2" s="1842"/>
      <c r="F2" s="1843"/>
    </row>
    <row r="3" spans="1:10" x14ac:dyDescent="0.2">
      <c r="A3" s="1881" t="s">
        <v>1971</v>
      </c>
      <c r="B3" s="1842"/>
      <c r="C3" s="1881"/>
      <c r="D3" s="1842"/>
      <c r="E3" s="1842"/>
      <c r="F3" s="1843"/>
    </row>
    <row r="4" spans="1:10" ht="3.75" customHeight="1" x14ac:dyDescent="0.2">
      <c r="A4" s="1842"/>
      <c r="B4" s="1842"/>
      <c r="C4" s="1842"/>
      <c r="D4" s="1842"/>
      <c r="E4" s="1842"/>
      <c r="F4" s="1843"/>
    </row>
    <row r="5" spans="1:10" ht="15" x14ac:dyDescent="0.25">
      <c r="A5" s="2313" t="s">
        <v>1546</v>
      </c>
      <c r="B5" s="2314"/>
      <c r="C5" s="2315"/>
      <c r="D5" s="2315"/>
      <c r="E5" s="2315"/>
      <c r="F5" s="2315"/>
    </row>
    <row r="6" spans="1:10" ht="12" customHeight="1" x14ac:dyDescent="0.25">
      <c r="A6" s="1844"/>
      <c r="B6" s="1845"/>
      <c r="C6" s="2316" t="str">
        <f>COVER!A17</f>
        <v>Pekin PSD 108</v>
      </c>
      <c r="D6" s="2316"/>
      <c r="E6" s="2316"/>
      <c r="F6" s="1846"/>
    </row>
    <row r="7" spans="1:10" ht="11.25" customHeight="1" thickBot="1" x14ac:dyDescent="0.3">
      <c r="A7" s="1844"/>
      <c r="B7" s="1845"/>
      <c r="C7" s="2317">
        <f>COVER!A13</f>
        <v>53090108002</v>
      </c>
      <c r="D7" s="2317"/>
      <c r="E7" s="2317"/>
      <c r="F7" s="1846"/>
    </row>
    <row r="8" spans="1:10" ht="25.5" customHeight="1" thickBot="1" x14ac:dyDescent="0.25">
      <c r="A8" s="1887" t="s">
        <v>1903</v>
      </c>
      <c r="B8" s="1847"/>
      <c r="C8" s="1883" t="s">
        <v>1681</v>
      </c>
      <c r="D8" s="1882" t="s">
        <v>1682</v>
      </c>
      <c r="E8" s="1884" t="s">
        <v>1380</v>
      </c>
      <c r="F8" s="1882" t="s">
        <v>1683</v>
      </c>
      <c r="H8" s="1848" t="b">
        <v>0</v>
      </c>
    </row>
    <row r="9" spans="1:10" ht="15.75" customHeight="1" x14ac:dyDescent="0.2">
      <c r="A9" s="1849" t="s">
        <v>1542</v>
      </c>
      <c r="B9" s="1850"/>
      <c r="C9" s="1851"/>
      <c r="D9" s="1851"/>
      <c r="E9" s="1852"/>
      <c r="F9" s="1853"/>
    </row>
    <row r="10" spans="1:10" ht="27.75" customHeight="1" x14ac:dyDescent="0.2">
      <c r="A10" s="1854" t="s">
        <v>1680</v>
      </c>
      <c r="B10" s="1855"/>
      <c r="C10" s="1856"/>
      <c r="D10" s="1856"/>
      <c r="E10" s="1885" t="s">
        <v>1381</v>
      </c>
      <c r="F10" s="1886" t="s">
        <v>1382</v>
      </c>
    </row>
    <row r="11" spans="1:10" ht="12" customHeight="1" x14ac:dyDescent="0.2">
      <c r="A11" s="1857" t="s">
        <v>1383</v>
      </c>
      <c r="B11" s="1858"/>
      <c r="C11" s="1859"/>
      <c r="D11" s="1859"/>
      <c r="E11" s="1860"/>
      <c r="F11" s="1861"/>
      <c r="H11" s="1872">
        <f>IF(C11="X",5,0)</f>
        <v>0</v>
      </c>
      <c r="I11" s="1872">
        <f>IF(D11="X",5,0)</f>
        <v>0</v>
      </c>
      <c r="J11" s="1872">
        <f>IF(E11="X",5,0)</f>
        <v>0</v>
      </c>
    </row>
    <row r="12" spans="1:10" ht="12" customHeight="1" x14ac:dyDescent="0.2">
      <c r="A12" s="1857" t="s">
        <v>1384</v>
      </c>
      <c r="B12" s="1858"/>
      <c r="C12" s="1859" t="s">
        <v>2066</v>
      </c>
      <c r="D12" s="1859" t="s">
        <v>2066</v>
      </c>
      <c r="E12" s="1862"/>
      <c r="F12" s="1861" t="s">
        <v>2083</v>
      </c>
      <c r="H12" s="1872">
        <f t="shared" ref="H12:H33" si="0">IF(C12="X",5,0)</f>
        <v>5</v>
      </c>
      <c r="I12" s="1872">
        <f t="shared" ref="I12:I33" si="1">IF(D12="X",5,0)</f>
        <v>5</v>
      </c>
      <c r="J12" s="1872">
        <f t="shared" ref="J12:J33" si="2">IF(E12="X",5,0)</f>
        <v>0</v>
      </c>
    </row>
    <row r="13" spans="1:10" ht="12" customHeight="1" x14ac:dyDescent="0.2">
      <c r="A13" s="1857" t="s">
        <v>1385</v>
      </c>
      <c r="B13" s="1858"/>
      <c r="C13" s="1859"/>
      <c r="D13" s="1859"/>
      <c r="E13" s="1862"/>
      <c r="F13" s="1861"/>
      <c r="H13" s="1872">
        <f t="shared" si="0"/>
        <v>0</v>
      </c>
      <c r="I13" s="1872">
        <f t="shared" si="1"/>
        <v>0</v>
      </c>
      <c r="J13" s="1872">
        <f t="shared" si="2"/>
        <v>0</v>
      </c>
    </row>
    <row r="14" spans="1:10" ht="12" customHeight="1" x14ac:dyDescent="0.2">
      <c r="A14" s="1857" t="s">
        <v>1386</v>
      </c>
      <c r="B14" s="1858"/>
      <c r="C14" s="1859"/>
      <c r="D14" s="1859"/>
      <c r="E14" s="1862"/>
      <c r="F14" s="1861"/>
      <c r="H14" s="1872">
        <f t="shared" si="0"/>
        <v>0</v>
      </c>
      <c r="I14" s="1872">
        <f t="shared" si="1"/>
        <v>0</v>
      </c>
      <c r="J14" s="1872">
        <f t="shared" si="2"/>
        <v>0</v>
      </c>
    </row>
    <row r="15" spans="1:10" ht="12" customHeight="1" x14ac:dyDescent="0.2">
      <c r="A15" s="1857" t="s">
        <v>1387</v>
      </c>
      <c r="B15" s="1858"/>
      <c r="C15" s="1859" t="s">
        <v>2066</v>
      </c>
      <c r="D15" s="1859" t="s">
        <v>2066</v>
      </c>
      <c r="E15" s="1862"/>
      <c r="F15" s="1861" t="s">
        <v>2084</v>
      </c>
      <c r="H15" s="1872">
        <f t="shared" si="0"/>
        <v>5</v>
      </c>
      <c r="I15" s="1872">
        <f t="shared" si="1"/>
        <v>5</v>
      </c>
      <c r="J15" s="1872">
        <f t="shared" si="2"/>
        <v>0</v>
      </c>
    </row>
    <row r="16" spans="1:10" ht="12" customHeight="1" x14ac:dyDescent="0.2">
      <c r="A16" s="1857" t="s">
        <v>1388</v>
      </c>
      <c r="B16" s="1858"/>
      <c r="C16" s="1859" t="s">
        <v>2066</v>
      </c>
      <c r="D16" s="1859" t="s">
        <v>2066</v>
      </c>
      <c r="E16" s="1862"/>
      <c r="F16" s="1861" t="s">
        <v>2083</v>
      </c>
      <c r="H16" s="1872">
        <f t="shared" si="0"/>
        <v>5</v>
      </c>
      <c r="I16" s="1872">
        <f t="shared" si="1"/>
        <v>5</v>
      </c>
      <c r="J16" s="1872">
        <f t="shared" si="2"/>
        <v>0</v>
      </c>
    </row>
    <row r="17" spans="1:12" ht="12" customHeight="1" x14ac:dyDescent="0.2">
      <c r="A17" s="1857" t="s">
        <v>1389</v>
      </c>
      <c r="B17" s="1858"/>
      <c r="C17" s="1859"/>
      <c r="D17" s="1859"/>
      <c r="E17" s="1862"/>
      <c r="F17" s="1861"/>
      <c r="H17" s="1872">
        <f t="shared" si="0"/>
        <v>0</v>
      </c>
      <c r="I17" s="1872">
        <f t="shared" si="1"/>
        <v>0</v>
      </c>
      <c r="J17" s="1872">
        <f t="shared" si="2"/>
        <v>0</v>
      </c>
    </row>
    <row r="18" spans="1:12" ht="12" customHeight="1" x14ac:dyDescent="0.2">
      <c r="A18" s="1857" t="s">
        <v>1390</v>
      </c>
      <c r="B18" s="1858"/>
      <c r="C18" s="1859"/>
      <c r="D18" s="1859"/>
      <c r="E18" s="1862"/>
      <c r="F18" s="1861"/>
      <c r="H18" s="1872">
        <f t="shared" si="0"/>
        <v>0</v>
      </c>
      <c r="I18" s="1872">
        <f t="shared" si="1"/>
        <v>0</v>
      </c>
      <c r="J18" s="1872">
        <f t="shared" si="2"/>
        <v>0</v>
      </c>
    </row>
    <row r="19" spans="1:12" ht="12" customHeight="1" x14ac:dyDescent="0.2">
      <c r="A19" s="1857" t="s">
        <v>1527</v>
      </c>
      <c r="B19" s="1858"/>
      <c r="C19" s="1859"/>
      <c r="D19" s="1859"/>
      <c r="E19" s="1862"/>
      <c r="F19" s="1861"/>
      <c r="H19" s="1872">
        <f t="shared" si="0"/>
        <v>0</v>
      </c>
      <c r="I19" s="1872">
        <f t="shared" si="1"/>
        <v>0</v>
      </c>
      <c r="J19" s="1872">
        <f t="shared" si="2"/>
        <v>0</v>
      </c>
    </row>
    <row r="20" spans="1:12" ht="12" customHeight="1" x14ac:dyDescent="0.2">
      <c r="A20" s="1857" t="s">
        <v>1528</v>
      </c>
      <c r="B20" s="1858"/>
      <c r="C20" s="1859" t="s">
        <v>2066</v>
      </c>
      <c r="D20" s="1859" t="s">
        <v>2066</v>
      </c>
      <c r="E20" s="1862"/>
      <c r="F20" s="1861" t="s">
        <v>2079</v>
      </c>
      <c r="H20" s="1872">
        <f t="shared" si="0"/>
        <v>5</v>
      </c>
      <c r="I20" s="1872">
        <f t="shared" si="1"/>
        <v>5</v>
      </c>
      <c r="J20" s="1872">
        <f t="shared" si="2"/>
        <v>0</v>
      </c>
    </row>
    <row r="21" spans="1:12" ht="12" customHeight="1" x14ac:dyDescent="0.2">
      <c r="A21" s="1857" t="s">
        <v>1529</v>
      </c>
      <c r="B21" s="1858"/>
      <c r="C21" s="1859"/>
      <c r="D21" s="1859"/>
      <c r="E21" s="1862"/>
      <c r="F21" s="1861"/>
      <c r="H21" s="1872">
        <f t="shared" si="0"/>
        <v>0</v>
      </c>
      <c r="I21" s="1872">
        <f t="shared" si="1"/>
        <v>0</v>
      </c>
      <c r="J21" s="1872">
        <f t="shared" si="2"/>
        <v>0</v>
      </c>
    </row>
    <row r="22" spans="1:12" ht="12" customHeight="1" x14ac:dyDescent="0.2">
      <c r="A22" s="1857" t="s">
        <v>1530</v>
      </c>
      <c r="B22" s="1858"/>
      <c r="C22" s="1859"/>
      <c r="D22" s="1859"/>
      <c r="E22" s="1862"/>
      <c r="F22" s="1861"/>
      <c r="H22" s="1872">
        <f t="shared" si="0"/>
        <v>0</v>
      </c>
      <c r="I22" s="1872">
        <f t="shared" si="1"/>
        <v>0</v>
      </c>
      <c r="J22" s="1872">
        <f t="shared" si="2"/>
        <v>0</v>
      </c>
    </row>
    <row r="23" spans="1:12" ht="12" customHeight="1" x14ac:dyDescent="0.2">
      <c r="A23" s="1857" t="s">
        <v>1531</v>
      </c>
      <c r="B23" s="1858"/>
      <c r="C23" s="1859"/>
      <c r="D23" s="1859"/>
      <c r="E23" s="1862"/>
      <c r="F23" s="1861"/>
      <c r="H23" s="1872">
        <f t="shared" si="0"/>
        <v>0</v>
      </c>
      <c r="I23" s="1872">
        <f t="shared" si="1"/>
        <v>0</v>
      </c>
      <c r="J23" s="1872">
        <f t="shared" si="2"/>
        <v>0</v>
      </c>
    </row>
    <row r="24" spans="1:12" ht="12" customHeight="1" x14ac:dyDescent="0.2">
      <c r="A24" s="1857" t="s">
        <v>1532</v>
      </c>
      <c r="B24" s="1858"/>
      <c r="C24" s="1859"/>
      <c r="D24" s="1859"/>
      <c r="E24" s="1862"/>
      <c r="F24" s="1861"/>
      <c r="H24" s="1872">
        <f t="shared" si="0"/>
        <v>0</v>
      </c>
      <c r="I24" s="1872">
        <f t="shared" si="1"/>
        <v>0</v>
      </c>
      <c r="J24" s="1872">
        <f t="shared" si="2"/>
        <v>0</v>
      </c>
    </row>
    <row r="25" spans="1:12" ht="12" customHeight="1" x14ac:dyDescent="0.2">
      <c r="A25" s="1857" t="s">
        <v>1533</v>
      </c>
      <c r="B25" s="1858"/>
      <c r="C25" s="1859"/>
      <c r="D25" s="1859"/>
      <c r="E25" s="1862"/>
      <c r="F25" s="1861"/>
      <c r="H25" s="1872">
        <f t="shared" si="0"/>
        <v>0</v>
      </c>
      <c r="I25" s="1872">
        <f t="shared" si="1"/>
        <v>0</v>
      </c>
      <c r="J25" s="1872">
        <f t="shared" si="2"/>
        <v>0</v>
      </c>
    </row>
    <row r="26" spans="1:12" ht="12" customHeight="1" x14ac:dyDescent="0.2">
      <c r="A26" s="1857" t="s">
        <v>1534</v>
      </c>
      <c r="B26" s="1858"/>
      <c r="C26" s="1859" t="s">
        <v>2066</v>
      </c>
      <c r="D26" s="1859" t="s">
        <v>2066</v>
      </c>
      <c r="E26" s="1862"/>
      <c r="F26" s="1861" t="s">
        <v>2080</v>
      </c>
      <c r="H26" s="1872">
        <f t="shared" si="0"/>
        <v>5</v>
      </c>
      <c r="I26" s="1872">
        <f t="shared" si="1"/>
        <v>5</v>
      </c>
      <c r="J26" s="1872">
        <f t="shared" si="2"/>
        <v>0</v>
      </c>
    </row>
    <row r="27" spans="1:12" ht="18.75" x14ac:dyDescent="0.2">
      <c r="A27" s="1857" t="s">
        <v>1535</v>
      </c>
      <c r="B27" s="1858"/>
      <c r="C27" s="1859"/>
      <c r="D27" s="1859"/>
      <c r="E27" s="1862"/>
      <c r="F27" s="1861"/>
      <c r="H27" s="1872">
        <f t="shared" si="0"/>
        <v>0</v>
      </c>
      <c r="I27" s="1872">
        <f t="shared" si="1"/>
        <v>0</v>
      </c>
      <c r="J27" s="1872">
        <f t="shared" si="2"/>
        <v>0</v>
      </c>
    </row>
    <row r="28" spans="1:12" ht="12" customHeight="1" x14ac:dyDescent="0.2">
      <c r="A28" s="1857" t="s">
        <v>1536</v>
      </c>
      <c r="B28" s="1858"/>
      <c r="C28" s="1859" t="s">
        <v>2066</v>
      </c>
      <c r="D28" s="1859" t="s">
        <v>2066</v>
      </c>
      <c r="E28" s="1862"/>
      <c r="F28" s="1861" t="s">
        <v>2081</v>
      </c>
      <c r="H28" s="1872">
        <f t="shared" si="0"/>
        <v>5</v>
      </c>
      <c r="I28" s="1872">
        <f t="shared" si="1"/>
        <v>5</v>
      </c>
      <c r="J28" s="1872">
        <f t="shared" si="2"/>
        <v>0</v>
      </c>
    </row>
    <row r="29" spans="1:12" ht="12" customHeight="1" x14ac:dyDescent="0.2">
      <c r="A29" s="1857" t="s">
        <v>1537</v>
      </c>
      <c r="B29" s="1858"/>
      <c r="C29" s="1859"/>
      <c r="D29" s="1859"/>
      <c r="E29" s="1862"/>
      <c r="F29" s="1861"/>
      <c r="H29" s="1872">
        <f t="shared" si="0"/>
        <v>0</v>
      </c>
      <c r="I29" s="1872">
        <f t="shared" si="1"/>
        <v>0</v>
      </c>
      <c r="J29" s="1872">
        <f t="shared" si="2"/>
        <v>0</v>
      </c>
    </row>
    <row r="30" spans="1:12" ht="12" customHeight="1" x14ac:dyDescent="0.2">
      <c r="A30" s="1857" t="s">
        <v>1538</v>
      </c>
      <c r="B30" s="1858"/>
      <c r="C30" s="1859" t="s">
        <v>2066</v>
      </c>
      <c r="D30" s="1859" t="s">
        <v>2066</v>
      </c>
      <c r="E30" s="1862"/>
      <c r="F30" s="1861" t="s">
        <v>2082</v>
      </c>
      <c r="H30" s="1872">
        <f t="shared" si="0"/>
        <v>5</v>
      </c>
      <c r="I30" s="1872">
        <f t="shared" si="1"/>
        <v>5</v>
      </c>
      <c r="J30" s="1872">
        <f t="shared" si="2"/>
        <v>0</v>
      </c>
    </row>
    <row r="31" spans="1:12" ht="12" customHeight="1" x14ac:dyDescent="0.2">
      <c r="A31" s="1857" t="s">
        <v>1539</v>
      </c>
      <c r="B31" s="1858"/>
      <c r="C31" s="1859"/>
      <c r="D31" s="1859"/>
      <c r="E31" s="1862"/>
      <c r="F31" s="1861"/>
      <c r="H31" s="1872">
        <f t="shared" si="0"/>
        <v>0</v>
      </c>
      <c r="I31" s="1872">
        <f t="shared" si="1"/>
        <v>0</v>
      </c>
      <c r="J31" s="1872">
        <f t="shared" si="2"/>
        <v>0</v>
      </c>
      <c r="L31" s="1863"/>
    </row>
    <row r="32" spans="1:12" ht="12" customHeight="1" x14ac:dyDescent="0.2">
      <c r="A32" s="1857" t="s">
        <v>1540</v>
      </c>
      <c r="B32" s="1858"/>
      <c r="C32" s="1859"/>
      <c r="D32" s="1859"/>
      <c r="E32" s="1862"/>
      <c r="F32" s="1861"/>
      <c r="H32" s="1872">
        <f t="shared" si="0"/>
        <v>0</v>
      </c>
      <c r="I32" s="1872">
        <f t="shared" si="1"/>
        <v>0</v>
      </c>
      <c r="J32" s="1872">
        <f t="shared" si="2"/>
        <v>0</v>
      </c>
    </row>
    <row r="33" spans="1:11" ht="12" customHeight="1" x14ac:dyDescent="0.2">
      <c r="A33" s="1857" t="s">
        <v>1541</v>
      </c>
      <c r="B33" s="1858"/>
      <c r="C33" s="1859"/>
      <c r="D33" s="1859"/>
      <c r="E33" s="1862"/>
      <c r="F33" s="1861"/>
      <c r="H33" s="1872">
        <f t="shared" si="0"/>
        <v>0</v>
      </c>
      <c r="I33" s="1872">
        <f t="shared" si="1"/>
        <v>0</v>
      </c>
      <c r="J33" s="1872">
        <f t="shared" si="2"/>
        <v>0</v>
      </c>
    </row>
    <row r="34" spans="1:11" ht="12" customHeight="1" x14ac:dyDescent="0.25">
      <c r="A34" s="1864"/>
      <c r="B34" s="1864"/>
      <c r="C34" s="1864"/>
      <c r="D34" s="1864"/>
      <c r="E34" s="1864"/>
      <c r="F34" s="1864"/>
      <c r="H34" s="1872">
        <f>SUM(H11:H32)</f>
        <v>35</v>
      </c>
      <c r="I34" s="1872">
        <f>SUM(I11:I32)</f>
        <v>35</v>
      </c>
      <c r="J34" s="1872">
        <f>SUM(J11:J32)</f>
        <v>0</v>
      </c>
      <c r="K34" s="1872">
        <f>SUM(H34:J34)</f>
        <v>70</v>
      </c>
    </row>
    <row r="35" spans="1:11" ht="12" customHeight="1" x14ac:dyDescent="0.2">
      <c r="A35" s="1865" t="s">
        <v>1392</v>
      </c>
      <c r="B35" s="1866"/>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67"/>
      <c r="B39" s="1867"/>
      <c r="C39" s="1867"/>
      <c r="D39" s="1867"/>
      <c r="E39" s="1867"/>
      <c r="F39" s="1867"/>
    </row>
    <row r="40" spans="1:11" s="1864" customFormat="1" ht="12" customHeight="1" x14ac:dyDescent="0.25">
      <c r="A40" s="1868" t="s">
        <v>1391</v>
      </c>
      <c r="B40" s="1869"/>
      <c r="C40" s="2307"/>
      <c r="D40" s="2307"/>
      <c r="E40" s="2307"/>
      <c r="F40" s="2308"/>
      <c r="H40" s="1873"/>
      <c r="I40" s="1873"/>
      <c r="J40" s="1873"/>
      <c r="K40" s="1873"/>
    </row>
    <row r="41" spans="1:11" s="1864" customFormat="1" ht="12" customHeight="1" x14ac:dyDescent="0.25">
      <c r="A41" s="2309"/>
      <c r="B41" s="2310"/>
      <c r="C41" s="2310"/>
      <c r="D41" s="2310"/>
      <c r="E41" s="2310"/>
      <c r="F41" s="2311"/>
      <c r="H41" s="1873"/>
      <c r="I41" s="1873"/>
      <c r="J41" s="1873"/>
      <c r="K41" s="1873"/>
    </row>
    <row r="42" spans="1:11" s="1864" customFormat="1" ht="12" customHeight="1" x14ac:dyDescent="0.25">
      <c r="A42" s="2309"/>
      <c r="B42" s="2310"/>
      <c r="C42" s="2310"/>
      <c r="D42" s="2310"/>
      <c r="E42" s="2310"/>
      <c r="F42" s="2311"/>
      <c r="H42" s="1873"/>
      <c r="I42" s="1873"/>
      <c r="J42" s="1873"/>
      <c r="K42" s="1873"/>
    </row>
    <row r="43" spans="1:11" s="1864" customFormat="1" ht="15" x14ac:dyDescent="0.25">
      <c r="A43" s="2298"/>
      <c r="B43" s="2299"/>
      <c r="C43" s="2299"/>
      <c r="D43" s="2299"/>
      <c r="E43" s="2299"/>
      <c r="F43" s="2300"/>
      <c r="H43" s="1873"/>
      <c r="I43" s="1873"/>
      <c r="J43" s="1873"/>
      <c r="K43" s="1873"/>
    </row>
    <row r="44" spans="1:11" s="1864" customFormat="1" ht="12" hidden="1" customHeight="1" x14ac:dyDescent="0.25">
      <c r="A44" s="2298"/>
      <c r="B44" s="2299"/>
      <c r="C44" s="2299"/>
      <c r="D44" s="2299"/>
      <c r="E44" s="2299"/>
      <c r="F44" s="2300"/>
      <c r="H44" s="1873"/>
      <c r="I44" s="1873"/>
      <c r="J44" s="1873"/>
      <c r="K44" s="1873"/>
    </row>
    <row r="45" spans="1:11" s="1864" customFormat="1" ht="12" customHeight="1" x14ac:dyDescent="0.25">
      <c r="H45" s="1873"/>
      <c r="I45" s="1873"/>
      <c r="J45" s="1873"/>
      <c r="K45" s="1873"/>
    </row>
    <row r="46" spans="1:11" s="1864" customFormat="1" ht="9.75" customHeight="1" x14ac:dyDescent="0.25">
      <c r="H46" s="1873"/>
      <c r="I46" s="1873"/>
      <c r="J46" s="1873"/>
      <c r="K46" s="1873"/>
    </row>
    <row r="47" spans="1:11" s="1864" customFormat="1" ht="13.5" customHeight="1" x14ac:dyDescent="0.25">
      <c r="H47" s="1873"/>
      <c r="I47" s="1873"/>
      <c r="J47" s="1873"/>
      <c r="K47" s="1873"/>
    </row>
    <row r="48" spans="1:11" s="1864" customFormat="1" ht="15" x14ac:dyDescent="0.25">
      <c r="H48" s="1873"/>
      <c r="I48" s="1873"/>
      <c r="J48" s="1873"/>
      <c r="K48" s="1873"/>
    </row>
    <row r="49" spans="1:11" s="1864" customFormat="1" ht="15" hidden="1" x14ac:dyDescent="0.25">
      <c r="A49" s="1864" t="b">
        <v>0</v>
      </c>
      <c r="H49" s="1873"/>
      <c r="I49" s="1873"/>
      <c r="J49" s="1873"/>
      <c r="K49" s="1873"/>
    </row>
    <row r="50" spans="1:11" s="1864" customFormat="1" ht="15" x14ac:dyDescent="0.25">
      <c r="H50" s="1873"/>
      <c r="I50" s="1873"/>
      <c r="J50" s="1873"/>
      <c r="K50" s="1873"/>
    </row>
    <row r="51" spans="1:11" s="1864" customFormat="1" ht="15" x14ac:dyDescent="0.25">
      <c r="H51" s="1873"/>
      <c r="I51" s="1873"/>
      <c r="J51" s="1873"/>
      <c r="K51" s="1873"/>
    </row>
    <row r="52" spans="1:11" s="1864" customFormat="1" ht="15" x14ac:dyDescent="0.25">
      <c r="H52" s="1873"/>
      <c r="I52" s="1873"/>
      <c r="J52" s="1873"/>
      <c r="K52" s="1873"/>
    </row>
    <row r="53" spans="1:11" s="1864" customFormat="1" ht="15" x14ac:dyDescent="0.25">
      <c r="H53" s="1873"/>
      <c r="I53" s="1873"/>
      <c r="J53" s="1873"/>
      <c r="K53" s="1873"/>
    </row>
    <row r="54" spans="1:11" s="1864" customFormat="1" ht="15" x14ac:dyDescent="0.25">
      <c r="H54" s="1873"/>
      <c r="I54" s="1873"/>
      <c r="J54" s="1873"/>
      <c r="K54" s="1873"/>
    </row>
    <row r="55" spans="1:11" s="1864" customFormat="1" ht="15" x14ac:dyDescent="0.25">
      <c r="H55" s="1873"/>
      <c r="I55" s="1873"/>
      <c r="J55" s="1873"/>
      <c r="K55" s="1873"/>
    </row>
    <row r="56" spans="1:11" s="1864" customFormat="1" ht="15" x14ac:dyDescent="0.25">
      <c r="H56" s="1873"/>
      <c r="I56" s="1873"/>
      <c r="J56" s="1873"/>
      <c r="K56" s="1873"/>
    </row>
    <row r="57" spans="1:11" s="1864" customFormat="1" ht="15" x14ac:dyDescent="0.25">
      <c r="H57" s="1873"/>
      <c r="I57" s="1873"/>
      <c r="J57" s="1873"/>
      <c r="K57" s="1873"/>
    </row>
    <row r="58" spans="1:11" s="1864" customFormat="1" ht="15" x14ac:dyDescent="0.25">
      <c r="H58" s="1873"/>
      <c r="I58" s="1873"/>
      <c r="J58" s="1873"/>
      <c r="K58" s="1873"/>
    </row>
    <row r="59" spans="1:11" s="1864" customFormat="1" ht="15" x14ac:dyDescent="0.25">
      <c r="H59" s="1873"/>
      <c r="I59" s="1873"/>
      <c r="J59" s="1873"/>
      <c r="K59" s="1873"/>
    </row>
    <row r="60" spans="1:11" s="1864" customFormat="1" ht="15" x14ac:dyDescent="0.25">
      <c r="H60" s="1873"/>
      <c r="I60" s="1873"/>
      <c r="J60" s="1873"/>
      <c r="K60" s="1873"/>
    </row>
    <row r="61" spans="1:11" s="1864" customFormat="1" ht="15" x14ac:dyDescent="0.25">
      <c r="H61" s="1873"/>
      <c r="I61" s="1873"/>
      <c r="J61" s="1873"/>
      <c r="K61" s="1873"/>
    </row>
    <row r="62" spans="1:11" s="1864" customFormat="1" ht="15" x14ac:dyDescent="0.25">
      <c r="H62" s="1873"/>
      <c r="I62" s="1873"/>
      <c r="J62" s="1873"/>
      <c r="K62" s="1873"/>
    </row>
    <row r="63" spans="1:11" s="1864" customFormat="1" ht="15" x14ac:dyDescent="0.25">
      <c r="H63" s="1873"/>
      <c r="I63" s="1873"/>
      <c r="J63" s="1873"/>
      <c r="K63" s="1873"/>
    </row>
    <row r="64" spans="1:11" s="1864" customFormat="1" ht="15" x14ac:dyDescent="0.25">
      <c r="H64" s="1873"/>
      <c r="I64" s="1873"/>
      <c r="J64" s="1873"/>
      <c r="K64" s="1873"/>
    </row>
    <row r="65" spans="8:11" s="1864" customFormat="1" ht="15" x14ac:dyDescent="0.25">
      <c r="H65" s="1873"/>
      <c r="I65" s="1873"/>
      <c r="J65" s="1873"/>
      <c r="K65" s="1873"/>
    </row>
    <row r="66" spans="8:11" s="1864" customFormat="1" ht="15" x14ac:dyDescent="0.25">
      <c r="H66" s="1873"/>
      <c r="I66" s="1873"/>
      <c r="J66" s="1873"/>
      <c r="K66" s="1873"/>
    </row>
    <row r="67" spans="8:11" s="1864" customFormat="1" ht="15" x14ac:dyDescent="0.25">
      <c r="H67" s="1873"/>
      <c r="I67" s="1873"/>
      <c r="J67" s="1873"/>
      <c r="K67" s="1873"/>
    </row>
    <row r="68" spans="8:11" s="1864" customFormat="1" ht="15" x14ac:dyDescent="0.25">
      <c r="H68" s="1873"/>
      <c r="I68" s="1873"/>
      <c r="J68" s="1873"/>
      <c r="K68" s="1873"/>
    </row>
    <row r="69" spans="8:11" s="1864" customFormat="1" ht="15" x14ac:dyDescent="0.25">
      <c r="H69" s="1873"/>
      <c r="I69" s="1873"/>
      <c r="J69" s="1873"/>
      <c r="K69" s="1873"/>
    </row>
    <row r="70" spans="8:11" s="1864" customFormat="1" ht="15" x14ac:dyDescent="0.25">
      <c r="H70" s="1873"/>
      <c r="I70" s="1873"/>
      <c r="J70" s="1873"/>
      <c r="K70" s="1873"/>
    </row>
    <row r="71" spans="8:11" s="1864" customFormat="1" ht="15" x14ac:dyDescent="0.25">
      <c r="H71" s="1873"/>
      <c r="I71" s="1873"/>
      <c r="J71" s="1873"/>
      <c r="K71" s="1873"/>
    </row>
    <row r="72" spans="8:11" s="1864" customFormat="1" ht="15" x14ac:dyDescent="0.25">
      <c r="H72" s="1873"/>
      <c r="I72" s="1873"/>
      <c r="J72" s="1873"/>
      <c r="K72" s="1873"/>
    </row>
    <row r="73" spans="8:11" s="1864" customFormat="1" ht="15" x14ac:dyDescent="0.25">
      <c r="H73" s="1873"/>
      <c r="I73" s="1873"/>
      <c r="J73" s="1873"/>
      <c r="K73" s="1873"/>
    </row>
    <row r="74" spans="8:11" s="1864" customFormat="1" ht="15" x14ac:dyDescent="0.25">
      <c r="H74" s="1873"/>
      <c r="I74" s="1873"/>
      <c r="J74" s="1873"/>
      <c r="K74" s="1873"/>
    </row>
    <row r="75" spans="8:11" s="1864" customFormat="1" ht="15" x14ac:dyDescent="0.25">
      <c r="H75" s="1873"/>
      <c r="I75" s="1873"/>
      <c r="J75" s="1873"/>
      <c r="K75" s="1873"/>
    </row>
    <row r="76" spans="8:11" s="1864" customFormat="1" ht="15" x14ac:dyDescent="0.25">
      <c r="H76" s="1873"/>
      <c r="I76" s="1873"/>
      <c r="J76" s="1873"/>
      <c r="K76" s="1873"/>
    </row>
    <row r="77" spans="8:11" s="1864" customFormat="1" ht="15" x14ac:dyDescent="0.25">
      <c r="H77" s="1873"/>
      <c r="I77" s="1873"/>
      <c r="J77" s="1873"/>
      <c r="K77" s="1873"/>
    </row>
    <row r="78" spans="8:11" s="1864" customFormat="1" ht="15" x14ac:dyDescent="0.25">
      <c r="H78" s="1873"/>
      <c r="I78" s="1873"/>
      <c r="J78" s="1873"/>
      <c r="K78" s="1873"/>
    </row>
    <row r="79" spans="8:11" s="1864" customFormat="1" ht="15" x14ac:dyDescent="0.25">
      <c r="H79" s="1873"/>
      <c r="I79" s="1873"/>
      <c r="J79" s="1873"/>
      <c r="K79" s="1873"/>
    </row>
    <row r="80" spans="8:11" s="1864" customFormat="1" ht="15" x14ac:dyDescent="0.25">
      <c r="H80" s="1873"/>
      <c r="I80" s="1873"/>
      <c r="J80" s="1873"/>
      <c r="K80" s="1873"/>
    </row>
    <row r="81" spans="8:11" s="1864" customFormat="1" ht="15" x14ac:dyDescent="0.25">
      <c r="H81" s="1873"/>
      <c r="I81" s="1873"/>
      <c r="J81" s="1873"/>
      <c r="K81" s="1873"/>
    </row>
    <row r="82" spans="8:11" s="1864" customFormat="1" ht="15" x14ac:dyDescent="0.25">
      <c r="H82" s="1873"/>
      <c r="I82" s="1873"/>
      <c r="J82" s="1873"/>
      <c r="K82" s="1873"/>
    </row>
    <row r="83" spans="8:11" s="1864" customFormat="1" ht="15" x14ac:dyDescent="0.25">
      <c r="H83" s="1873"/>
      <c r="I83" s="1873"/>
      <c r="J83" s="1873"/>
      <c r="K83" s="1873"/>
    </row>
    <row r="84" spans="8:11" s="1864" customFormat="1" ht="15" x14ac:dyDescent="0.25">
      <c r="H84" s="1873"/>
      <c r="I84" s="1873"/>
      <c r="J84" s="1873"/>
      <c r="K84" s="1873"/>
    </row>
    <row r="85" spans="8:11" s="1864" customFormat="1" ht="15" x14ac:dyDescent="0.25">
      <c r="H85" s="1873"/>
      <c r="I85" s="1873"/>
      <c r="J85" s="1873"/>
      <c r="K85" s="1873"/>
    </row>
    <row r="86" spans="8:11" s="1864" customFormat="1" ht="15" x14ac:dyDescent="0.25">
      <c r="H86" s="1873"/>
      <c r="I86" s="1873"/>
      <c r="J86" s="1873"/>
      <c r="K86" s="1873"/>
    </row>
    <row r="87" spans="8:11" s="1864" customFormat="1" ht="15" x14ac:dyDescent="0.25">
      <c r="H87" s="1873"/>
      <c r="I87" s="1873"/>
      <c r="J87" s="1873"/>
      <c r="K87" s="1873"/>
    </row>
    <row r="88" spans="8:11" s="1864" customFormat="1" ht="15" x14ac:dyDescent="0.25">
      <c r="H88" s="1873"/>
      <c r="I88" s="1873"/>
      <c r="J88" s="1873"/>
      <c r="K88" s="1873"/>
    </row>
    <row r="89" spans="8:11" s="1864" customFormat="1" ht="15" x14ac:dyDescent="0.25">
      <c r="H89" s="1873"/>
      <c r="I89" s="1873"/>
      <c r="J89" s="1873"/>
      <c r="K89" s="1873"/>
    </row>
    <row r="90" spans="8:11" s="1864" customFormat="1" ht="15" x14ac:dyDescent="0.25">
      <c r="H90" s="1873"/>
      <c r="I90" s="1873"/>
      <c r="J90" s="1873"/>
      <c r="K90" s="1873"/>
    </row>
    <row r="91" spans="8:11" s="1864" customFormat="1" ht="15" x14ac:dyDescent="0.25">
      <c r="H91" s="1873"/>
      <c r="I91" s="1873"/>
      <c r="J91" s="1873"/>
      <c r="K91" s="1873"/>
    </row>
    <row r="92" spans="8:11" s="1864" customFormat="1" ht="15" x14ac:dyDescent="0.25">
      <c r="H92" s="1873"/>
      <c r="I92" s="1873"/>
      <c r="J92" s="1873"/>
      <c r="K92" s="1873"/>
    </row>
    <row r="93" spans="8:11" s="1864" customFormat="1" ht="15" x14ac:dyDescent="0.25">
      <c r="H93" s="1873"/>
      <c r="I93" s="1873"/>
      <c r="J93" s="1873"/>
      <c r="K93" s="1873"/>
    </row>
    <row r="94" spans="8:11" s="1864" customFormat="1" ht="15" x14ac:dyDescent="0.25">
      <c r="H94" s="1873"/>
      <c r="I94" s="1873"/>
      <c r="J94" s="1873"/>
      <c r="K94" s="1873"/>
    </row>
    <row r="95" spans="8:11" s="1864" customFormat="1" ht="15" x14ac:dyDescent="0.25">
      <c r="H95" s="1873"/>
      <c r="I95" s="1873"/>
      <c r="J95" s="1873"/>
      <c r="K95" s="1873"/>
    </row>
    <row r="96" spans="8:11" s="1864" customFormat="1" ht="15" x14ac:dyDescent="0.25">
      <c r="H96" s="1873"/>
      <c r="I96" s="1873"/>
      <c r="J96" s="1873"/>
      <c r="K96" s="1873"/>
    </row>
    <row r="97" spans="8:11" s="1864" customFormat="1" ht="15" x14ac:dyDescent="0.25">
      <c r="H97" s="1873"/>
      <c r="I97" s="1873"/>
      <c r="J97" s="1873"/>
      <c r="K97" s="187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P16" sqref="P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8" t="s">
        <v>672</v>
      </c>
      <c r="B6" s="1642"/>
      <c r="C6" s="1642"/>
      <c r="D6" s="1642"/>
      <c r="E6" s="1643"/>
      <c r="F6" s="1015"/>
      <c r="G6" s="1009"/>
      <c r="H6" s="1016" t="s">
        <v>1028</v>
      </c>
      <c r="I6" s="2325" t="str">
        <f>COVER!A17</f>
        <v>Pekin PSD 108</v>
      </c>
      <c r="J6" s="2326"/>
      <c r="Q6" s="1661"/>
    </row>
    <row r="7" spans="1:17" x14ac:dyDescent="0.2">
      <c r="A7" s="2327" t="s">
        <v>869</v>
      </c>
      <c r="B7" s="2328"/>
      <c r="C7" s="2328"/>
      <c r="D7" s="2328"/>
      <c r="E7" s="2329"/>
      <c r="F7" s="1017"/>
      <c r="G7" s="1009"/>
      <c r="H7" s="1016" t="s">
        <v>372</v>
      </c>
      <c r="I7" s="2330">
        <f>COVER!A13</f>
        <v>53090108002</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89" t="s">
        <v>1972</v>
      </c>
      <c r="F9" s="1023"/>
      <c r="G9" s="1023"/>
      <c r="H9" s="1890" t="s">
        <v>1973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6">
        <f>'Expenditures 15-22'!K50</f>
        <v>570430</v>
      </c>
      <c r="F12" s="1039"/>
      <c r="G12" s="1806">
        <f t="shared" ref="G12:G18" si="0">SUM(E12:F12)</f>
        <v>570430</v>
      </c>
      <c r="H12" s="1040">
        <v>598519</v>
      </c>
      <c r="I12" s="1039"/>
      <c r="J12" s="1806">
        <f t="shared" ref="J12:J18" si="1">SUM(H12:I12)</f>
        <v>598519</v>
      </c>
    </row>
    <row r="13" spans="1:17" ht="15" customHeight="1" x14ac:dyDescent="0.2">
      <c r="A13" s="1035">
        <v>2</v>
      </c>
      <c r="B13" s="1036" t="s">
        <v>42</v>
      </c>
      <c r="C13" s="1037"/>
      <c r="D13" s="1038">
        <v>2330</v>
      </c>
      <c r="E13" s="1806">
        <f>'Expenditures 15-22'!K51</f>
        <v>512589</v>
      </c>
      <c r="F13" s="1039"/>
      <c r="G13" s="1806">
        <f t="shared" si="0"/>
        <v>512589</v>
      </c>
      <c r="H13" s="1040">
        <v>537569</v>
      </c>
      <c r="I13" s="1039"/>
      <c r="J13" s="1806">
        <f t="shared" si="1"/>
        <v>537569</v>
      </c>
    </row>
    <row r="14" spans="1:17" ht="15" customHeight="1" x14ac:dyDescent="0.2">
      <c r="A14" s="1035">
        <v>3</v>
      </c>
      <c r="B14" s="1036" t="s">
        <v>43</v>
      </c>
      <c r="C14" s="1037"/>
      <c r="D14" s="1041">
        <v>2490</v>
      </c>
      <c r="E14" s="1806">
        <f>'Expenditures 15-22'!K56</f>
        <v>0</v>
      </c>
      <c r="F14" s="1039"/>
      <c r="G14" s="1806">
        <f t="shared" si="0"/>
        <v>0</v>
      </c>
      <c r="H14" s="1040"/>
      <c r="I14" s="1039"/>
      <c r="J14" s="1806">
        <f t="shared" si="1"/>
        <v>0</v>
      </c>
    </row>
    <row r="15" spans="1:17" ht="15" customHeight="1" x14ac:dyDescent="0.2">
      <c r="A15" s="1035">
        <v>4</v>
      </c>
      <c r="B15" s="1036" t="s">
        <v>1068</v>
      </c>
      <c r="C15" s="1037"/>
      <c r="D15" s="1038">
        <v>2510</v>
      </c>
      <c r="E15" s="1806">
        <f>'Expenditures 15-22'!K59</f>
        <v>141418</v>
      </c>
      <c r="F15" s="1806">
        <f>'Expenditures 15-22'!K122</f>
        <v>0</v>
      </c>
      <c r="G15" s="1806">
        <f t="shared" si="0"/>
        <v>141418</v>
      </c>
      <c r="H15" s="1040">
        <v>145238</v>
      </c>
      <c r="I15" s="1040"/>
      <c r="J15" s="1806">
        <f t="shared" si="1"/>
        <v>145238</v>
      </c>
    </row>
    <row r="16" spans="1:17" ht="15" customHeight="1" x14ac:dyDescent="0.2">
      <c r="A16" s="1035">
        <v>5</v>
      </c>
      <c r="B16" s="1036" t="s">
        <v>101</v>
      </c>
      <c r="C16" s="1037"/>
      <c r="D16" s="1038">
        <v>2570</v>
      </c>
      <c r="E16" s="1806">
        <f>'Expenditures 15-22'!K64</f>
        <v>84283</v>
      </c>
      <c r="F16" s="1039"/>
      <c r="G16" s="1806">
        <f t="shared" si="0"/>
        <v>84283</v>
      </c>
      <c r="H16" s="1040">
        <v>89000</v>
      </c>
      <c r="I16" s="1039"/>
      <c r="J16" s="1806">
        <f t="shared" si="1"/>
        <v>89000</v>
      </c>
    </row>
    <row r="17" spans="1:10" ht="15" customHeight="1" x14ac:dyDescent="0.2">
      <c r="A17" s="1035">
        <v>6</v>
      </c>
      <c r="B17" s="1036" t="s">
        <v>1060</v>
      </c>
      <c r="C17" s="1037"/>
      <c r="D17" s="1038">
        <v>2610</v>
      </c>
      <c r="E17" s="1806">
        <f>'Expenditures 15-22'!K67</f>
        <v>0</v>
      </c>
      <c r="F17" s="1039"/>
      <c r="G17" s="1806">
        <f t="shared" si="0"/>
        <v>0</v>
      </c>
      <c r="H17" s="1040"/>
      <c r="I17" s="1039"/>
      <c r="J17" s="1806">
        <f t="shared" si="1"/>
        <v>0</v>
      </c>
    </row>
    <row r="18" spans="1:10" ht="22.5" customHeight="1" x14ac:dyDescent="0.2">
      <c r="A18" s="1042">
        <v>7</v>
      </c>
      <c r="B18" s="2334" t="s">
        <v>7</v>
      </c>
      <c r="C18" s="2335"/>
      <c r="D18" s="2336"/>
      <c r="E18" s="1043"/>
      <c r="F18" s="1043"/>
      <c r="G18" s="1807">
        <f t="shared" si="0"/>
        <v>0</v>
      </c>
      <c r="H18" s="1040"/>
      <c r="I18" s="1040"/>
      <c r="J18" s="1806">
        <f t="shared" si="1"/>
        <v>0</v>
      </c>
    </row>
    <row r="19" spans="1:10" ht="12.75" customHeight="1" thickBot="1" x14ac:dyDescent="0.25">
      <c r="A19" s="1035">
        <v>8</v>
      </c>
      <c r="B19" s="1044" t="s">
        <v>1161</v>
      </c>
      <c r="D19" s="1045"/>
      <c r="E19" s="1808">
        <f t="shared" ref="E19:J19" si="2">SUM(E12:E17)-E18</f>
        <v>1308720</v>
      </c>
      <c r="F19" s="1808">
        <f t="shared" si="2"/>
        <v>0</v>
      </c>
      <c r="G19" s="1808">
        <f t="shared" si="2"/>
        <v>1308720</v>
      </c>
      <c r="H19" s="1808">
        <f t="shared" si="2"/>
        <v>1370326</v>
      </c>
      <c r="I19" s="1808">
        <f t="shared" si="2"/>
        <v>0</v>
      </c>
      <c r="J19" s="1808">
        <f t="shared" si="2"/>
        <v>1370326</v>
      </c>
    </row>
    <row r="20" spans="1:10" ht="13.5" thickTop="1" x14ac:dyDescent="0.2">
      <c r="A20" s="1035">
        <v>9</v>
      </c>
      <c r="B20" s="2337" t="s">
        <v>1974</v>
      </c>
      <c r="C20" s="2337"/>
      <c r="D20" s="2338"/>
      <c r="E20" s="1046"/>
      <c r="F20" s="1046"/>
      <c r="G20" s="1046"/>
      <c r="H20" s="1046"/>
      <c r="I20" s="1046"/>
      <c r="J20" s="1809">
        <f>IF(AND(G19&gt;0,J19&gt;0),(((J19-G19)/G19)),"Enter Budget Data")</f>
        <v>4.7073476373861486E-2</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1976</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P16" sqref="P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2131</v>
      </c>
    </row>
    <row r="6" spans="1:2" x14ac:dyDescent="0.2">
      <c r="A6" s="1068">
        <v>2</v>
      </c>
      <c r="B6" s="329" t="s">
        <v>2141</v>
      </c>
    </row>
    <row r="7" spans="1:2" x14ac:dyDescent="0.2">
      <c r="A7" s="1068">
        <v>3</v>
      </c>
      <c r="B7" s="329" t="s">
        <v>2139</v>
      </c>
    </row>
    <row r="8" spans="1:2" x14ac:dyDescent="0.2">
      <c r="A8" s="1068">
        <v>4</v>
      </c>
      <c r="B8" s="329" t="s">
        <v>2138</v>
      </c>
    </row>
    <row r="9" spans="1:2" x14ac:dyDescent="0.2">
      <c r="A9" s="1069">
        <v>5</v>
      </c>
      <c r="B9" s="329" t="s">
        <v>2140</v>
      </c>
    </row>
    <row r="10" spans="1:2" x14ac:dyDescent="0.2">
      <c r="A10" s="1069">
        <v>6</v>
      </c>
      <c r="B10" s="329" t="s">
        <v>2142</v>
      </c>
    </row>
    <row r="11" spans="1:2" x14ac:dyDescent="0.2">
      <c r="A11" s="1069">
        <v>7</v>
      </c>
      <c r="B11" s="329" t="s">
        <v>2143</v>
      </c>
    </row>
    <row r="12" spans="1:2" x14ac:dyDescent="0.2">
      <c r="A12" s="1069">
        <v>8</v>
      </c>
      <c r="B12" s="329" t="s">
        <v>2144</v>
      </c>
    </row>
    <row r="13" spans="1:2" x14ac:dyDescent="0.2">
      <c r="A13" s="1069"/>
      <c r="B13" s="329" t="s">
        <v>2145</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Pekin PSD 108</v>
      </c>
    </row>
    <row r="65" spans="2:2" x14ac:dyDescent="0.2">
      <c r="B65" s="1070">
        <f>COVER!A13</f>
        <v>53090108002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8" zoomScale="110" zoomScaleNormal="110" workbookViewId="0">
      <selection activeCell="P16" sqref="P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31" t="s">
        <v>1611</v>
      </c>
    </row>
    <row r="23" spans="1:5" x14ac:dyDescent="0.2">
      <c r="A23" s="168"/>
      <c r="B23" s="162" t="s">
        <v>1852</v>
      </c>
      <c r="D23" s="167" t="s">
        <v>637</v>
      </c>
      <c r="E23" s="1831"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P16" sqref="P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4" t="s">
        <v>1685</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190500</xdr:colOff>
                <xdr:row>2</xdr:row>
                <xdr:rowOff>104775</xdr:rowOff>
              </from>
              <to>
                <xdr:col>1</xdr:col>
                <xdr:colOff>1104900</xdr:colOff>
                <xdr:row>6</xdr:row>
                <xdr:rowOff>142875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1257300</xdr:colOff>
                <xdr:row>2</xdr:row>
                <xdr:rowOff>114300</xdr:rowOff>
              </from>
              <to>
                <xdr:col>1</xdr:col>
                <xdr:colOff>2171700</xdr:colOff>
                <xdr:row>6</xdr:row>
                <xdr:rowOff>152400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2314575</xdr:colOff>
                <xdr:row>2</xdr:row>
                <xdr:rowOff>104775</xdr:rowOff>
              </from>
              <to>
                <xdr:col>1</xdr:col>
                <xdr:colOff>3228975</xdr:colOff>
                <xdr:row>6</xdr:row>
                <xdr:rowOff>142875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P16" sqref="P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1980</v>
      </c>
      <c r="B2" s="2356"/>
      <c r="C2" s="2356"/>
      <c r="D2" s="2356"/>
      <c r="E2" s="2356"/>
      <c r="F2" s="2357"/>
      <c r="G2" s="1074"/>
      <c r="H2" s="1074"/>
    </row>
    <row r="3" spans="1:8" ht="57" customHeight="1" x14ac:dyDescent="0.2">
      <c r="A3" s="2358" t="s">
        <v>1686</v>
      </c>
      <c r="B3" s="2359"/>
      <c r="C3" s="2359"/>
      <c r="D3" s="2359"/>
      <c r="E3" s="2359"/>
      <c r="F3" s="2360"/>
      <c r="G3" s="1074"/>
      <c r="H3" s="1074"/>
    </row>
    <row r="4" spans="1:8" ht="14.25" customHeight="1" x14ac:dyDescent="0.2">
      <c r="A4" s="2364" t="s">
        <v>1981</v>
      </c>
      <c r="B4" s="2365"/>
      <c r="C4" s="2365"/>
      <c r="D4" s="2365"/>
      <c r="E4" s="2365"/>
      <c r="F4" s="2366"/>
      <c r="G4" s="1074"/>
      <c r="H4" s="1074"/>
    </row>
    <row r="5" spans="1:8" ht="14.25" customHeight="1" x14ac:dyDescent="0.2">
      <c r="A5" s="2367" t="s">
        <v>1977</v>
      </c>
      <c r="B5" s="2368"/>
      <c r="C5" s="2368"/>
      <c r="D5" s="2368"/>
      <c r="E5" s="2368"/>
      <c r="F5" s="2369"/>
      <c r="G5" s="1074"/>
      <c r="H5" s="1074"/>
    </row>
    <row r="6" spans="1:8" s="1075" customFormat="1" ht="41.25" customHeight="1" x14ac:dyDescent="0.2">
      <c r="A6" s="2361" t="s">
        <v>1691</v>
      </c>
      <c r="B6" s="2362"/>
      <c r="C6" s="2362"/>
      <c r="D6" s="2362"/>
      <c r="E6" s="2362"/>
      <c r="F6" s="236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0">
        <f>'Acct Summary 7-8'!C8</f>
        <v>31361937</v>
      </c>
      <c r="C8" s="1810">
        <f>'Acct Summary 7-8'!D8</f>
        <v>2817565</v>
      </c>
      <c r="D8" s="1810">
        <f>'Acct Summary 7-8'!F8</f>
        <v>2885821</v>
      </c>
      <c r="E8" s="1810">
        <f>'Acct Summary 7-8'!I8</f>
        <v>421370</v>
      </c>
      <c r="F8" s="1810">
        <f>SUM(B8:E8)</f>
        <v>37486693</v>
      </c>
    </row>
    <row r="9" spans="1:8" s="1079" customFormat="1" ht="14.25" customHeight="1" thickBot="1" x14ac:dyDescent="0.25">
      <c r="A9" s="1078" t="s">
        <v>1369</v>
      </c>
      <c r="B9" s="1811">
        <f>'Acct Summary 7-8'!C17</f>
        <v>30449743</v>
      </c>
      <c r="C9" s="1811">
        <f>'Acct Summary 7-8'!D17</f>
        <v>2691795</v>
      </c>
      <c r="D9" s="1811">
        <f>'Acct Summary 7-8'!F17</f>
        <v>2988714</v>
      </c>
      <c r="E9" s="1810"/>
      <c r="F9" s="1810">
        <f>SUM(B9:E9)</f>
        <v>36130252</v>
      </c>
    </row>
    <row r="10" spans="1:8" s="1079" customFormat="1" ht="14.25" thickTop="1" thickBot="1" x14ac:dyDescent="0.25">
      <c r="A10" s="1080" t="s">
        <v>1370</v>
      </c>
      <c r="B10" s="1812">
        <f>(B8-B9)</f>
        <v>912194</v>
      </c>
      <c r="C10" s="1812">
        <f>(C8-C9)</f>
        <v>125770</v>
      </c>
      <c r="D10" s="1812">
        <f>(D8-D9)</f>
        <v>-102893</v>
      </c>
      <c r="E10" s="1811">
        <f>(E8-E9)</f>
        <v>421370</v>
      </c>
      <c r="F10" s="1813">
        <f>SUM(F8-F9)</f>
        <v>1356441</v>
      </c>
    </row>
    <row r="11" spans="1:8" s="1079" customFormat="1" ht="14.25" thickTop="1" thickBot="1" x14ac:dyDescent="0.25">
      <c r="A11" s="1081" t="s">
        <v>1978</v>
      </c>
      <c r="B11" s="1814">
        <f>'Acct Summary 7-8'!C81</f>
        <v>-324907</v>
      </c>
      <c r="C11" s="1814">
        <f>'Acct Summary 7-8'!D81</f>
        <v>247133</v>
      </c>
      <c r="D11" s="1814">
        <f>'Acct Summary 7-8'!F81</f>
        <v>-285566</v>
      </c>
      <c r="E11" s="1814">
        <f>'Acct Summary 7-8'!I81</f>
        <v>6709183</v>
      </c>
      <c r="F11" s="1815">
        <f>SUM(B11:E11)</f>
        <v>6345843</v>
      </c>
    </row>
    <row r="12" spans="1:8" ht="16.5" customHeight="1" thickTop="1" x14ac:dyDescent="0.2">
      <c r="A12" s="1082"/>
      <c r="B12" s="1083"/>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1687</v>
      </c>
      <c r="B16" s="2348"/>
      <c r="C16" s="2348"/>
      <c r="D16" s="2348"/>
      <c r="E16" s="234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2" colorId="8" zoomScale="110" zoomScaleNormal="110" workbookViewId="0">
      <selection activeCell="P16" sqref="P1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1"/>
      <c r="B2" s="1892"/>
      <c r="C2" s="1893"/>
      <c r="D2" s="1894"/>
    </row>
    <row r="3" spans="1:4" ht="36" customHeight="1" x14ac:dyDescent="0.2">
      <c r="A3" s="2370" t="s">
        <v>665</v>
      </c>
      <c r="B3" s="2371"/>
      <c r="C3" s="2371"/>
      <c r="D3" s="2372"/>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1504</v>
      </c>
      <c r="D7" s="2382"/>
    </row>
    <row r="8" spans="1:4" s="668" customFormat="1" ht="12.75" x14ac:dyDescent="0.2">
      <c r="A8" s="1138"/>
      <c r="B8" s="1093"/>
      <c r="C8" s="1096" t="s">
        <v>1503</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5" t="s">
        <v>314</v>
      </c>
      <c r="D21" s="2386"/>
    </row>
    <row r="22" spans="1:10" ht="12.75" x14ac:dyDescent="0.2">
      <c r="A22" s="1139"/>
      <c r="B22" s="1140">
        <v>2</v>
      </c>
      <c r="C22" s="2383" t="s">
        <v>1524</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1021</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79" t="s">
        <v>1696</v>
      </c>
      <c r="D70" s="238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29'!D44&gt;0,"OK","PLEASE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53090108002</v>
      </c>
    </row>
    <row r="3" spans="1:2" x14ac:dyDescent="0.2">
      <c r="A3" t="s">
        <v>956</v>
      </c>
      <c r="B3" s="138" t="str">
        <f>COVER!A15</f>
        <v>Tazewell</v>
      </c>
    </row>
    <row r="4" spans="1:2" x14ac:dyDescent="0.2">
      <c r="A4" t="s">
        <v>1007</v>
      </c>
      <c r="B4" s="138" t="str">
        <f>COVER!A17</f>
        <v>Pekin PSD 108</v>
      </c>
    </row>
    <row r="5" spans="1:2" x14ac:dyDescent="0.2">
      <c r="A5" t="s">
        <v>704</v>
      </c>
      <c r="B5" s="138" t="str">
        <f>COVER!A38</f>
        <v>Bill Link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066-004355</v>
      </c>
    </row>
    <row r="16" spans="1:2" x14ac:dyDescent="0.2">
      <c r="A16" t="s">
        <v>422</v>
      </c>
      <c r="B16" s="138" t="str">
        <f>COVER!T13</f>
        <v>Phillips, Salmi &amp; Associates, LLC</v>
      </c>
    </row>
    <row r="17" spans="1:2" x14ac:dyDescent="0.2">
      <c r="A17" t="s">
        <v>884</v>
      </c>
      <c r="B17" s="138" t="str">
        <f>COVER!T15</f>
        <v>Lori Salmi</v>
      </c>
    </row>
    <row r="18" spans="1:2" x14ac:dyDescent="0.2">
      <c r="A18" t="s">
        <v>1150</v>
      </c>
      <c r="B18" s="138" t="str">
        <f>COVER!T17</f>
        <v>112 S Main Street</v>
      </c>
    </row>
    <row r="19" spans="1:2" x14ac:dyDescent="0.2">
      <c r="A19" t="s">
        <v>886</v>
      </c>
      <c r="B19" s="138" t="str">
        <f>COVER!T25</f>
        <v>lsalmi@psa-cpa.com</v>
      </c>
    </row>
    <row r="20" spans="1:2" x14ac:dyDescent="0.2">
      <c r="A20" t="s">
        <v>887</v>
      </c>
      <c r="B20" s="138" t="str">
        <f>COVER!T19</f>
        <v>Washington</v>
      </c>
    </row>
    <row r="21" spans="1:2" x14ac:dyDescent="0.2">
      <c r="A21" t="s">
        <v>479</v>
      </c>
      <c r="B21" s="138" t="str">
        <f>COVER!X19</f>
        <v>IL</v>
      </c>
    </row>
    <row r="22" spans="1:2" x14ac:dyDescent="0.2">
      <c r="A22" t="s">
        <v>888</v>
      </c>
      <c r="B22" s="138">
        <f>COVER!Z19</f>
        <v>61571</v>
      </c>
    </row>
    <row r="23" spans="1:2" x14ac:dyDescent="0.2">
      <c r="A23" t="s">
        <v>1152</v>
      </c>
      <c r="B23" s="138" t="str">
        <f>COVER!T21</f>
        <v>(309) 444-4909</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848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40093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365000</v>
      </c>
      <c r="C91" s="2" t="s">
        <v>573</v>
      </c>
      <c r="D91" s="2" t="str">
        <f t="shared" si="0"/>
        <v>Error?</v>
      </c>
    </row>
    <row r="92" spans="1:4" x14ac:dyDescent="0.2">
      <c r="A92" s="5">
        <v>31</v>
      </c>
      <c r="B92" s="138">
        <f>'Assets-Liab 5-6'!C39</f>
        <v>-324907</v>
      </c>
      <c r="D92" s="2" t="str">
        <f t="shared" si="0"/>
        <v>Error?</v>
      </c>
    </row>
    <row r="93" spans="1:4" x14ac:dyDescent="0.2">
      <c r="A93" s="5">
        <v>32</v>
      </c>
      <c r="B93" s="138">
        <f>'Assets-Liab 5-6'!C41</f>
        <v>40093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247133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247133</v>
      </c>
      <c r="D123" s="2" t="str">
        <f t="shared" si="0"/>
        <v>Error?</v>
      </c>
    </row>
    <row r="124" spans="1:4" x14ac:dyDescent="0.2">
      <c r="A124" s="5">
        <v>63</v>
      </c>
      <c r="B124" s="138">
        <f>'Assets-Liab 5-6'!D41</f>
        <v>247133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173624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173624</v>
      </c>
      <c r="D140" s="2" t="str">
        <f t="shared" si="1"/>
        <v>Error?</v>
      </c>
    </row>
    <row r="141" spans="1:4" x14ac:dyDescent="0.2">
      <c r="A141" s="5">
        <v>80</v>
      </c>
      <c r="B141" s="138">
        <f>'Assets-Liab 5-6'!E41</f>
        <v>173624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4434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290000</v>
      </c>
      <c r="C169" s="2" t="s">
        <v>573</v>
      </c>
      <c r="D169" s="2" t="str">
        <f t="shared" si="1"/>
        <v>Error?</v>
      </c>
    </row>
    <row r="170" spans="1:4" x14ac:dyDescent="0.2">
      <c r="A170" s="5">
        <v>109</v>
      </c>
      <c r="B170" s="138">
        <f>'Assets-Liab 5-6'!F39</f>
        <v>-285566</v>
      </c>
      <c r="D170" s="2" t="str">
        <f t="shared" si="1"/>
        <v>Error?</v>
      </c>
    </row>
    <row r="171" spans="1:4" x14ac:dyDescent="0.2">
      <c r="A171" s="5">
        <v>110</v>
      </c>
      <c r="B171" s="138">
        <f>'Assets-Liab 5-6'!F41</f>
        <v>4434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367539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367539</v>
      </c>
      <c r="D189" s="2" t="str">
        <f t="shared" si="1"/>
        <v>Error?</v>
      </c>
    </row>
    <row r="190" spans="1:4" x14ac:dyDescent="0.2">
      <c r="A190" s="5">
        <v>129</v>
      </c>
      <c r="B190" s="138">
        <f>'Assets-Liab 5-6'!G41</f>
        <v>367539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378038</v>
      </c>
      <c r="D273" s="2" t="str">
        <f t="shared" si="3"/>
        <v>Error?</v>
      </c>
    </row>
    <row r="274" spans="1:4" x14ac:dyDescent="0.2">
      <c r="A274" s="5">
        <v>213</v>
      </c>
      <c r="B274" s="138">
        <f>'Assets-Liab 5-6'!M17</f>
        <v>61280523</v>
      </c>
      <c r="D274" s="2" t="str">
        <f t="shared" si="3"/>
        <v>Error?</v>
      </c>
    </row>
    <row r="275" spans="1:4" x14ac:dyDescent="0.2">
      <c r="A275" s="5">
        <v>214</v>
      </c>
      <c r="B275" s="138">
        <f>'Assets-Liab 5-6'!M18</f>
        <v>248387</v>
      </c>
      <c r="D275" s="2" t="str">
        <f t="shared" si="3"/>
        <v>Error?</v>
      </c>
    </row>
    <row r="276" spans="1:4" x14ac:dyDescent="0.2">
      <c r="A276" s="5">
        <v>215</v>
      </c>
      <c r="B276" s="138">
        <f>'Assets-Liab 5-6'!M19</f>
        <v>3345474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65380249</v>
      </c>
      <c r="C279" s="2" t="s">
        <v>573</v>
      </c>
      <c r="D279" s="2" t="str">
        <f t="shared" si="3"/>
        <v>Error?</v>
      </c>
    </row>
    <row r="280" spans="1:4" x14ac:dyDescent="0.2">
      <c r="A280" s="5">
        <v>219</v>
      </c>
      <c r="B280" s="138">
        <f>'Assets-Liab 5-6'!M40</f>
        <v>65380249</v>
      </c>
      <c r="D280" s="2" t="str">
        <f t="shared" si="3"/>
        <v>Error?</v>
      </c>
    </row>
    <row r="281" spans="1:4" x14ac:dyDescent="0.2">
      <c r="A281" s="5">
        <v>220</v>
      </c>
      <c r="B281" s="138">
        <f>'Assets-Liab 5-6'!M41</f>
        <v>65380249</v>
      </c>
      <c r="C281" s="2" t="s">
        <v>573</v>
      </c>
      <c r="D281" s="2" t="str">
        <f t="shared" si="3"/>
        <v>Error?</v>
      </c>
    </row>
    <row r="282" spans="1:4" x14ac:dyDescent="0.2">
      <c r="A282" s="5">
        <v>221</v>
      </c>
      <c r="B282" s="138">
        <f>'Assets-Liab 5-6'!N21</f>
        <v>173624</v>
      </c>
      <c r="D282" s="2" t="str">
        <f t="shared" si="3"/>
        <v>Error?</v>
      </c>
    </row>
    <row r="283" spans="1:4" x14ac:dyDescent="0.2">
      <c r="A283" s="5">
        <v>222</v>
      </c>
      <c r="B283" s="138">
        <f>'Assets-Liab 5-6'!N22</f>
        <v>3605485</v>
      </c>
      <c r="D283" s="2" t="str">
        <f t="shared" si="3"/>
        <v>Error?</v>
      </c>
    </row>
    <row r="284" spans="1:4" x14ac:dyDescent="0.2">
      <c r="A284" s="5">
        <v>223</v>
      </c>
      <c r="B284" s="138">
        <f>'Assets-Liab 5-6'!N23</f>
        <v>3779109</v>
      </c>
      <c r="C284" s="2" t="s">
        <v>573</v>
      </c>
      <c r="D284" s="2" t="str">
        <f t="shared" si="3"/>
        <v>Error?</v>
      </c>
    </row>
    <row r="285" spans="1:4" x14ac:dyDescent="0.2">
      <c r="A285" s="5">
        <v>224</v>
      </c>
      <c r="B285" s="138">
        <f>'Assets-Liab 5-6'!N36</f>
        <v>3779109</v>
      </c>
      <c r="D285" s="2" t="str">
        <f t="shared" si="3"/>
        <v>Error?</v>
      </c>
    </row>
    <row r="286" spans="1:4" x14ac:dyDescent="0.2">
      <c r="A286" s="10">
        <v>225</v>
      </c>
      <c r="D286" s="2" t="str">
        <f t="shared" si="3"/>
        <v>OK</v>
      </c>
    </row>
    <row r="287" spans="1:4" x14ac:dyDescent="0.2">
      <c r="A287" s="5">
        <v>226</v>
      </c>
      <c r="B287" s="138">
        <f>'Assets-Liab 5-6'!N37</f>
        <v>3779109</v>
      </c>
      <c r="C287" s="2" t="s">
        <v>573</v>
      </c>
      <c r="D287" s="2" t="str">
        <f t="shared" si="3"/>
        <v>Error?</v>
      </c>
    </row>
    <row r="288" spans="1:4" x14ac:dyDescent="0.2">
      <c r="A288" s="5">
        <v>227</v>
      </c>
      <c r="B288" s="138">
        <f>'Assets-Liab 5-6'!N41</f>
        <v>3779109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10175373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328772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14992133</v>
      </c>
      <c r="C720" s="2" t="s">
        <v>573</v>
      </c>
      <c r="D720" s="2" t="str">
        <f t="shared" si="10"/>
        <v>Error?</v>
      </c>
    </row>
    <row r="721" spans="1:4" x14ac:dyDescent="0.2">
      <c r="A721" s="5">
        <v>660</v>
      </c>
      <c r="B721" s="138">
        <f>'Expenditures 15-22'!C36</f>
        <v>194850</v>
      </c>
      <c r="D721" s="2" t="str">
        <f t="shared" si="10"/>
        <v>Error?</v>
      </c>
    </row>
    <row r="722" spans="1:4" x14ac:dyDescent="0.2">
      <c r="A722" s="5">
        <v>661</v>
      </c>
      <c r="B722" s="138">
        <f>'Expenditures 15-22'!C37</f>
        <v>383301</v>
      </c>
      <c r="D722" s="2" t="str">
        <f t="shared" si="10"/>
        <v>Error?</v>
      </c>
    </row>
    <row r="723" spans="1:4" x14ac:dyDescent="0.2">
      <c r="A723" s="5">
        <v>662</v>
      </c>
      <c r="B723" s="138">
        <f>'Expenditures 15-22'!C38</f>
        <v>167662</v>
      </c>
      <c r="D723" s="2" t="str">
        <f t="shared" si="10"/>
        <v>Error?</v>
      </c>
    </row>
    <row r="724" spans="1:4" x14ac:dyDescent="0.2">
      <c r="A724" s="5">
        <v>663</v>
      </c>
      <c r="B724" s="138">
        <f>'Expenditures 15-22'!C39</f>
        <v>145790</v>
      </c>
      <c r="D724" s="2" t="str">
        <f t="shared" si="10"/>
        <v>Error?</v>
      </c>
    </row>
    <row r="725" spans="1:4" x14ac:dyDescent="0.2">
      <c r="A725" s="5">
        <v>664</v>
      </c>
      <c r="B725" s="138">
        <f>'Expenditures 15-22'!C40</f>
        <v>679812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1571415</v>
      </c>
      <c r="C727" s="2" t="s">
        <v>573</v>
      </c>
      <c r="D727" s="2" t="str">
        <f t="shared" si="10"/>
        <v>Error?</v>
      </c>
    </row>
    <row r="728" spans="1:4" x14ac:dyDescent="0.2">
      <c r="A728" s="5">
        <v>667</v>
      </c>
      <c r="B728" s="138">
        <f>'Expenditures 15-22'!C44</f>
        <v>411412</v>
      </c>
      <c r="D728" s="2" t="str">
        <f t="shared" si="10"/>
        <v>Error?</v>
      </c>
    </row>
    <row r="729" spans="1:4" x14ac:dyDescent="0.2">
      <c r="A729" s="5">
        <v>668</v>
      </c>
      <c r="B729" s="138">
        <f>'Expenditures 15-22'!C45</f>
        <v>220983</v>
      </c>
      <c r="D729" s="2" t="str">
        <f t="shared" si="10"/>
        <v>Error?</v>
      </c>
    </row>
    <row r="730" spans="1:4" x14ac:dyDescent="0.2">
      <c r="A730" s="5">
        <v>669</v>
      </c>
      <c r="B730" s="138">
        <f>'Expenditures 15-22'!C46</f>
        <v>30737</v>
      </c>
      <c r="D730" s="2" t="str">
        <f t="shared" si="10"/>
        <v>Error?</v>
      </c>
    </row>
    <row r="731" spans="1:4" x14ac:dyDescent="0.2">
      <c r="A731" s="5">
        <v>670</v>
      </c>
      <c r="B731" s="138">
        <f>'Expenditures 15-22'!C47</f>
        <v>663132</v>
      </c>
      <c r="C731" s="2" t="s">
        <v>573</v>
      </c>
      <c r="D731" s="2" t="str">
        <f t="shared" si="10"/>
        <v>Error?</v>
      </c>
    </row>
    <row r="732" spans="1:4" x14ac:dyDescent="0.2">
      <c r="A732" s="5">
        <v>671</v>
      </c>
      <c r="B732" s="138">
        <f>'Expenditures 15-22'!C49</f>
        <v>5000</v>
      </c>
      <c r="D732" s="2" t="str">
        <f t="shared" si="10"/>
        <v>Error?</v>
      </c>
    </row>
    <row r="733" spans="1:4" x14ac:dyDescent="0.2">
      <c r="A733" s="5">
        <v>672</v>
      </c>
      <c r="B733" s="138">
        <f>'Expenditures 15-22'!C50</f>
        <v>451830</v>
      </c>
      <c r="D733" s="2" t="str">
        <f t="shared" si="10"/>
        <v>Error?</v>
      </c>
    </row>
    <row r="734" spans="1:4" x14ac:dyDescent="0.2">
      <c r="A734" s="5">
        <v>673</v>
      </c>
      <c r="B734" s="138">
        <f>'Expenditures 15-22'!C53</f>
        <v>775152</v>
      </c>
      <c r="C734" s="2" t="s">
        <v>573</v>
      </c>
      <c r="D734" s="2" t="str">
        <f t="shared" si="10"/>
        <v>Error?</v>
      </c>
    </row>
    <row r="735" spans="1:4" x14ac:dyDescent="0.2">
      <c r="A735" s="5">
        <v>674</v>
      </c>
      <c r="B735" s="138">
        <f>'Expenditures 15-22'!C55</f>
        <v>2145853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2145853</v>
      </c>
      <c r="C737" s="2" t="s">
        <v>573</v>
      </c>
      <c r="D737" s="2" t="str">
        <f t="shared" si="10"/>
        <v>Error?</v>
      </c>
    </row>
    <row r="738" spans="1:4" x14ac:dyDescent="0.2">
      <c r="A738" s="5">
        <v>677</v>
      </c>
      <c r="B738" s="138">
        <f>'Expenditures 15-22'!C59</f>
        <v>106056</v>
      </c>
      <c r="D738" s="2" t="str">
        <f t="shared" si="10"/>
        <v>Error?</v>
      </c>
    </row>
    <row r="739" spans="1:4" x14ac:dyDescent="0.2">
      <c r="A739" s="5">
        <v>678</v>
      </c>
      <c r="B739" s="138">
        <f>'Expenditures 15-22'!C60</f>
        <v>158831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264887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182179</v>
      </c>
      <c r="D749" s="2" t="str">
        <f t="shared" si="10"/>
        <v>Error?</v>
      </c>
    </row>
    <row r="750" spans="1:4" x14ac:dyDescent="0.2">
      <c r="A750" s="10">
        <v>689</v>
      </c>
      <c r="D750" s="2" t="str">
        <f t="shared" si="10"/>
        <v>OK</v>
      </c>
    </row>
    <row r="751" spans="1:4" x14ac:dyDescent="0.2">
      <c r="A751" s="5">
        <v>690</v>
      </c>
      <c r="B751" s="138">
        <f>'Expenditures 15-22'!C71</f>
        <v>358811</v>
      </c>
      <c r="D751" s="2" t="str">
        <f t="shared" si="10"/>
        <v>Error?</v>
      </c>
    </row>
    <row r="752" spans="1:4" x14ac:dyDescent="0.2">
      <c r="A752" s="10">
        <v>691</v>
      </c>
      <c r="D752" s="2" t="str">
        <f t="shared" si="10"/>
        <v>OK</v>
      </c>
    </row>
    <row r="753" spans="1:4" x14ac:dyDescent="0.2">
      <c r="A753" s="5">
        <v>692</v>
      </c>
      <c r="B753" s="138">
        <f>'Expenditures 15-22'!C72</f>
        <v>540990</v>
      </c>
      <c r="C753" s="2" t="s">
        <v>573</v>
      </c>
      <c r="D753" s="2" t="str">
        <f t="shared" si="10"/>
        <v>Error?</v>
      </c>
    </row>
    <row r="754" spans="1:4" x14ac:dyDescent="0.2">
      <c r="A754" s="5">
        <v>693</v>
      </c>
      <c r="B754" s="138">
        <f>'Expenditures 15-22'!C73</f>
        <v>34793</v>
      </c>
      <c r="D754" s="2" t="str">
        <f t="shared" si="10"/>
        <v>Error?</v>
      </c>
    </row>
    <row r="755" spans="1:4" x14ac:dyDescent="0.2">
      <c r="A755" s="5">
        <v>694</v>
      </c>
      <c r="B755" s="138">
        <f>'Expenditures 15-22'!C74</f>
        <v>5996222</v>
      </c>
      <c r="C755" s="2" t="s">
        <v>573</v>
      </c>
      <c r="D755" s="2" t="str">
        <f t="shared" si="10"/>
        <v>Error?</v>
      </c>
    </row>
    <row r="756" spans="1:4" x14ac:dyDescent="0.2">
      <c r="A756" s="5">
        <v>695</v>
      </c>
      <c r="B756" s="138">
        <f>'Expenditures 15-22'!C75</f>
        <v>174002</v>
      </c>
      <c r="D756" s="2" t="str">
        <f t="shared" si="10"/>
        <v>Error?</v>
      </c>
    </row>
    <row r="757" spans="1:4" x14ac:dyDescent="0.2">
      <c r="A757" s="5">
        <v>696</v>
      </c>
      <c r="B757" s="138">
        <f>'Expenditures 15-22'!C114</f>
        <v>21162357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1218033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39259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2154799</v>
      </c>
      <c r="C778" s="2" t="s">
        <v>573</v>
      </c>
      <c r="D778" s="2" t="str">
        <f t="shared" si="11"/>
        <v>Error?</v>
      </c>
    </row>
    <row r="779" spans="1:4" x14ac:dyDescent="0.2">
      <c r="A779" s="5">
        <v>718</v>
      </c>
      <c r="B779" s="138">
        <f>'Expenditures 15-22'!D36</f>
        <v>45123</v>
      </c>
      <c r="D779" s="2" t="str">
        <f t="shared" si="11"/>
        <v>Error?</v>
      </c>
    </row>
    <row r="780" spans="1:4" x14ac:dyDescent="0.2">
      <c r="A780" s="5">
        <v>719</v>
      </c>
      <c r="B780" s="138">
        <f>'Expenditures 15-22'!D37</f>
        <v>64618</v>
      </c>
      <c r="D780" s="2" t="str">
        <f t="shared" si="11"/>
        <v>Error?</v>
      </c>
    </row>
    <row r="781" spans="1:4" x14ac:dyDescent="0.2">
      <c r="A781" s="5">
        <v>720</v>
      </c>
      <c r="B781" s="138">
        <f>'Expenditures 15-22'!D38</f>
        <v>40931</v>
      </c>
      <c r="D781" s="2" t="str">
        <f t="shared" si="11"/>
        <v>Error?</v>
      </c>
    </row>
    <row r="782" spans="1:4" x14ac:dyDescent="0.2">
      <c r="A782" s="5">
        <v>721</v>
      </c>
      <c r="B782" s="138">
        <f>'Expenditures 15-22'!D39</f>
        <v>23013</v>
      </c>
      <c r="D782" s="2" t="str">
        <f t="shared" si="11"/>
        <v>Error?</v>
      </c>
    </row>
    <row r="783" spans="1:4" x14ac:dyDescent="0.2">
      <c r="A783" s="5">
        <v>722</v>
      </c>
      <c r="B783" s="138">
        <f>'Expenditures 15-22'!D40</f>
        <v>116486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290171</v>
      </c>
      <c r="C785" s="2" t="s">
        <v>573</v>
      </c>
      <c r="D785" s="2" t="str">
        <f t="shared" si="11"/>
        <v>Error?</v>
      </c>
    </row>
    <row r="786" spans="1:4" x14ac:dyDescent="0.2">
      <c r="A786" s="5">
        <v>725</v>
      </c>
      <c r="B786" s="138">
        <f>'Expenditures 15-22'!D44</f>
        <v>62966</v>
      </c>
      <c r="D786" s="2" t="str">
        <f t="shared" si="11"/>
        <v>Error?</v>
      </c>
    </row>
    <row r="787" spans="1:4" x14ac:dyDescent="0.2">
      <c r="A787" s="5">
        <v>726</v>
      </c>
      <c r="B787" s="138">
        <f>'Expenditures 15-22'!D45</f>
        <v>43904</v>
      </c>
      <c r="D787" s="2" t="str">
        <f t="shared" si="11"/>
        <v>Error?</v>
      </c>
    </row>
    <row r="788" spans="1:4" x14ac:dyDescent="0.2">
      <c r="A788" s="5">
        <v>727</v>
      </c>
      <c r="B788" s="138">
        <f>'Expenditures 15-22'!D46</f>
        <v>449</v>
      </c>
      <c r="D788" s="2" t="str">
        <f t="shared" si="11"/>
        <v>Error?</v>
      </c>
    </row>
    <row r="789" spans="1:4" x14ac:dyDescent="0.2">
      <c r="A789" s="5">
        <v>728</v>
      </c>
      <c r="B789" s="138">
        <f>'Expenditures 15-22'!D47</f>
        <v>107319</v>
      </c>
      <c r="C789" s="2" t="s">
        <v>573</v>
      </c>
      <c r="D789" s="2" t="str">
        <f t="shared" si="11"/>
        <v>Error?</v>
      </c>
    </row>
    <row r="790" spans="1:4" x14ac:dyDescent="0.2">
      <c r="A790" s="5">
        <v>729</v>
      </c>
      <c r="B790" s="138">
        <f>'Expenditures 15-22'!D49</f>
        <v>236</v>
      </c>
      <c r="D790" s="2" t="str">
        <f t="shared" si="11"/>
        <v>Error?</v>
      </c>
    </row>
    <row r="791" spans="1:4" x14ac:dyDescent="0.2">
      <c r="A791" s="5">
        <v>730</v>
      </c>
      <c r="B791" s="138">
        <f>'Expenditures 15-22'!D50</f>
        <v>92765</v>
      </c>
      <c r="D791" s="2" t="str">
        <f t="shared" si="11"/>
        <v>Error?</v>
      </c>
    </row>
    <row r="792" spans="1:4" x14ac:dyDescent="0.2">
      <c r="A792" s="5">
        <v>731</v>
      </c>
      <c r="B792" s="138">
        <f>'Expenditures 15-22'!D53</f>
        <v>137969</v>
      </c>
      <c r="C792" s="2" t="s">
        <v>573</v>
      </c>
      <c r="D792" s="2" t="str">
        <f t="shared" si="11"/>
        <v>Error?</v>
      </c>
    </row>
    <row r="793" spans="1:4" x14ac:dyDescent="0.2">
      <c r="A793" s="5">
        <v>732</v>
      </c>
      <c r="B793" s="138">
        <f>'Expenditures 15-22'!D55</f>
        <v>371019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371019</v>
      </c>
      <c r="C795" s="2" t="s">
        <v>573</v>
      </c>
      <c r="D795" s="2" t="str">
        <f t="shared" si="11"/>
        <v>Error?</v>
      </c>
    </row>
    <row r="796" spans="1:4" x14ac:dyDescent="0.2">
      <c r="A796" s="5">
        <v>735</v>
      </c>
      <c r="B796" s="138">
        <f>'Expenditures 15-22'!D59</f>
        <v>14078</v>
      </c>
      <c r="D796" s="2" t="str">
        <f t="shared" si="11"/>
        <v>Error?</v>
      </c>
    </row>
    <row r="797" spans="1:4" x14ac:dyDescent="0.2">
      <c r="A797" s="5">
        <v>736</v>
      </c>
      <c r="B797" s="138">
        <f>'Expenditures 15-22'!D60</f>
        <v>30217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44295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34421</v>
      </c>
      <c r="D807" s="2" t="str">
        <f t="shared" si="11"/>
        <v>Error?</v>
      </c>
    </row>
    <row r="808" spans="1:4" x14ac:dyDescent="0.2">
      <c r="A808" s="10">
        <v>747</v>
      </c>
      <c r="D808" s="2" t="str">
        <f t="shared" si="11"/>
        <v>OK</v>
      </c>
    </row>
    <row r="809" spans="1:4" x14ac:dyDescent="0.2">
      <c r="A809" s="5">
        <v>748</v>
      </c>
      <c r="B809" s="138">
        <f>'Expenditures 15-22'!D71</f>
        <v>64470</v>
      </c>
      <c r="D809" s="2" t="str">
        <f t="shared" si="11"/>
        <v>Error?</v>
      </c>
    </row>
    <row r="810" spans="1:4" x14ac:dyDescent="0.2">
      <c r="A810" s="10">
        <v>749</v>
      </c>
      <c r="D810" s="2" t="str">
        <f t="shared" si="11"/>
        <v>OK</v>
      </c>
    </row>
    <row r="811" spans="1:4" x14ac:dyDescent="0.2">
      <c r="A811" s="5">
        <v>750</v>
      </c>
      <c r="B811" s="138">
        <f>'Expenditures 15-22'!D72</f>
        <v>98891</v>
      </c>
      <c r="C811" s="2" t="s">
        <v>573</v>
      </c>
      <c r="D811" s="2" t="str">
        <f t="shared" si="11"/>
        <v>Error?</v>
      </c>
    </row>
    <row r="812" spans="1:4" x14ac:dyDescent="0.2">
      <c r="A812" s="5">
        <v>751</v>
      </c>
      <c r="B812" s="138">
        <f>'Expenditures 15-22'!D73</f>
        <v>8986</v>
      </c>
      <c r="D812" s="2" t="str">
        <f t="shared" si="11"/>
        <v>Error?</v>
      </c>
    </row>
    <row r="813" spans="1:4" x14ac:dyDescent="0.2">
      <c r="A813" s="5">
        <v>752</v>
      </c>
      <c r="B813" s="138">
        <f>'Expenditures 15-22'!D74</f>
        <v>1058650</v>
      </c>
      <c r="C813" s="2" t="s">
        <v>573</v>
      </c>
      <c r="D813" s="2" t="str">
        <f t="shared" si="11"/>
        <v>Error?</v>
      </c>
    </row>
    <row r="814" spans="1:4" x14ac:dyDescent="0.2">
      <c r="A814" s="5">
        <v>753</v>
      </c>
      <c r="B814" s="138">
        <f>'Expenditures 15-22'!D75</f>
        <v>48426</v>
      </c>
      <c r="D814" s="2" t="str">
        <f t="shared" si="11"/>
        <v>Error?</v>
      </c>
    </row>
    <row r="815" spans="1:4" x14ac:dyDescent="0.2">
      <c r="A815" s="5">
        <v>754</v>
      </c>
      <c r="B815" s="138">
        <f>'Expenditures 15-22'!D114</f>
        <v>3261875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134027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20714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155536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189</v>
      </c>
      <c r="D838" s="2" t="str">
        <f t="shared" si="12"/>
        <v>Error?</v>
      </c>
    </row>
    <row r="839" spans="1:4" x14ac:dyDescent="0.2">
      <c r="A839" s="5">
        <v>778</v>
      </c>
      <c r="B839" s="138">
        <f>'Expenditures 15-22'!E38</f>
        <v>294780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545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295514</v>
      </c>
      <c r="C843" s="2" t="s">
        <v>573</v>
      </c>
      <c r="D843" s="2" t="str">
        <f t="shared" si="12"/>
        <v>Error?</v>
      </c>
    </row>
    <row r="844" spans="1:4" x14ac:dyDescent="0.2">
      <c r="A844" s="5">
        <v>783</v>
      </c>
      <c r="B844" s="138">
        <f>'Expenditures 15-22'!E44</f>
        <v>107701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58223</v>
      </c>
      <c r="D846" s="2" t="str">
        <f t="shared" si="12"/>
        <v>Error?</v>
      </c>
    </row>
    <row r="847" spans="1:4" x14ac:dyDescent="0.2">
      <c r="A847" s="5">
        <v>786</v>
      </c>
      <c r="B847" s="138">
        <f>'Expenditures 15-22'!E47</f>
        <v>165924</v>
      </c>
      <c r="C847" s="2" t="s">
        <v>573</v>
      </c>
      <c r="D847" s="2" t="str">
        <f t="shared" si="12"/>
        <v>Error?</v>
      </c>
    </row>
    <row r="848" spans="1:4" x14ac:dyDescent="0.2">
      <c r="A848" s="5">
        <v>787</v>
      </c>
      <c r="B848" s="138">
        <f>'Expenditures 15-22'!E49</f>
        <v>32852</v>
      </c>
      <c r="D848" s="2" t="str">
        <f t="shared" si="12"/>
        <v>Error?</v>
      </c>
    </row>
    <row r="849" spans="1:4" x14ac:dyDescent="0.2">
      <c r="A849" s="5">
        <v>788</v>
      </c>
      <c r="B849" s="138">
        <f>'Expenditures 15-22'!E50</f>
        <v>21197</v>
      </c>
      <c r="D849" s="2" t="str">
        <f t="shared" si="12"/>
        <v>Error?</v>
      </c>
    </row>
    <row r="850" spans="1:4" x14ac:dyDescent="0.2">
      <c r="A850" s="5">
        <v>789</v>
      </c>
      <c r="B850" s="138">
        <f>'Expenditures 15-22'!E53</f>
        <v>190245</v>
      </c>
      <c r="C850" s="2" t="s">
        <v>573</v>
      </c>
      <c r="D850" s="2" t="str">
        <f t="shared" si="12"/>
        <v>Error?</v>
      </c>
    </row>
    <row r="851" spans="1:4" x14ac:dyDescent="0.2">
      <c r="A851" s="5">
        <v>790</v>
      </c>
      <c r="B851" s="138">
        <f>'Expenditures 15-22'!E55</f>
        <v>283109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283109</v>
      </c>
      <c r="C853" s="2" t="s">
        <v>573</v>
      </c>
      <c r="D853" s="2" t="str">
        <f t="shared" si="12"/>
        <v>Error?</v>
      </c>
    </row>
    <row r="854" spans="1:4" x14ac:dyDescent="0.2">
      <c r="A854" s="5">
        <v>793</v>
      </c>
      <c r="B854" s="138">
        <f>'Expenditures 15-22'!E59</f>
        <v>11075</v>
      </c>
      <c r="D854" s="2" t="str">
        <f t="shared" si="12"/>
        <v>Error?</v>
      </c>
    </row>
    <row r="855" spans="1:4" x14ac:dyDescent="0.2">
      <c r="A855" s="5">
        <v>794</v>
      </c>
      <c r="B855" s="138">
        <f>'Expenditures 15-22'!E60</f>
        <v>24943</v>
      </c>
      <c r="D855" s="2" t="str">
        <f t="shared" si="12"/>
        <v>Error?</v>
      </c>
    </row>
    <row r="856" spans="1:4" x14ac:dyDescent="0.2">
      <c r="A856" s="5">
        <v>795</v>
      </c>
      <c r="B856" s="138">
        <f>'Expenditures 15-22'!E61</f>
        <v>122777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1409579</v>
      </c>
      <c r="D858" s="2" t="str">
        <f t="shared" si="12"/>
        <v>Error?</v>
      </c>
    </row>
    <row r="859" spans="1:4" x14ac:dyDescent="0.2">
      <c r="A859" s="5">
        <v>798</v>
      </c>
      <c r="B859" s="138">
        <f>'Expenditures 15-22'!E64</f>
        <v>65688</v>
      </c>
      <c r="D859" s="2" t="str">
        <f t="shared" si="12"/>
        <v>Error?</v>
      </c>
    </row>
    <row r="860" spans="1:4" x14ac:dyDescent="0.2">
      <c r="A860" s="10">
        <v>799</v>
      </c>
      <c r="D860" s="2" t="str">
        <f t="shared" si="12"/>
        <v>OK</v>
      </c>
    </row>
    <row r="861" spans="1:4" x14ac:dyDescent="0.2">
      <c r="A861" s="5">
        <v>800</v>
      </c>
      <c r="B861" s="138">
        <f>'Expenditures 15-22'!E65</f>
        <v>1634062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433462</v>
      </c>
      <c r="D867" s="2" t="str">
        <f t="shared" si="12"/>
        <v>Error?</v>
      </c>
    </row>
    <row r="868" spans="1:4" x14ac:dyDescent="0.2">
      <c r="A868" s="10">
        <v>807</v>
      </c>
      <c r="D868" s="2" t="str">
        <f t="shared" si="12"/>
        <v>OK</v>
      </c>
    </row>
    <row r="869" spans="1:4" x14ac:dyDescent="0.2">
      <c r="A869" s="5">
        <v>808</v>
      </c>
      <c r="B869" s="138">
        <f>'Expenditures 15-22'!E72</f>
        <v>433462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3002316</v>
      </c>
      <c r="C871" s="2" t="s">
        <v>573</v>
      </c>
      <c r="D871" s="2" t="str">
        <f t="shared" si="12"/>
        <v>Error?</v>
      </c>
    </row>
    <row r="872" spans="1:4" x14ac:dyDescent="0.2">
      <c r="A872" s="5">
        <v>811</v>
      </c>
      <c r="B872" s="138">
        <f>'Expenditures 15-22'!E75</f>
        <v>29688</v>
      </c>
      <c r="D872" s="2" t="str">
        <f t="shared" si="12"/>
        <v>Error?</v>
      </c>
    </row>
    <row r="873" spans="1:4" x14ac:dyDescent="0.2">
      <c r="A873" s="5">
        <v>812</v>
      </c>
      <c r="B873" s="138">
        <f>'Expenditures 15-22'!E114</f>
        <v>3241565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555617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25325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587963</v>
      </c>
      <c r="C894" s="2" t="s">
        <v>573</v>
      </c>
      <c r="D894" s="2" t="str">
        <f t="shared" si="12"/>
        <v>Error?</v>
      </c>
    </row>
    <row r="895" spans="1:4" x14ac:dyDescent="0.2">
      <c r="A895" s="5">
        <v>834</v>
      </c>
      <c r="B895" s="138">
        <f>'Expenditures 15-22'!F36</f>
        <v>2244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2526</v>
      </c>
      <c r="D897" s="2" t="str">
        <f t="shared" si="13"/>
        <v>Error?</v>
      </c>
    </row>
    <row r="898" spans="1:4" x14ac:dyDescent="0.2">
      <c r="A898" s="5">
        <v>837</v>
      </c>
      <c r="B898" s="138">
        <f>'Expenditures 15-22'!F39</f>
        <v>5428</v>
      </c>
      <c r="D898" s="2" t="str">
        <f t="shared" si="13"/>
        <v>Error?</v>
      </c>
    </row>
    <row r="899" spans="1:4" x14ac:dyDescent="0.2">
      <c r="A899" s="5">
        <v>838</v>
      </c>
      <c r="B899" s="138">
        <f>'Expenditures 15-22'!F40</f>
        <v>4394</v>
      </c>
      <c r="D899" s="2" t="str">
        <f t="shared" si="13"/>
        <v>Error?</v>
      </c>
    </row>
    <row r="900" spans="1:4" x14ac:dyDescent="0.2">
      <c r="A900" s="5">
        <v>839</v>
      </c>
      <c r="B900" s="138">
        <f>'Expenditures 15-22'!F41</f>
        <v>1942</v>
      </c>
      <c r="D900" s="2" t="str">
        <f t="shared" si="13"/>
        <v>Error?</v>
      </c>
    </row>
    <row r="901" spans="1:4" x14ac:dyDescent="0.2">
      <c r="A901" s="5">
        <v>840</v>
      </c>
      <c r="B901" s="138">
        <f>'Expenditures 15-22'!F42</f>
        <v>16534</v>
      </c>
      <c r="C901" s="2" t="s">
        <v>573</v>
      </c>
      <c r="D901" s="2" t="str">
        <f t="shared" si="13"/>
        <v>Error?</v>
      </c>
    </row>
    <row r="902" spans="1:4" x14ac:dyDescent="0.2">
      <c r="A902" s="5">
        <v>841</v>
      </c>
      <c r="B902" s="138">
        <f>'Expenditures 15-22'!F44</f>
        <v>28801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310</v>
      </c>
      <c r="D904" s="2" t="str">
        <f t="shared" si="13"/>
        <v>Error?</v>
      </c>
    </row>
    <row r="905" spans="1:4" x14ac:dyDescent="0.2">
      <c r="A905" s="5">
        <v>844</v>
      </c>
      <c r="B905" s="138">
        <f>'Expenditures 15-22'!F47</f>
        <v>29111</v>
      </c>
      <c r="C905" s="2" t="s">
        <v>573</v>
      </c>
      <c r="D905" s="2" t="str">
        <f t="shared" si="13"/>
        <v>Error?</v>
      </c>
    </row>
    <row r="906" spans="1:4" x14ac:dyDescent="0.2">
      <c r="A906" s="5">
        <v>845</v>
      </c>
      <c r="B906" s="138">
        <f>'Expenditures 15-22'!F49</f>
        <v>1734</v>
      </c>
      <c r="D906" s="2" t="str">
        <f t="shared" si="13"/>
        <v>Error?</v>
      </c>
    </row>
    <row r="907" spans="1:4" x14ac:dyDescent="0.2">
      <c r="A907" s="5">
        <v>846</v>
      </c>
      <c r="B907" s="138">
        <f>'Expenditures 15-22'!F50</f>
        <v>1084</v>
      </c>
      <c r="D907" s="2" t="str">
        <f t="shared" si="13"/>
        <v>Error?</v>
      </c>
    </row>
    <row r="908" spans="1:4" x14ac:dyDescent="0.2">
      <c r="A908" s="5">
        <v>847</v>
      </c>
      <c r="B908" s="138">
        <f>'Expenditures 15-22'!F53</f>
        <v>14921</v>
      </c>
      <c r="C908" s="2" t="s">
        <v>573</v>
      </c>
      <c r="D908" s="2" t="str">
        <f t="shared" si="13"/>
        <v>Error?</v>
      </c>
    </row>
    <row r="909" spans="1:4" x14ac:dyDescent="0.2">
      <c r="A909" s="5">
        <v>848</v>
      </c>
      <c r="B909" s="138">
        <f>'Expenditures 15-22'!F55</f>
        <v>9227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9227</v>
      </c>
      <c r="C911" s="2" t="s">
        <v>573</v>
      </c>
      <c r="D911" s="2" t="str">
        <f t="shared" si="13"/>
        <v>Error?</v>
      </c>
    </row>
    <row r="912" spans="1:4" x14ac:dyDescent="0.2">
      <c r="A912" s="5">
        <v>851</v>
      </c>
      <c r="B912" s="138">
        <f>'Expenditures 15-22'!F59</f>
        <v>7185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3787</v>
      </c>
      <c r="D916" s="2" t="str">
        <f t="shared" si="13"/>
        <v>Error?</v>
      </c>
    </row>
    <row r="917" spans="1:4" x14ac:dyDescent="0.2">
      <c r="A917" s="5">
        <v>856</v>
      </c>
      <c r="B917" s="138">
        <f>'Expenditures 15-22'!F64</f>
        <v>18595</v>
      </c>
      <c r="D917" s="2" t="str">
        <f t="shared" si="13"/>
        <v>Error?</v>
      </c>
    </row>
    <row r="918" spans="1:4" x14ac:dyDescent="0.2">
      <c r="A918" s="10">
        <v>857</v>
      </c>
      <c r="D918" s="2" t="str">
        <f t="shared" si="13"/>
        <v>OK</v>
      </c>
    </row>
    <row r="919" spans="1:4" x14ac:dyDescent="0.2">
      <c r="A919" s="5">
        <v>858</v>
      </c>
      <c r="B919" s="138">
        <f>'Expenditures 15-22'!F65</f>
        <v>29567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142506</v>
      </c>
      <c r="D925" s="2" t="str">
        <f t="shared" si="13"/>
        <v>Error?</v>
      </c>
    </row>
    <row r="926" spans="1:4" x14ac:dyDescent="0.2">
      <c r="A926" s="10">
        <v>865</v>
      </c>
      <c r="D926" s="2" t="str">
        <f t="shared" si="13"/>
        <v>OK</v>
      </c>
    </row>
    <row r="927" spans="1:4" x14ac:dyDescent="0.2">
      <c r="A927" s="5">
        <v>866</v>
      </c>
      <c r="B927" s="138">
        <f>'Expenditures 15-22'!F72</f>
        <v>142506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241866</v>
      </c>
      <c r="C929" s="2" t="s">
        <v>573</v>
      </c>
      <c r="D929" s="2" t="str">
        <f t="shared" si="13"/>
        <v>Error?</v>
      </c>
    </row>
    <row r="930" spans="1:4" x14ac:dyDescent="0.2">
      <c r="A930" s="5">
        <v>869</v>
      </c>
      <c r="B930" s="138">
        <f>'Expenditures 15-22'!F75</f>
        <v>22811</v>
      </c>
      <c r="D930" s="2" t="str">
        <f t="shared" si="13"/>
        <v>Error?</v>
      </c>
    </row>
    <row r="931" spans="1:4" x14ac:dyDescent="0.2">
      <c r="A931" s="5">
        <v>870</v>
      </c>
      <c r="B931" s="138">
        <f>'Expenditures 15-22'!F114</f>
        <v>852640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610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610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127827</v>
      </c>
      <c r="D983" s="2" t="str">
        <f t="shared" si="14"/>
        <v>Error?</v>
      </c>
    </row>
    <row r="984" spans="1:4" x14ac:dyDescent="0.2">
      <c r="A984" s="10">
        <v>923</v>
      </c>
      <c r="D984" s="2" t="str">
        <f t="shared" si="14"/>
        <v>OK</v>
      </c>
    </row>
    <row r="985" spans="1:4" x14ac:dyDescent="0.2">
      <c r="A985" s="5">
        <v>924</v>
      </c>
      <c r="B985" s="138">
        <f>'Expenditures 15-22'!G72</f>
        <v>127827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127827</v>
      </c>
      <c r="C987" s="2" t="s">
        <v>573</v>
      </c>
      <c r="D987" s="2" t="str">
        <f t="shared" si="14"/>
        <v>Error?</v>
      </c>
    </row>
    <row r="988" spans="1:4" x14ac:dyDescent="0.2">
      <c r="A988" s="5">
        <v>927</v>
      </c>
      <c r="B988" s="138">
        <f>'Expenditures 15-22'!G75</f>
        <v>3833</v>
      </c>
      <c r="D988" s="2" t="str">
        <f t="shared" si="14"/>
        <v>Error?</v>
      </c>
    </row>
    <row r="989" spans="1:4" x14ac:dyDescent="0.2">
      <c r="A989" s="5">
        <v>928</v>
      </c>
      <c r="B989" s="138">
        <f>'Expenditures 15-22'!G114</f>
        <v>132270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1108559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821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821</v>
      </c>
      <c r="C1021" s="2" t="s">
        <v>573</v>
      </c>
      <c r="D1021" s="2" t="str">
        <f t="shared" si="14"/>
        <v>Error?</v>
      </c>
    </row>
    <row r="1022" spans="1:4" x14ac:dyDescent="0.2">
      <c r="A1022" s="5">
        <v>961</v>
      </c>
      <c r="B1022" s="138">
        <f>'Expenditures 15-22'!H49</f>
        <v>32085</v>
      </c>
      <c r="D1022" s="2" t="str">
        <f t="shared" si="14"/>
        <v>Error?</v>
      </c>
    </row>
    <row r="1023" spans="1:4" x14ac:dyDescent="0.2">
      <c r="A1023" s="5">
        <v>962</v>
      </c>
      <c r="B1023" s="138">
        <f>'Expenditures 15-22'!H50</f>
        <v>3554</v>
      </c>
      <c r="D1023" s="2" t="str">
        <f t="shared" ref="D1023:D1086" si="15">IF(ISBLANK(B1023),"OK",IF(A1023-B1023=0,"OK","Error?"))</f>
        <v>Error?</v>
      </c>
    </row>
    <row r="1024" spans="1:4" x14ac:dyDescent="0.2">
      <c r="A1024" s="5">
        <v>963</v>
      </c>
      <c r="B1024" s="138">
        <f>'Expenditures 15-22'!H53</f>
        <v>36639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3024</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3364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40824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636176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1785559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12083660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414070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18999600</v>
      </c>
      <c r="C1108" s="2" t="s">
        <v>573</v>
      </c>
      <c r="D1108" s="2" t="str">
        <f t="shared" si="16"/>
        <v>Error?</v>
      </c>
    </row>
    <row r="1109" spans="1:4" x14ac:dyDescent="0.2">
      <c r="A1109" s="5">
        <v>1048</v>
      </c>
      <c r="B1109" s="138">
        <f>'Expenditures 15-22'!K36</f>
        <v>242217</v>
      </c>
      <c r="C1109" s="2" t="s">
        <v>573</v>
      </c>
      <c r="D1109" s="2" t="str">
        <f t="shared" si="16"/>
        <v>Error?</v>
      </c>
    </row>
    <row r="1110" spans="1:4" x14ac:dyDescent="0.2">
      <c r="A1110" s="5">
        <v>1049</v>
      </c>
      <c r="B1110" s="138">
        <f>'Expenditures 15-22'!K37</f>
        <v>448108</v>
      </c>
      <c r="C1110" s="2" t="s">
        <v>573</v>
      </c>
      <c r="D1110" s="2" t="str">
        <f t="shared" si="16"/>
        <v>Error?</v>
      </c>
    </row>
    <row r="1111" spans="1:4" x14ac:dyDescent="0.2">
      <c r="A1111" s="5">
        <v>1050</v>
      </c>
      <c r="B1111" s="138">
        <f>'Expenditures 15-22'!K38</f>
        <v>505899</v>
      </c>
      <c r="C1111" s="2" t="s">
        <v>573</v>
      </c>
      <c r="D1111" s="2" t="str">
        <f t="shared" si="16"/>
        <v>Error?</v>
      </c>
    </row>
    <row r="1112" spans="1:4" x14ac:dyDescent="0.2">
      <c r="A1112" s="5">
        <v>1051</v>
      </c>
      <c r="B1112" s="138">
        <f>'Expenditures 15-22'!K39</f>
        <v>174231</v>
      </c>
      <c r="C1112" s="2" t="s">
        <v>573</v>
      </c>
      <c r="D1112" s="2" t="str">
        <f t="shared" si="16"/>
        <v>Error?</v>
      </c>
    </row>
    <row r="1113" spans="1:4" x14ac:dyDescent="0.2">
      <c r="A1113" s="5">
        <v>1052</v>
      </c>
      <c r="B1113" s="138">
        <f>'Expenditures 15-22'!K40</f>
        <v>801237</v>
      </c>
      <c r="C1113" s="2" t="s">
        <v>573</v>
      </c>
      <c r="D1113" s="2" t="str">
        <f t="shared" si="16"/>
        <v>Error?</v>
      </c>
    </row>
    <row r="1114" spans="1:4" x14ac:dyDescent="0.2">
      <c r="A1114" s="5">
        <v>1053</v>
      </c>
      <c r="B1114" s="138">
        <f>'Expenditures 15-22'!K41</f>
        <v>1942</v>
      </c>
      <c r="C1114" s="2" t="s">
        <v>573</v>
      </c>
      <c r="D1114" s="2" t="str">
        <f t="shared" si="16"/>
        <v>Error?</v>
      </c>
    </row>
    <row r="1115" spans="1:4" x14ac:dyDescent="0.2">
      <c r="A1115" s="5">
        <v>1054</v>
      </c>
      <c r="B1115" s="138">
        <f>'Expenditures 15-22'!K42</f>
        <v>2173634</v>
      </c>
      <c r="C1115" s="2" t="s">
        <v>573</v>
      </c>
      <c r="D1115" s="2" t="str">
        <f t="shared" si="16"/>
        <v>Error?</v>
      </c>
    </row>
    <row r="1116" spans="1:4" x14ac:dyDescent="0.2">
      <c r="A1116" s="5">
        <v>1055</v>
      </c>
      <c r="B1116" s="138">
        <f>'Expenditures 15-22'!K44</f>
        <v>611701</v>
      </c>
      <c r="C1116" s="2" t="s">
        <v>573</v>
      </c>
      <c r="D1116" s="2" t="str">
        <f t="shared" si="16"/>
        <v>Error?</v>
      </c>
    </row>
    <row r="1117" spans="1:4" x14ac:dyDescent="0.2">
      <c r="A1117" s="5">
        <v>1056</v>
      </c>
      <c r="B1117" s="138">
        <f>'Expenditures 15-22'!K45</f>
        <v>264887</v>
      </c>
      <c r="C1117" s="2" t="s">
        <v>573</v>
      </c>
      <c r="D1117" s="2" t="str">
        <f t="shared" si="16"/>
        <v>Error?</v>
      </c>
    </row>
    <row r="1118" spans="1:4" x14ac:dyDescent="0.2">
      <c r="A1118" s="5">
        <v>1057</v>
      </c>
      <c r="B1118" s="138">
        <f>'Expenditures 15-22'!K46</f>
        <v>89719</v>
      </c>
      <c r="C1118" s="2" t="s">
        <v>573</v>
      </c>
      <c r="D1118" s="2" t="str">
        <f t="shared" si="16"/>
        <v>Error?</v>
      </c>
    </row>
    <row r="1119" spans="1:4" x14ac:dyDescent="0.2">
      <c r="A1119" s="5">
        <v>1058</v>
      </c>
      <c r="B1119" s="138">
        <f>'Expenditures 15-22'!K47</f>
        <v>966307</v>
      </c>
      <c r="C1119" s="2" t="s">
        <v>573</v>
      </c>
      <c r="D1119" s="2" t="str">
        <f t="shared" si="16"/>
        <v>Error?</v>
      </c>
    </row>
    <row r="1120" spans="1:4" x14ac:dyDescent="0.2">
      <c r="A1120" s="5">
        <v>1059</v>
      </c>
      <c r="B1120" s="138">
        <f>'Expenditures 15-22'!K49</f>
        <v>71907</v>
      </c>
      <c r="C1120" s="2" t="s">
        <v>573</v>
      </c>
      <c r="D1120" s="2" t="str">
        <f t="shared" si="16"/>
        <v>Error?</v>
      </c>
    </row>
    <row r="1121" spans="1:4" x14ac:dyDescent="0.2">
      <c r="A1121" s="5">
        <v>1060</v>
      </c>
      <c r="B1121" s="138">
        <f>'Expenditures 15-22'!K50</f>
        <v>570430</v>
      </c>
      <c r="C1121" s="2" t="s">
        <v>573</v>
      </c>
      <c r="D1121" s="2" t="str">
        <f t="shared" si="16"/>
        <v>Error?</v>
      </c>
    </row>
    <row r="1122" spans="1:4" x14ac:dyDescent="0.2">
      <c r="A1122" s="5">
        <v>1061</v>
      </c>
      <c r="B1122" s="138">
        <f>'Expenditures 15-22'!K53</f>
        <v>1154926</v>
      </c>
      <c r="C1122" s="2" t="s">
        <v>573</v>
      </c>
      <c r="D1122" s="2" t="str">
        <f t="shared" si="16"/>
        <v>Error?</v>
      </c>
    </row>
    <row r="1123" spans="1:4" x14ac:dyDescent="0.2">
      <c r="A1123" s="5">
        <v>1062</v>
      </c>
      <c r="B1123" s="138">
        <f>'Expenditures 15-22'!K55</f>
        <v>2809208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2809208</v>
      </c>
      <c r="C1125" s="2" t="s">
        <v>573</v>
      </c>
      <c r="D1125" s="2" t="str">
        <f t="shared" si="16"/>
        <v>Error?</v>
      </c>
    </row>
    <row r="1126" spans="1:4" x14ac:dyDescent="0.2">
      <c r="A1126" s="5">
        <v>1065</v>
      </c>
      <c r="B1126" s="138">
        <f>'Expenditures 15-22'!K59</f>
        <v>141418</v>
      </c>
      <c r="C1126" s="2" t="s">
        <v>573</v>
      </c>
      <c r="D1126" s="2" t="str">
        <f t="shared" si="16"/>
        <v>Error?</v>
      </c>
    </row>
    <row r="1127" spans="1:4" x14ac:dyDescent="0.2">
      <c r="A1127" s="5">
        <v>1066</v>
      </c>
      <c r="B1127" s="138">
        <f>'Expenditures 15-22'!K60</f>
        <v>214331</v>
      </c>
      <c r="C1127" s="2" t="s">
        <v>573</v>
      </c>
      <c r="D1127" s="2" t="str">
        <f t="shared" si="16"/>
        <v>Error?</v>
      </c>
    </row>
    <row r="1128" spans="1:4" x14ac:dyDescent="0.2">
      <c r="A1128" s="5">
        <v>1067</v>
      </c>
      <c r="B1128" s="138">
        <f>'Expenditures 15-22'!K61</f>
        <v>122777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1413366</v>
      </c>
      <c r="C1130" s="2" t="s">
        <v>573</v>
      </c>
      <c r="D1130" s="2" t="str">
        <f t="shared" si="16"/>
        <v>Error?</v>
      </c>
    </row>
    <row r="1131" spans="1:4" x14ac:dyDescent="0.2">
      <c r="A1131" s="5">
        <v>1070</v>
      </c>
      <c r="B1131" s="138">
        <f>'Expenditures 15-22'!K64</f>
        <v>84283</v>
      </c>
      <c r="C1131" s="2" t="s">
        <v>573</v>
      </c>
      <c r="D1131" s="2" t="str">
        <f t="shared" si="16"/>
        <v>Error?</v>
      </c>
    </row>
    <row r="1132" spans="1:4" x14ac:dyDescent="0.2">
      <c r="A1132" s="10">
        <v>1071</v>
      </c>
      <c r="D1132" s="2" t="str">
        <f t="shared" si="16"/>
        <v>OK</v>
      </c>
    </row>
    <row r="1133" spans="1:4" x14ac:dyDescent="0.2">
      <c r="A1133" s="5">
        <v>1072</v>
      </c>
      <c r="B1133" s="138">
        <f>'Expenditures 15-22'!K65</f>
        <v>1976175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230077</v>
      </c>
      <c r="C1137" s="2" t="s">
        <v>573</v>
      </c>
      <c r="D1137" s="2" t="str">
        <f t="shared" si="16"/>
        <v>Error?</v>
      </c>
    </row>
    <row r="1138" spans="1:4" x14ac:dyDescent="0.2">
      <c r="A1138" s="10">
        <v>1077</v>
      </c>
      <c r="D1138" s="2" t="str">
        <f t="shared" si="16"/>
        <v>OK</v>
      </c>
    </row>
    <row r="1139" spans="1:4" x14ac:dyDescent="0.2">
      <c r="A1139" s="5">
        <v>1078</v>
      </c>
      <c r="B1139" s="138">
        <f>'Expenditures 15-22'!K71</f>
        <v>1127076</v>
      </c>
      <c r="C1139" s="2" t="s">
        <v>573</v>
      </c>
      <c r="D1139" s="2" t="str">
        <f t="shared" si="16"/>
        <v>Error?</v>
      </c>
    </row>
    <row r="1140" spans="1:4" x14ac:dyDescent="0.2">
      <c r="A1140" s="10">
        <v>1079</v>
      </c>
      <c r="D1140" s="2" t="str">
        <f t="shared" si="16"/>
        <v>OK</v>
      </c>
    </row>
    <row r="1141" spans="1:4" x14ac:dyDescent="0.2">
      <c r="A1141" s="5">
        <v>1080</v>
      </c>
      <c r="B1141" s="138">
        <f>'Expenditures 15-22'!K72</f>
        <v>1357153</v>
      </c>
      <c r="C1141" s="2" t="s">
        <v>573</v>
      </c>
      <c r="D1141" s="2" t="str">
        <f t="shared" si="16"/>
        <v>Error?</v>
      </c>
    </row>
    <row r="1142" spans="1:4" x14ac:dyDescent="0.2">
      <c r="A1142" s="5">
        <v>1081</v>
      </c>
      <c r="B1142" s="138">
        <f>'Expenditures 15-22'!K73</f>
        <v>43779</v>
      </c>
      <c r="C1142" s="2" t="s">
        <v>573</v>
      </c>
      <c r="D1142" s="2" t="str">
        <f t="shared" si="16"/>
        <v>Error?</v>
      </c>
    </row>
    <row r="1143" spans="1:4" x14ac:dyDescent="0.2">
      <c r="A1143" s="5">
        <v>1082</v>
      </c>
      <c r="B1143" s="138">
        <f>'Expenditures 15-22'!K74</f>
        <v>10481182</v>
      </c>
      <c r="C1143" s="2" t="s">
        <v>573</v>
      </c>
      <c r="D1143" s="2" t="str">
        <f t="shared" si="16"/>
        <v>Error?</v>
      </c>
    </row>
    <row r="1144" spans="1:4" x14ac:dyDescent="0.2">
      <c r="A1144" s="5">
        <v>1083</v>
      </c>
      <c r="B1144" s="138">
        <f>'Expenditures 15-22'!K75</f>
        <v>278760</v>
      </c>
      <c r="C1144" s="2" t="s">
        <v>573</v>
      </c>
      <c r="D1144" s="2" t="str">
        <f t="shared" si="16"/>
        <v>Error?</v>
      </c>
    </row>
    <row r="1145" spans="1:4" x14ac:dyDescent="0.2">
      <c r="A1145" s="5">
        <v>1084</v>
      </c>
      <c r="B1145" s="138">
        <f>'Expenditures 15-22'!K102</f>
        <v>690201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30449743</v>
      </c>
      <c r="C1152" s="2" t="s">
        <v>573</v>
      </c>
      <c r="D1152" s="2" t="str">
        <f t="shared" si="17"/>
        <v>Error?</v>
      </c>
    </row>
    <row r="1153" spans="1:4" x14ac:dyDescent="0.2">
      <c r="A1153" s="5">
        <v>1092</v>
      </c>
      <c r="B1153" s="138">
        <f>'Expenditures 15-22'!K115</f>
        <v>912194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169074</v>
      </c>
      <c r="D1221" s="2" t="str">
        <f t="shared" si="18"/>
        <v>Error?</v>
      </c>
    </row>
    <row r="1222" spans="1:4" x14ac:dyDescent="0.2">
      <c r="A1222" s="10">
        <v>1161</v>
      </c>
      <c r="D1222" s="2" t="str">
        <f t="shared" si="18"/>
        <v>OK</v>
      </c>
    </row>
    <row r="1223" spans="1:4" x14ac:dyDescent="0.2">
      <c r="A1223" s="5">
        <v>1162</v>
      </c>
      <c r="B1223" s="138">
        <f>'Expenditures 15-22'!C127</f>
        <v>169074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169074</v>
      </c>
      <c r="C1225" s="2" t="s">
        <v>573</v>
      </c>
      <c r="D1225" s="2" t="str">
        <f t="shared" si="18"/>
        <v>Error?</v>
      </c>
    </row>
    <row r="1226" spans="1:4" x14ac:dyDescent="0.2">
      <c r="A1226" s="5">
        <v>1165</v>
      </c>
      <c r="B1226" s="138">
        <f>'Expenditures 15-22'!C151</f>
        <v>169074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38183</v>
      </c>
      <c r="D1229" s="2" t="str">
        <f t="shared" si="18"/>
        <v>Error?</v>
      </c>
    </row>
    <row r="1230" spans="1:4" x14ac:dyDescent="0.2">
      <c r="A1230" s="10">
        <v>1169</v>
      </c>
      <c r="D1230" s="2" t="str">
        <f t="shared" si="18"/>
        <v>OK</v>
      </c>
    </row>
    <row r="1231" spans="1:4" x14ac:dyDescent="0.2">
      <c r="A1231" s="5">
        <v>1170</v>
      </c>
      <c r="B1231" s="138">
        <f>'Expenditures 15-22'!D127</f>
        <v>38183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38183</v>
      </c>
      <c r="C1233" s="2" t="s">
        <v>573</v>
      </c>
      <c r="D1233" s="2" t="str">
        <f t="shared" si="18"/>
        <v>Error?</v>
      </c>
    </row>
    <row r="1234" spans="1:4" x14ac:dyDescent="0.2">
      <c r="A1234" s="5">
        <v>1173</v>
      </c>
      <c r="B1234" s="138">
        <f>'Expenditures 15-22'!D151</f>
        <v>38183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1504439</v>
      </c>
      <c r="D1237" s="2" t="str">
        <f t="shared" si="18"/>
        <v>Error?</v>
      </c>
    </row>
    <row r="1238" spans="1:4" x14ac:dyDescent="0.2">
      <c r="A1238" s="10">
        <v>1177</v>
      </c>
      <c r="D1238" s="2" t="str">
        <f t="shared" si="18"/>
        <v>OK</v>
      </c>
    </row>
    <row r="1239" spans="1:4" x14ac:dyDescent="0.2">
      <c r="A1239" s="5">
        <v>1178</v>
      </c>
      <c r="B1239" s="138">
        <f>'Expenditures 15-22'!E127</f>
        <v>1504439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1504439</v>
      </c>
      <c r="C1241" s="2" t="s">
        <v>573</v>
      </c>
      <c r="D1241" s="2" t="str">
        <f t="shared" si="18"/>
        <v>Error?</v>
      </c>
    </row>
    <row r="1242" spans="1:4" x14ac:dyDescent="0.2">
      <c r="A1242" s="5">
        <v>1181</v>
      </c>
      <c r="B1242" s="138">
        <f>'Expenditures 15-22'!E151</f>
        <v>1504439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673290</v>
      </c>
      <c r="D1245" s="2" t="str">
        <f t="shared" si="18"/>
        <v>Error?</v>
      </c>
    </row>
    <row r="1246" spans="1:4" x14ac:dyDescent="0.2">
      <c r="A1246" s="10">
        <v>1185</v>
      </c>
      <c r="D1246" s="2" t="str">
        <f t="shared" si="18"/>
        <v>OK</v>
      </c>
    </row>
    <row r="1247" spans="1:4" x14ac:dyDescent="0.2">
      <c r="A1247" s="5">
        <v>1186</v>
      </c>
      <c r="B1247" s="138">
        <f>'Expenditures 15-22'!F127</f>
        <v>673290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673290</v>
      </c>
      <c r="C1249" s="2" t="s">
        <v>573</v>
      </c>
      <c r="D1249" s="2" t="str">
        <f t="shared" si="18"/>
        <v>Error?</v>
      </c>
    </row>
    <row r="1250" spans="1:4" x14ac:dyDescent="0.2">
      <c r="A1250" s="5">
        <v>1189</v>
      </c>
      <c r="B1250" s="138">
        <f>'Expenditures 15-22'!F151</f>
        <v>673290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306809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306809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306809</v>
      </c>
      <c r="C1258" s="2" t="s">
        <v>573</v>
      </c>
      <c r="D1258" s="2" t="str">
        <f t="shared" si="18"/>
        <v>Error?</v>
      </c>
    </row>
    <row r="1259" spans="1:4" x14ac:dyDescent="0.2">
      <c r="A1259" s="5">
        <v>1198</v>
      </c>
      <c r="B1259" s="138">
        <f>'Expenditures 15-22'!G151</f>
        <v>306809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2691795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2691795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2691795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2691795</v>
      </c>
      <c r="C1288" s="2" t="s">
        <v>573</v>
      </c>
      <c r="D1288" s="2" t="str">
        <f t="shared" si="19"/>
        <v>Error?</v>
      </c>
    </row>
    <row r="1289" spans="1:4" x14ac:dyDescent="0.2">
      <c r="A1289" s="5">
        <v>1228</v>
      </c>
      <c r="B1289" s="138">
        <f>'Expenditures 15-22'!K152</f>
        <v>125770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241890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418738</v>
      </c>
      <c r="D1315" s="2" t="str">
        <f t="shared" si="19"/>
        <v>Error?</v>
      </c>
    </row>
    <row r="1316" spans="1:4" x14ac:dyDescent="0.2">
      <c r="A1316" s="5">
        <v>1255</v>
      </c>
      <c r="B1316" s="138">
        <f>'Expenditures 15-22'!H171</f>
        <v>550</v>
      </c>
      <c r="D1316" s="2" t="str">
        <f t="shared" si="19"/>
        <v>Error?</v>
      </c>
    </row>
    <row r="1317" spans="1:4" x14ac:dyDescent="0.2">
      <c r="A1317" s="5">
        <v>1256</v>
      </c>
      <c r="B1317" s="138">
        <f>'Expenditures 15-22'!H172</f>
        <v>661178</v>
      </c>
      <c r="C1317" s="2" t="s">
        <v>573</v>
      </c>
      <c r="D1317" s="2" t="str">
        <f t="shared" si="19"/>
        <v>Error?</v>
      </c>
    </row>
    <row r="1318" spans="1:4" x14ac:dyDescent="0.2">
      <c r="A1318" s="5">
        <v>1257</v>
      </c>
      <c r="B1318" s="138">
        <f>'Expenditures 15-22'!H174</f>
        <v>661178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241890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418738</v>
      </c>
      <c r="C1329" s="2" t="s">
        <v>573</v>
      </c>
      <c r="D1329" s="2" t="str">
        <f t="shared" si="19"/>
        <v>Error?</v>
      </c>
    </row>
    <row r="1330" spans="1:4" x14ac:dyDescent="0.2">
      <c r="A1330" s="5">
        <v>1269</v>
      </c>
      <c r="B1330" s="138">
        <f>'Expenditures 15-22'!K171</f>
        <v>550</v>
      </c>
      <c r="C1330" s="2" t="s">
        <v>573</v>
      </c>
      <c r="D1330" s="2" t="str">
        <f t="shared" si="19"/>
        <v>Error?</v>
      </c>
    </row>
    <row r="1331" spans="1:4" x14ac:dyDescent="0.2">
      <c r="A1331" s="5">
        <v>1270</v>
      </c>
      <c r="B1331" s="138">
        <f>'Expenditures 15-22'!K172</f>
        <v>661178</v>
      </c>
      <c r="C1331" s="2" t="s">
        <v>573</v>
      </c>
      <c r="D1331" s="2" t="str">
        <f t="shared" si="19"/>
        <v>Error?</v>
      </c>
    </row>
    <row r="1332" spans="1:4" x14ac:dyDescent="0.2">
      <c r="A1332" s="5">
        <v>1271</v>
      </c>
      <c r="B1332" s="138">
        <f>'Expenditures 15-22'!K174</f>
        <v>661178</v>
      </c>
      <c r="C1332" s="2" t="s">
        <v>573</v>
      </c>
      <c r="D1332" s="2" t="str">
        <f t="shared" si="19"/>
        <v>Error?</v>
      </c>
    </row>
    <row r="1333" spans="1:4" x14ac:dyDescent="0.2">
      <c r="A1333" s="5">
        <v>1272</v>
      </c>
      <c r="B1333" s="138">
        <f>'Expenditures 15-22'!K175</f>
        <v>-158423</v>
      </c>
      <c r="C1333" s="2" t="s">
        <v>573</v>
      </c>
      <c r="D1333" s="2" t="str">
        <f t="shared" si="19"/>
        <v>Error?</v>
      </c>
    </row>
    <row r="1334" spans="1:4" x14ac:dyDescent="0.2">
      <c r="A1334" s="10">
        <v>1273</v>
      </c>
      <c r="D1334" s="2" t="str">
        <f t="shared" si="19"/>
        <v>OK</v>
      </c>
    </row>
    <row r="1335" spans="1:4" x14ac:dyDescent="0.2">
      <c r="A1335" s="5">
        <v>1274</v>
      </c>
      <c r="B1335" s="138">
        <f>'Expenditures 15-22'!C182</f>
        <v>34472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34472</v>
      </c>
      <c r="C1339" s="2" t="s">
        <v>573</v>
      </c>
      <c r="D1339" s="2" t="str">
        <f t="shared" si="19"/>
        <v>Error?</v>
      </c>
    </row>
    <row r="1340" spans="1:4" x14ac:dyDescent="0.2">
      <c r="A1340" s="5">
        <v>1279</v>
      </c>
      <c r="B1340" s="138">
        <f>'Expenditures 15-22'!C210</f>
        <v>34472</v>
      </c>
      <c r="C1340" s="2" t="s">
        <v>573</v>
      </c>
      <c r="D1340" s="2" t="str">
        <f t="shared" si="19"/>
        <v>Error?</v>
      </c>
    </row>
    <row r="1341" spans="1:4" x14ac:dyDescent="0.2">
      <c r="A1341" s="5">
        <v>1280</v>
      </c>
      <c r="B1341" s="138">
        <f>'Expenditures 15-22'!D182</f>
        <v>4946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4946</v>
      </c>
      <c r="C1345" s="2" t="s">
        <v>573</v>
      </c>
      <c r="D1345" s="2" t="str">
        <f t="shared" si="20"/>
        <v>Error?</v>
      </c>
    </row>
    <row r="1346" spans="1:4" x14ac:dyDescent="0.2">
      <c r="A1346" s="5">
        <v>1285</v>
      </c>
      <c r="B1346" s="138">
        <f>'Expenditures 15-22'!D210</f>
        <v>4946</v>
      </c>
      <c r="C1346" s="2" t="s">
        <v>573</v>
      </c>
      <c r="D1346" s="2" t="str">
        <f t="shared" si="20"/>
        <v>Error?</v>
      </c>
    </row>
    <row r="1347" spans="1:4" x14ac:dyDescent="0.2">
      <c r="A1347" s="5">
        <v>1286</v>
      </c>
      <c r="B1347" s="138">
        <f>'Expenditures 15-22'!E182</f>
        <v>2802912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2802912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2802912</v>
      </c>
      <c r="C1353" s="2" t="s">
        <v>573</v>
      </c>
      <c r="D1353" s="2" t="str">
        <f t="shared" si="20"/>
        <v>Error?</v>
      </c>
    </row>
    <row r="1354" spans="1:4" x14ac:dyDescent="0.2">
      <c r="A1354" s="5">
        <v>1293</v>
      </c>
      <c r="B1354" s="138">
        <f>'Expenditures 15-22'!F182</f>
        <v>146384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146384</v>
      </c>
      <c r="C1358" s="2" t="s">
        <v>573</v>
      </c>
      <c r="D1358" s="2" t="str">
        <f t="shared" si="20"/>
        <v>Error?</v>
      </c>
    </row>
    <row r="1359" spans="1:4" x14ac:dyDescent="0.2">
      <c r="A1359" s="5">
        <v>1298</v>
      </c>
      <c r="B1359" s="138">
        <f>'Expenditures 15-22'!F210</f>
        <v>146384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2988714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2988714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2988714</v>
      </c>
      <c r="C1388" s="2" t="s">
        <v>573</v>
      </c>
      <c r="D1388" s="2" t="str">
        <f t="shared" si="20"/>
        <v>Error?</v>
      </c>
    </row>
    <row r="1389" spans="1:4" x14ac:dyDescent="0.2">
      <c r="A1389" s="5">
        <v>1328</v>
      </c>
      <c r="B1389" s="138">
        <f>'Expenditures 15-22'!K211</f>
        <v>-102893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5989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435252</v>
      </c>
      <c r="C1410" s="2" t="s">
        <v>573</v>
      </c>
      <c r="D1410" s="2" t="str">
        <f t="shared" si="21"/>
        <v>Error?</v>
      </c>
    </row>
    <row r="1411" spans="1:4" x14ac:dyDescent="0.2">
      <c r="A1411" s="5">
        <v>1350</v>
      </c>
      <c r="B1411" s="138">
        <f>'Expenditures 15-22'!D232</f>
        <v>2644</v>
      </c>
      <c r="D1411" s="2" t="str">
        <f t="shared" si="21"/>
        <v>Error?</v>
      </c>
    </row>
    <row r="1412" spans="1:4" x14ac:dyDescent="0.2">
      <c r="A1412" s="5">
        <v>1351</v>
      </c>
      <c r="B1412" s="138">
        <f>'Expenditures 15-22'!D233</f>
        <v>5269</v>
      </c>
      <c r="D1412" s="2" t="str">
        <f t="shared" si="21"/>
        <v>Error?</v>
      </c>
    </row>
    <row r="1413" spans="1:4" x14ac:dyDescent="0.2">
      <c r="A1413" s="5">
        <v>1352</v>
      </c>
      <c r="B1413" s="138">
        <f>'Expenditures 15-22'!D234</f>
        <v>31939</v>
      </c>
      <c r="D1413" s="2" t="str">
        <f t="shared" si="21"/>
        <v>Error?</v>
      </c>
    </row>
    <row r="1414" spans="1:4" x14ac:dyDescent="0.2">
      <c r="A1414" s="5">
        <v>1353</v>
      </c>
      <c r="B1414" s="138">
        <f>'Expenditures 15-22'!D235</f>
        <v>2100</v>
      </c>
      <c r="D1414" s="2" t="str">
        <f t="shared" si="21"/>
        <v>Error?</v>
      </c>
    </row>
    <row r="1415" spans="1:4" x14ac:dyDescent="0.2">
      <c r="A1415" s="5">
        <v>1354</v>
      </c>
      <c r="B1415" s="138">
        <f>'Expenditures 15-22'!D236</f>
        <v>8038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49990</v>
      </c>
      <c r="C1417" s="2" t="s">
        <v>573</v>
      </c>
      <c r="D1417" s="2" t="str">
        <f t="shared" si="21"/>
        <v>Error?</v>
      </c>
    </row>
    <row r="1418" spans="1:4" x14ac:dyDescent="0.2">
      <c r="A1418" s="5">
        <v>1357</v>
      </c>
      <c r="B1418" s="138">
        <f>'Expenditures 15-22'!D240</f>
        <v>6022</v>
      </c>
      <c r="D1418" s="2" t="str">
        <f t="shared" si="21"/>
        <v>Error?</v>
      </c>
    </row>
    <row r="1419" spans="1:4" x14ac:dyDescent="0.2">
      <c r="A1419" s="5">
        <v>1358</v>
      </c>
      <c r="B1419" s="138">
        <f>'Expenditures 15-22'!D241</f>
        <v>46248</v>
      </c>
      <c r="D1419" s="2" t="str">
        <f t="shared" si="21"/>
        <v>Error?</v>
      </c>
    </row>
    <row r="1420" spans="1:4" x14ac:dyDescent="0.2">
      <c r="A1420" s="5">
        <v>1359</v>
      </c>
      <c r="B1420" s="138">
        <f>'Expenditures 15-22'!D242</f>
        <v>493</v>
      </c>
      <c r="D1420" s="2" t="str">
        <f t="shared" si="21"/>
        <v>Error?</v>
      </c>
    </row>
    <row r="1421" spans="1:4" x14ac:dyDescent="0.2">
      <c r="A1421" s="5">
        <v>1360</v>
      </c>
      <c r="B1421" s="138">
        <f>'Expenditures 15-22'!D243</f>
        <v>52763</v>
      </c>
      <c r="C1421" s="2" t="s">
        <v>573</v>
      </c>
      <c r="D1421" s="2" t="str">
        <f t="shared" si="21"/>
        <v>Error?</v>
      </c>
    </row>
    <row r="1422" spans="1:4" x14ac:dyDescent="0.2">
      <c r="A1422" s="5">
        <v>1361</v>
      </c>
      <c r="B1422" s="138">
        <f>'Expenditures 15-22'!D245</f>
        <v>1033</v>
      </c>
      <c r="D1422" s="2" t="str">
        <f t="shared" si="21"/>
        <v>Error?</v>
      </c>
    </row>
    <row r="1423" spans="1:4" x14ac:dyDescent="0.2">
      <c r="A1423" s="5">
        <v>1362</v>
      </c>
      <c r="B1423" s="138">
        <f>'Expenditures 15-22'!D246</f>
        <v>26106</v>
      </c>
      <c r="D1423" s="2" t="str">
        <f t="shared" si="21"/>
        <v>Error?</v>
      </c>
    </row>
    <row r="1424" spans="1:4" x14ac:dyDescent="0.2">
      <c r="A1424" s="5">
        <v>1363</v>
      </c>
      <c r="B1424" s="138">
        <f>'Expenditures 15-22'!D257</f>
        <v>46055</v>
      </c>
      <c r="C1424" s="2" t="s">
        <v>573</v>
      </c>
      <c r="D1424" s="2" t="str">
        <f t="shared" si="21"/>
        <v>Error?</v>
      </c>
    </row>
    <row r="1425" spans="1:4" x14ac:dyDescent="0.2">
      <c r="A1425" s="5">
        <v>1364</v>
      </c>
      <c r="B1425" s="138">
        <f>'Expenditures 15-22'!D259</f>
        <v>94646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94646</v>
      </c>
      <c r="C1427" s="2" t="s">
        <v>573</v>
      </c>
      <c r="D1427" s="2" t="str">
        <f t="shared" si="21"/>
        <v>Error?</v>
      </c>
    </row>
    <row r="1428" spans="1:4" x14ac:dyDescent="0.2">
      <c r="A1428" s="5">
        <v>1367</v>
      </c>
      <c r="B1428" s="138">
        <f>'Expenditures 15-22'!D263</f>
        <v>1665</v>
      </c>
      <c r="D1428" s="2" t="str">
        <f t="shared" si="21"/>
        <v>Error?</v>
      </c>
    </row>
    <row r="1429" spans="1:4" x14ac:dyDescent="0.2">
      <c r="A1429" s="5">
        <v>1368</v>
      </c>
      <c r="B1429" s="138">
        <f>'Expenditures 15-22'!D264</f>
        <v>32750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35487</v>
      </c>
      <c r="D1431" s="2" t="str">
        <f t="shared" si="21"/>
        <v>Error?</v>
      </c>
    </row>
    <row r="1432" spans="1:4" x14ac:dyDescent="0.2">
      <c r="A1432" s="5">
        <v>1371</v>
      </c>
      <c r="B1432" s="138">
        <f>'Expenditures 15-22'!D267</f>
        <v>487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70389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9410</v>
      </c>
      <c r="D1440" s="2" t="str">
        <f t="shared" si="21"/>
        <v>Error?</v>
      </c>
    </row>
    <row r="1441" spans="1:4" x14ac:dyDescent="0.2">
      <c r="A1441" s="10">
        <v>1380</v>
      </c>
      <c r="D1441" s="2" t="str">
        <f t="shared" si="21"/>
        <v>OK</v>
      </c>
    </row>
    <row r="1442" spans="1:4" x14ac:dyDescent="0.2">
      <c r="A1442" s="5">
        <v>1381</v>
      </c>
      <c r="B1442" s="138">
        <f>'Expenditures 15-22'!D276</f>
        <v>52185</v>
      </c>
      <c r="D1442" s="2" t="str">
        <f t="shared" si="21"/>
        <v>Error?</v>
      </c>
    </row>
    <row r="1443" spans="1:4" x14ac:dyDescent="0.2">
      <c r="A1443" s="10">
        <v>1382</v>
      </c>
      <c r="D1443" s="2" t="str">
        <f t="shared" si="21"/>
        <v>OK</v>
      </c>
    </row>
    <row r="1444" spans="1:4" x14ac:dyDescent="0.2">
      <c r="A1444" s="5">
        <v>1383</v>
      </c>
      <c r="B1444" s="138">
        <f>'Expenditures 15-22'!D277</f>
        <v>61595</v>
      </c>
      <c r="C1444" s="2" t="s">
        <v>573</v>
      </c>
      <c r="D1444" s="2" t="str">
        <f t="shared" si="21"/>
        <v>Error?</v>
      </c>
    </row>
    <row r="1445" spans="1:4" x14ac:dyDescent="0.2">
      <c r="A1445" s="5">
        <v>1384</v>
      </c>
      <c r="B1445" s="138">
        <f>'Expenditures 15-22'!D278</f>
        <v>7246</v>
      </c>
      <c r="D1445" s="2" t="str">
        <f t="shared" si="21"/>
        <v>Error?</v>
      </c>
    </row>
    <row r="1446" spans="1:4" x14ac:dyDescent="0.2">
      <c r="A1446" s="5">
        <v>1385</v>
      </c>
      <c r="B1446" s="138">
        <f>'Expenditures 15-22'!D279</f>
        <v>382684</v>
      </c>
      <c r="C1446" s="2" t="s">
        <v>573</v>
      </c>
      <c r="D1446" s="2" t="str">
        <f t="shared" si="21"/>
        <v>Error?</v>
      </c>
    </row>
    <row r="1447" spans="1:4" x14ac:dyDescent="0.2">
      <c r="A1447" s="5">
        <v>1386</v>
      </c>
      <c r="B1447" s="138">
        <f>'Expenditures 15-22'!D280</f>
        <v>35737</v>
      </c>
      <c r="D1447" s="2" t="str">
        <f t="shared" si="21"/>
        <v>Error?</v>
      </c>
    </row>
    <row r="1448" spans="1:4" x14ac:dyDescent="0.2">
      <c r="A1448" s="5">
        <v>1387</v>
      </c>
      <c r="B1448" s="138">
        <f>'Expenditures 15-22'!D295</f>
        <v>853673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5989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435252</v>
      </c>
      <c r="C1474" s="2" t="s">
        <v>573</v>
      </c>
      <c r="D1474" s="2" t="str">
        <f t="shared" si="22"/>
        <v>Error?</v>
      </c>
    </row>
    <row r="1475" spans="1:4" x14ac:dyDescent="0.2">
      <c r="A1475" s="5">
        <v>1414</v>
      </c>
      <c r="B1475" s="138">
        <f>'Expenditures 15-22'!K232</f>
        <v>2644</v>
      </c>
      <c r="C1475" s="2" t="s">
        <v>573</v>
      </c>
      <c r="D1475" s="2" t="str">
        <f t="shared" si="22"/>
        <v>Error?</v>
      </c>
    </row>
    <row r="1476" spans="1:4" x14ac:dyDescent="0.2">
      <c r="A1476" s="5">
        <v>1415</v>
      </c>
      <c r="B1476" s="138">
        <f>'Expenditures 15-22'!K233</f>
        <v>5269</v>
      </c>
      <c r="C1476" s="2" t="s">
        <v>573</v>
      </c>
      <c r="D1476" s="2" t="str">
        <f t="shared" si="22"/>
        <v>Error?</v>
      </c>
    </row>
    <row r="1477" spans="1:4" x14ac:dyDescent="0.2">
      <c r="A1477" s="5">
        <v>1416</v>
      </c>
      <c r="B1477" s="138">
        <f>'Expenditures 15-22'!K234</f>
        <v>31939</v>
      </c>
      <c r="C1477" s="2" t="s">
        <v>573</v>
      </c>
      <c r="D1477" s="2" t="str">
        <f t="shared" si="22"/>
        <v>Error?</v>
      </c>
    </row>
    <row r="1478" spans="1:4" x14ac:dyDescent="0.2">
      <c r="A1478" s="5">
        <v>1417</v>
      </c>
      <c r="B1478" s="138">
        <f>'Expenditures 15-22'!K235</f>
        <v>2100</v>
      </c>
      <c r="C1478" s="2" t="s">
        <v>573</v>
      </c>
      <c r="D1478" s="2" t="str">
        <f t="shared" si="22"/>
        <v>Error?</v>
      </c>
    </row>
    <row r="1479" spans="1:4" x14ac:dyDescent="0.2">
      <c r="A1479" s="5">
        <v>1418</v>
      </c>
      <c r="B1479" s="138">
        <f>'Expenditures 15-22'!K236</f>
        <v>8038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49990</v>
      </c>
      <c r="C1481" s="2" t="s">
        <v>573</v>
      </c>
      <c r="D1481" s="2" t="str">
        <f t="shared" si="22"/>
        <v>Error?</v>
      </c>
    </row>
    <row r="1482" spans="1:4" x14ac:dyDescent="0.2">
      <c r="A1482" s="5">
        <v>1421</v>
      </c>
      <c r="B1482" s="138">
        <f>'Expenditures 15-22'!K240</f>
        <v>6022</v>
      </c>
      <c r="C1482" s="2" t="s">
        <v>573</v>
      </c>
      <c r="D1482" s="2" t="str">
        <f t="shared" si="22"/>
        <v>Error?</v>
      </c>
    </row>
    <row r="1483" spans="1:4" x14ac:dyDescent="0.2">
      <c r="A1483" s="5">
        <v>1422</v>
      </c>
      <c r="B1483" s="138">
        <f>'Expenditures 15-22'!K241</f>
        <v>46248</v>
      </c>
      <c r="C1483" s="2" t="s">
        <v>573</v>
      </c>
      <c r="D1483" s="2" t="str">
        <f t="shared" si="22"/>
        <v>Error?</v>
      </c>
    </row>
    <row r="1484" spans="1:4" x14ac:dyDescent="0.2">
      <c r="A1484" s="5">
        <v>1423</v>
      </c>
      <c r="B1484" s="138">
        <f>'Expenditures 15-22'!K242</f>
        <v>493</v>
      </c>
      <c r="C1484" s="2" t="s">
        <v>573</v>
      </c>
      <c r="D1484" s="2" t="str">
        <f t="shared" si="22"/>
        <v>Error?</v>
      </c>
    </row>
    <row r="1485" spans="1:4" x14ac:dyDescent="0.2">
      <c r="A1485" s="5">
        <v>1424</v>
      </c>
      <c r="B1485" s="138">
        <f>'Expenditures 15-22'!K243</f>
        <v>52763</v>
      </c>
      <c r="C1485" s="2" t="s">
        <v>573</v>
      </c>
      <c r="D1485" s="2" t="str">
        <f t="shared" si="22"/>
        <v>Error?</v>
      </c>
    </row>
    <row r="1486" spans="1:4" x14ac:dyDescent="0.2">
      <c r="A1486" s="5">
        <v>1425</v>
      </c>
      <c r="B1486" s="138">
        <f>'Expenditures 15-22'!K245</f>
        <v>1033</v>
      </c>
      <c r="C1486" s="2" t="s">
        <v>573</v>
      </c>
      <c r="D1486" s="2" t="str">
        <f t="shared" si="22"/>
        <v>Error?</v>
      </c>
    </row>
    <row r="1487" spans="1:4" x14ac:dyDescent="0.2">
      <c r="A1487" s="5">
        <v>1426</v>
      </c>
      <c r="B1487" s="138">
        <f>'Expenditures 15-22'!K246</f>
        <v>26106</v>
      </c>
      <c r="C1487" s="2" t="s">
        <v>573</v>
      </c>
      <c r="D1487" s="2" t="str">
        <f t="shared" si="22"/>
        <v>Error?</v>
      </c>
    </row>
    <row r="1488" spans="1:4" x14ac:dyDescent="0.2">
      <c r="A1488" s="5">
        <v>1427</v>
      </c>
      <c r="B1488" s="138">
        <f>'Expenditures 15-22'!K257</f>
        <v>46055</v>
      </c>
      <c r="C1488" s="2" t="s">
        <v>573</v>
      </c>
      <c r="D1488" s="2" t="str">
        <f t="shared" si="22"/>
        <v>Error?</v>
      </c>
    </row>
    <row r="1489" spans="1:4" x14ac:dyDescent="0.2">
      <c r="A1489" s="5">
        <v>1428</v>
      </c>
      <c r="B1489" s="138">
        <f>'Expenditures 15-22'!K259</f>
        <v>94646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94646</v>
      </c>
      <c r="C1491" s="2" t="s">
        <v>573</v>
      </c>
      <c r="D1491" s="2" t="str">
        <f t="shared" si="22"/>
        <v>Error?</v>
      </c>
    </row>
    <row r="1492" spans="1:4" x14ac:dyDescent="0.2">
      <c r="A1492" s="5">
        <v>1431</v>
      </c>
      <c r="B1492" s="138">
        <f>'Expenditures 15-22'!K263</f>
        <v>1665</v>
      </c>
      <c r="C1492" s="2" t="s">
        <v>573</v>
      </c>
      <c r="D1492" s="2" t="str">
        <f t="shared" si="22"/>
        <v>Error?</v>
      </c>
    </row>
    <row r="1493" spans="1:4" x14ac:dyDescent="0.2">
      <c r="A1493" s="5">
        <v>1432</v>
      </c>
      <c r="B1493" s="138">
        <f>'Expenditures 15-22'!K264</f>
        <v>32750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35487</v>
      </c>
      <c r="C1495" s="2" t="s">
        <v>573</v>
      </c>
      <c r="D1495" s="2" t="str">
        <f t="shared" si="22"/>
        <v>Error?</v>
      </c>
    </row>
    <row r="1496" spans="1:4" x14ac:dyDescent="0.2">
      <c r="A1496" s="5">
        <v>1435</v>
      </c>
      <c r="B1496" s="138">
        <f>'Expenditures 15-22'!K267</f>
        <v>487</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70389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9410</v>
      </c>
      <c r="C1504" s="2" t="s">
        <v>573</v>
      </c>
      <c r="D1504" s="2" t="str">
        <f t="shared" si="22"/>
        <v>Error?</v>
      </c>
    </row>
    <row r="1505" spans="1:4" x14ac:dyDescent="0.2">
      <c r="A1505" s="10">
        <v>1444</v>
      </c>
      <c r="D1505" s="2" t="str">
        <f t="shared" si="22"/>
        <v>OK</v>
      </c>
    </row>
    <row r="1506" spans="1:4" x14ac:dyDescent="0.2">
      <c r="A1506" s="5">
        <v>1445</v>
      </c>
      <c r="B1506" s="138">
        <f>'Expenditures 15-22'!K276</f>
        <v>52185</v>
      </c>
      <c r="C1506" s="2" t="s">
        <v>573</v>
      </c>
      <c r="D1506" s="2" t="str">
        <f t="shared" si="22"/>
        <v>Error?</v>
      </c>
    </row>
    <row r="1507" spans="1:4" x14ac:dyDescent="0.2">
      <c r="A1507" s="10">
        <v>1446</v>
      </c>
      <c r="D1507" s="2" t="str">
        <f t="shared" si="22"/>
        <v>OK</v>
      </c>
    </row>
    <row r="1508" spans="1:4" x14ac:dyDescent="0.2">
      <c r="A1508" s="5">
        <v>1447</v>
      </c>
      <c r="B1508" s="138">
        <f>'Expenditures 15-22'!K277</f>
        <v>61595</v>
      </c>
      <c r="C1508" s="2" t="s">
        <v>573</v>
      </c>
      <c r="D1508" s="2" t="str">
        <f t="shared" si="22"/>
        <v>Error?</v>
      </c>
    </row>
    <row r="1509" spans="1:4" x14ac:dyDescent="0.2">
      <c r="A1509" s="5">
        <v>1448</v>
      </c>
      <c r="B1509" s="138">
        <f>'Expenditures 15-22'!K278</f>
        <v>7246</v>
      </c>
      <c r="C1509" s="2" t="s">
        <v>573</v>
      </c>
      <c r="D1509" s="2" t="str">
        <f t="shared" si="22"/>
        <v>Error?</v>
      </c>
    </row>
    <row r="1510" spans="1:4" x14ac:dyDescent="0.2">
      <c r="A1510" s="5">
        <v>1449</v>
      </c>
      <c r="B1510" s="138">
        <f>'Expenditures 15-22'!K279</f>
        <v>382684</v>
      </c>
      <c r="C1510" s="2" t="s">
        <v>573</v>
      </c>
      <c r="D1510" s="2" t="str">
        <f t="shared" si="22"/>
        <v>Error?</v>
      </c>
    </row>
    <row r="1511" spans="1:4" x14ac:dyDescent="0.2">
      <c r="A1511" s="5">
        <v>1450</v>
      </c>
      <c r="B1511" s="138">
        <f>'Expenditures 15-22'!K280</f>
        <v>35737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853673</v>
      </c>
      <c r="C1517" s="2" t="s">
        <v>573</v>
      </c>
      <c r="D1517" s="2" t="str">
        <f t="shared" si="22"/>
        <v>Error?</v>
      </c>
    </row>
    <row r="1518" spans="1:4" x14ac:dyDescent="0.2">
      <c r="A1518" s="5">
        <v>1457</v>
      </c>
      <c r="B1518" s="138">
        <f>'Expenditures 15-22'!K296</f>
        <v>126188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-1071992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-324907</v>
      </c>
      <c r="C1630" s="2" t="s">
        <v>573</v>
      </c>
      <c r="D1630" s="2" t="str">
        <f t="shared" si="24"/>
        <v>Error?</v>
      </c>
    </row>
    <row r="1631" spans="1:4" x14ac:dyDescent="0.2">
      <c r="A1631" s="5">
        <v>1570</v>
      </c>
      <c r="B1631" s="138">
        <f>'Acct Summary 7-8'!D79</f>
        <v>121363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247133</v>
      </c>
      <c r="C1644" s="2" t="s">
        <v>573</v>
      </c>
      <c r="D1644" s="2" t="str">
        <f t="shared" si="24"/>
        <v>Error?</v>
      </c>
    </row>
    <row r="1645" spans="1:4" x14ac:dyDescent="0.2">
      <c r="A1645" s="5">
        <v>1584</v>
      </c>
      <c r="B1645" s="138">
        <f>'Acct Summary 7-8'!E79</f>
        <v>166042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173624</v>
      </c>
      <c r="C1658" s="2" t="s">
        <v>573</v>
      </c>
      <c r="D1658" s="2" t="str">
        <f t="shared" si="24"/>
        <v>Error?</v>
      </c>
    </row>
    <row r="1659" spans="1:4" x14ac:dyDescent="0.2">
      <c r="A1659" s="5">
        <v>1598</v>
      </c>
      <c r="B1659" s="138">
        <f>'Acct Summary 7-8'!F79</f>
        <v>-182673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-285566</v>
      </c>
      <c r="C1672" s="2" t="s">
        <v>573</v>
      </c>
      <c r="D1672" s="2" t="str">
        <f t="shared" si="25"/>
        <v>Error?</v>
      </c>
    </row>
    <row r="1673" spans="1:4" x14ac:dyDescent="0.2">
      <c r="A1673" s="5">
        <v>1612</v>
      </c>
      <c r="B1673" s="138">
        <f>'Acct Summary 7-8'!G79</f>
        <v>241351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367539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11477401</v>
      </c>
      <c r="C1744" s="2" t="s">
        <v>573</v>
      </c>
      <c r="D1744" s="2" t="str">
        <f t="shared" si="26"/>
        <v>Error?</v>
      </c>
    </row>
    <row r="1745" spans="1:5" x14ac:dyDescent="0.2">
      <c r="A1745" s="5">
        <v>1684</v>
      </c>
      <c r="B1745" s="138">
        <f>'Tax Sched 23'!B5</f>
        <v>1667726</v>
      </c>
      <c r="C1745" s="2" t="s">
        <v>573</v>
      </c>
      <c r="D1745" s="2" t="str">
        <f t="shared" si="26"/>
        <v>Error?</v>
      </c>
    </row>
    <row r="1746" spans="1:5" x14ac:dyDescent="0.2">
      <c r="A1746" s="5">
        <v>1685</v>
      </c>
      <c r="B1746" s="138">
        <f>'Tax Sched 23'!B6</f>
        <v>416339</v>
      </c>
      <c r="C1746" s="2" t="s">
        <v>573</v>
      </c>
      <c r="D1746" s="2" t="str">
        <f t="shared" si="26"/>
        <v>Error?</v>
      </c>
    </row>
    <row r="1747" spans="1:5" x14ac:dyDescent="0.2">
      <c r="A1747" s="5">
        <v>1686</v>
      </c>
      <c r="B1747" s="138">
        <f>'Tax Sched 23'!B7</f>
        <v>1079121</v>
      </c>
      <c r="C1747" s="2" t="s">
        <v>573</v>
      </c>
      <c r="D1747" s="2" t="str">
        <f t="shared" si="26"/>
        <v>Error?</v>
      </c>
    </row>
    <row r="1748" spans="1:5" x14ac:dyDescent="0.2">
      <c r="A1748" s="5">
        <v>1687</v>
      </c>
      <c r="B1748" s="138">
        <f>'Tax Sched 23'!B8</f>
        <v>245281</v>
      </c>
      <c r="C1748" s="2" t="s">
        <v>573</v>
      </c>
      <c r="D1748" s="2" t="str">
        <f t="shared" si="26"/>
        <v>Error?</v>
      </c>
    </row>
    <row r="1749" spans="1:5" x14ac:dyDescent="0.2">
      <c r="A1749" s="5">
        <v>1688</v>
      </c>
      <c r="B1749" s="138">
        <f>'Tax Sched 23'!B10</f>
        <v>237210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299249</v>
      </c>
      <c r="C1753" s="2" t="s">
        <v>573</v>
      </c>
      <c r="D1753" s="2" t="str">
        <f t="shared" si="26"/>
        <v>Error?</v>
      </c>
    </row>
    <row r="1754" spans="1:5" x14ac:dyDescent="0.2">
      <c r="A1754" s="5">
        <v>1693</v>
      </c>
      <c r="B1754" s="138">
        <f>'Tax Sched 23'!B14</f>
        <v>109930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15702011</v>
      </c>
      <c r="C1759" s="2" t="s">
        <v>573</v>
      </c>
      <c r="D1759" s="2" t="str">
        <f t="shared" si="26"/>
        <v>Error?</v>
      </c>
    </row>
    <row r="1760" spans="1:5" x14ac:dyDescent="0.2">
      <c r="A1760" s="5">
        <v>1699</v>
      </c>
      <c r="B1760" s="138">
        <f>'Tax Sched 23'!D4</f>
        <v>11477401</v>
      </c>
      <c r="C1760" s="2" t="s">
        <v>573</v>
      </c>
      <c r="D1760" s="2" t="str">
        <f t="shared" si="26"/>
        <v>Error?</v>
      </c>
    </row>
    <row r="1761" spans="1:5" x14ac:dyDescent="0.2">
      <c r="A1761" s="5">
        <v>1700</v>
      </c>
      <c r="B1761" s="138">
        <f>'Tax Sched 23'!D5</f>
        <v>1667726</v>
      </c>
      <c r="C1761" s="2" t="s">
        <v>573</v>
      </c>
      <c r="D1761" s="2" t="str">
        <f t="shared" si="26"/>
        <v>Error?</v>
      </c>
    </row>
    <row r="1762" spans="1:5" s="8" customFormat="1" x14ac:dyDescent="0.2">
      <c r="A1762" s="5">
        <v>1701</v>
      </c>
      <c r="B1762" s="138">
        <f>'Tax Sched 23'!D6</f>
        <v>416339</v>
      </c>
      <c r="C1762" s="2" t="s">
        <v>573</v>
      </c>
      <c r="D1762" s="2" t="str">
        <f t="shared" si="26"/>
        <v>Error?</v>
      </c>
      <c r="E1762" s="9"/>
    </row>
    <row r="1763" spans="1:5" x14ac:dyDescent="0.2">
      <c r="A1763" s="5">
        <v>1702</v>
      </c>
      <c r="B1763" s="138">
        <f>'Tax Sched 23'!D7</f>
        <v>1079121</v>
      </c>
      <c r="C1763" s="2" t="s">
        <v>573</v>
      </c>
      <c r="D1763" s="2" t="str">
        <f t="shared" si="26"/>
        <v>Error?</v>
      </c>
    </row>
    <row r="1764" spans="1:5" x14ac:dyDescent="0.2">
      <c r="A1764" s="5">
        <v>1703</v>
      </c>
      <c r="B1764" s="138">
        <f>'Tax Sched 23'!D8</f>
        <v>245281</v>
      </c>
      <c r="C1764" s="2" t="s">
        <v>573</v>
      </c>
      <c r="D1764" s="2" t="str">
        <f t="shared" si="26"/>
        <v>Error?</v>
      </c>
    </row>
    <row r="1765" spans="1:5" x14ac:dyDescent="0.2">
      <c r="A1765" s="5">
        <v>1704</v>
      </c>
      <c r="B1765" s="138">
        <f>'Tax Sched 23'!D10</f>
        <v>237210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299249</v>
      </c>
      <c r="C1769" s="2" t="s">
        <v>573</v>
      </c>
      <c r="D1769" s="2" t="str">
        <f t="shared" si="26"/>
        <v>Error?</v>
      </c>
    </row>
    <row r="1770" spans="1:5" x14ac:dyDescent="0.2">
      <c r="A1770" s="5">
        <v>1709</v>
      </c>
      <c r="B1770" s="138">
        <f>'Tax Sched 23'!D14</f>
        <v>109930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15702011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11761556</v>
      </c>
      <c r="C1792" s="2" t="s">
        <v>573</v>
      </c>
      <c r="D1792" s="2" t="str">
        <f t="shared" si="27"/>
        <v>Error?</v>
      </c>
    </row>
    <row r="1793" spans="1:4" x14ac:dyDescent="0.2">
      <c r="A1793" s="5">
        <v>1732</v>
      </c>
      <c r="B1793" s="138">
        <f>'Tax Sched 23'!F5</f>
        <v>1722472</v>
      </c>
      <c r="C1793" s="2" t="s">
        <v>573</v>
      </c>
      <c r="D1793" s="2" t="str">
        <f t="shared" si="27"/>
        <v>Error?</v>
      </c>
    </row>
    <row r="1794" spans="1:4" x14ac:dyDescent="0.2">
      <c r="A1794" s="5">
        <v>1733</v>
      </c>
      <c r="B1794" s="138">
        <f>'Tax Sched 23'!F6</f>
        <v>417566</v>
      </c>
      <c r="C1794" s="2" t="s">
        <v>573</v>
      </c>
      <c r="D1794" s="2" t="str">
        <f t="shared" si="27"/>
        <v>Error?</v>
      </c>
    </row>
    <row r="1795" spans="1:4" x14ac:dyDescent="0.2">
      <c r="A1795" s="5">
        <v>1734</v>
      </c>
      <c r="B1795" s="138">
        <f>'Tax Sched 23'!F7</f>
        <v>1181106</v>
      </c>
      <c r="C1795" s="2" t="s">
        <v>573</v>
      </c>
      <c r="D1795" s="2" t="str">
        <f t="shared" si="27"/>
        <v>Error?</v>
      </c>
    </row>
    <row r="1796" spans="1:4" x14ac:dyDescent="0.2">
      <c r="A1796" s="5">
        <v>1735</v>
      </c>
      <c r="B1796" s="138">
        <f>'Tax Sched 23'!F8</f>
        <v>255963</v>
      </c>
      <c r="C1796" s="2" t="s">
        <v>573</v>
      </c>
      <c r="D1796" s="2" t="str">
        <f t="shared" si="27"/>
        <v>Error?</v>
      </c>
    </row>
    <row r="1797" spans="1:4" x14ac:dyDescent="0.2">
      <c r="A1797" s="5">
        <v>1736</v>
      </c>
      <c r="B1797" s="138">
        <f>'Tax Sched 23'!F10</f>
        <v>237932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305126</v>
      </c>
      <c r="C1801" s="2" t="s">
        <v>573</v>
      </c>
      <c r="D1801" s="2" t="str">
        <f t="shared" si="27"/>
        <v>Error?</v>
      </c>
    </row>
    <row r="1802" spans="1:4" x14ac:dyDescent="0.2">
      <c r="A1802" s="5">
        <v>1741</v>
      </c>
      <c r="B1802" s="138">
        <f>'Tax Sched 23'!F14</f>
        <v>112247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16176115</v>
      </c>
      <c r="C1807" s="2" t="s">
        <v>573</v>
      </c>
      <c r="D1807" s="2" t="str">
        <f t="shared" si="27"/>
        <v>Error?</v>
      </c>
    </row>
    <row r="1808" spans="1:4" x14ac:dyDescent="0.2">
      <c r="A1808" s="5">
        <v>1747</v>
      </c>
      <c r="B1808" s="138">
        <f>'Tax Sched 23'!E4</f>
        <v>11761556</v>
      </c>
      <c r="D1808" s="2" t="str">
        <f t="shared" si="27"/>
        <v>Error?</v>
      </c>
    </row>
    <row r="1809" spans="1:4" x14ac:dyDescent="0.2">
      <c r="A1809" s="5">
        <v>1748</v>
      </c>
      <c r="B1809" s="138">
        <f>'Tax Sched 23'!E5</f>
        <v>1722472</v>
      </c>
      <c r="D1809" s="2" t="str">
        <f t="shared" si="27"/>
        <v>Error?</v>
      </c>
    </row>
    <row r="1810" spans="1:4" x14ac:dyDescent="0.2">
      <c r="A1810" s="5">
        <v>1749</v>
      </c>
      <c r="B1810" s="138">
        <f>'Tax Sched 23'!E6</f>
        <v>417566</v>
      </c>
      <c r="D1810" s="2" t="str">
        <f t="shared" si="27"/>
        <v>Error?</v>
      </c>
    </row>
    <row r="1811" spans="1:4" x14ac:dyDescent="0.2">
      <c r="A1811" s="5">
        <v>1750</v>
      </c>
      <c r="B1811" s="138">
        <f>'Tax Sched 23'!E7</f>
        <v>1181106</v>
      </c>
      <c r="D1811" s="2" t="str">
        <f t="shared" si="27"/>
        <v>Error?</v>
      </c>
    </row>
    <row r="1812" spans="1:4" x14ac:dyDescent="0.2">
      <c r="A1812" s="5">
        <v>1751</v>
      </c>
      <c r="B1812" s="138">
        <f>'Tax Sched 23'!E8</f>
        <v>255963</v>
      </c>
      <c r="D1812" s="2" t="str">
        <f t="shared" si="27"/>
        <v>Error?</v>
      </c>
    </row>
    <row r="1813" spans="1:4" x14ac:dyDescent="0.2">
      <c r="A1813" s="5">
        <v>1752</v>
      </c>
      <c r="B1813" s="138">
        <f>'Tax Sched 23'!E10</f>
        <v>237932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305126</v>
      </c>
      <c r="D1817" s="2" t="str">
        <f t="shared" si="27"/>
        <v>Error?</v>
      </c>
    </row>
    <row r="1818" spans="1:4" x14ac:dyDescent="0.2">
      <c r="A1818" s="5">
        <v>1757</v>
      </c>
      <c r="B1818" s="138">
        <f>'Tax Sched 23'!E14</f>
        <v>112247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16176115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4197847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109930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109930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109930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378038</v>
      </c>
      <c r="D2008" s="2" t="str">
        <f t="shared" si="30"/>
        <v>Error?</v>
      </c>
    </row>
    <row r="2009" spans="1:4" x14ac:dyDescent="0.2">
      <c r="A2009" s="5">
        <v>1948</v>
      </c>
      <c r="B2009" s="138">
        <f>'Cap Outlay Deprec 26'!C8</f>
        <v>60716118</v>
      </c>
      <c r="D2009" s="2" t="str">
        <f t="shared" si="30"/>
        <v>Error?</v>
      </c>
    </row>
    <row r="2010" spans="1:4" x14ac:dyDescent="0.2">
      <c r="A2010" s="5">
        <v>1949</v>
      </c>
      <c r="B2010" s="138">
        <f>'Cap Outlay Deprec 26'!C10</f>
        <v>248387</v>
      </c>
      <c r="D2010" s="2" t="str">
        <f t="shared" si="30"/>
        <v>Error?</v>
      </c>
    </row>
    <row r="2011" spans="1:4" x14ac:dyDescent="0.2">
      <c r="A2011" s="5">
        <v>1950</v>
      </c>
      <c r="B2011" s="138">
        <f>'Cap Outlay Deprec 26'!C12</f>
        <v>3848037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65190580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564405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95001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787233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597564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597564</v>
      </c>
      <c r="C2025" s="2" t="s">
        <v>573</v>
      </c>
      <c r="D2025" s="2" t="str">
        <f t="shared" si="30"/>
        <v>Error?</v>
      </c>
    </row>
    <row r="2026" spans="1:4" x14ac:dyDescent="0.2">
      <c r="A2026" s="5">
        <v>1965</v>
      </c>
      <c r="B2026" s="138">
        <f>'Cap Outlay Deprec 26'!F5</f>
        <v>378038</v>
      </c>
      <c r="C2026" s="2" t="s">
        <v>573</v>
      </c>
      <c r="D2026" s="2" t="str">
        <f t="shared" si="30"/>
        <v>Error?</v>
      </c>
    </row>
    <row r="2027" spans="1:4" x14ac:dyDescent="0.2">
      <c r="A2027" s="5">
        <v>1966</v>
      </c>
      <c r="B2027" s="138">
        <f>'Cap Outlay Deprec 26'!F8</f>
        <v>61280523</v>
      </c>
      <c r="C2027" s="2" t="s">
        <v>573</v>
      </c>
      <c r="D2027" s="2" t="str">
        <f t="shared" si="30"/>
        <v>Error?</v>
      </c>
    </row>
    <row r="2028" spans="1:4" x14ac:dyDescent="0.2">
      <c r="A2028" s="5">
        <v>1967</v>
      </c>
      <c r="B2028" s="138">
        <f>'Cap Outlay Deprec 26'!F10</f>
        <v>248387</v>
      </c>
      <c r="C2028" s="2" t="s">
        <v>573</v>
      </c>
      <c r="D2028" s="2" t="str">
        <f t="shared" si="30"/>
        <v>Error?</v>
      </c>
    </row>
    <row r="2029" spans="1:4" x14ac:dyDescent="0.2">
      <c r="A2029" s="5">
        <v>1968</v>
      </c>
      <c r="B2029" s="138">
        <f>'Cap Outlay Deprec 26'!F12</f>
        <v>3345474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65380249</v>
      </c>
      <c r="C2031" s="2" t="s">
        <v>573</v>
      </c>
      <c r="D2031" s="2" t="str">
        <f t="shared" si="30"/>
        <v>Error?</v>
      </c>
    </row>
    <row r="2032" spans="1:4" x14ac:dyDescent="0.2">
      <c r="A2032" s="10">
        <v>1971</v>
      </c>
      <c r="D2032" s="2" t="str">
        <f t="shared" si="30"/>
        <v>OK</v>
      </c>
    </row>
    <row r="2033" spans="1:4" x14ac:dyDescent="0.2">
      <c r="A2033" s="5">
        <v>1972</v>
      </c>
      <c r="B2033" s="138">
        <f>'Cap Outlay Deprec 26'!H8</f>
        <v>26423103</v>
      </c>
      <c r="D2033" s="2" t="str">
        <f t="shared" si="30"/>
        <v>Error?</v>
      </c>
    </row>
    <row r="2034" spans="1:4" x14ac:dyDescent="0.2">
      <c r="A2034" s="5">
        <v>1973</v>
      </c>
      <c r="B2034" s="138">
        <f>'Cap Outlay Deprec 26'!H10</f>
        <v>222515</v>
      </c>
      <c r="D2034" s="2" t="str">
        <f t="shared" si="30"/>
        <v>Error?</v>
      </c>
    </row>
    <row r="2035" spans="1:4" x14ac:dyDescent="0.2">
      <c r="A2035" s="5">
        <v>1974</v>
      </c>
      <c r="B2035" s="138">
        <f>'Cap Outlay Deprec 26'!H12</f>
        <v>2659600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29305218</v>
      </c>
      <c r="C2037" s="2" t="s">
        <v>573</v>
      </c>
      <c r="D2037" s="2" t="str">
        <f t="shared" si="30"/>
        <v>Error?</v>
      </c>
    </row>
    <row r="2038" spans="1:4" x14ac:dyDescent="0.2">
      <c r="A2038" s="10">
        <v>1977</v>
      </c>
      <c r="D2038" s="2" t="str">
        <f t="shared" si="30"/>
        <v>OK</v>
      </c>
    </row>
    <row r="2039" spans="1:4" x14ac:dyDescent="0.2">
      <c r="A2039" s="5">
        <v>1978</v>
      </c>
      <c r="B2039" s="138">
        <f>'Cap Outlay Deprec 26'!I8</f>
        <v>1127425</v>
      </c>
      <c r="D2039" s="2" t="str">
        <f t="shared" si="30"/>
        <v>Error?</v>
      </c>
    </row>
    <row r="2040" spans="1:4" x14ac:dyDescent="0.2">
      <c r="A2040" s="5">
        <v>1979</v>
      </c>
      <c r="B2040" s="138">
        <f>'Cap Outlay Deprec 26'!I10</f>
        <v>1408</v>
      </c>
      <c r="D2040" s="2" t="str">
        <f t="shared" si="30"/>
        <v>Error?</v>
      </c>
    </row>
    <row r="2041" spans="1:4" x14ac:dyDescent="0.2">
      <c r="A2041" s="5">
        <v>1980</v>
      </c>
      <c r="B2041" s="138">
        <f>'Cap Outlay Deprec 26'!I12</f>
        <v>325048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1453881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597564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597564</v>
      </c>
      <c r="C2049" s="2" t="s">
        <v>573</v>
      </c>
      <c r="D2049" s="2" t="str">
        <f t="shared" si="31"/>
        <v>Error?</v>
      </c>
    </row>
    <row r="2050" spans="1:4" x14ac:dyDescent="0.2">
      <c r="A2050" s="10">
        <v>1989</v>
      </c>
      <c r="D2050" s="2" t="str">
        <f t="shared" si="31"/>
        <v>OK</v>
      </c>
    </row>
    <row r="2051" spans="1:4" x14ac:dyDescent="0.2">
      <c r="A2051" s="5">
        <v>1990</v>
      </c>
      <c r="B2051" s="138">
        <f>'Cap Outlay Deprec 26'!K8</f>
        <v>27550528</v>
      </c>
      <c r="C2051" s="2" t="s">
        <v>573</v>
      </c>
      <c r="D2051" s="2" t="str">
        <f t="shared" si="31"/>
        <v>Error?</v>
      </c>
    </row>
    <row r="2052" spans="1:4" x14ac:dyDescent="0.2">
      <c r="A2052" s="5">
        <v>1991</v>
      </c>
      <c r="B2052" s="138">
        <f>'Cap Outlay Deprec 26'!K10</f>
        <v>223923</v>
      </c>
      <c r="C2052" s="2" t="s">
        <v>573</v>
      </c>
      <c r="D2052" s="2" t="str">
        <f t="shared" si="31"/>
        <v>Error?</v>
      </c>
    </row>
    <row r="2053" spans="1:4" x14ac:dyDescent="0.2">
      <c r="A2053" s="5">
        <v>1992</v>
      </c>
      <c r="B2053" s="138">
        <f>'Cap Outlay Deprec 26'!K12</f>
        <v>2387084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30161535</v>
      </c>
      <c r="C2055" s="2" t="s">
        <v>573</v>
      </c>
      <c r="D2055" s="2" t="str">
        <f t="shared" si="31"/>
        <v>Error?</v>
      </c>
    </row>
    <row r="2056" spans="1:4" x14ac:dyDescent="0.2">
      <c r="A2056" s="5">
        <v>1995</v>
      </c>
      <c r="B2056" s="138">
        <f>'Cap Outlay Deprec 26'!L5</f>
        <v>378038</v>
      </c>
      <c r="C2056" s="2" t="s">
        <v>573</v>
      </c>
      <c r="D2056" s="2" t="str">
        <f t="shared" si="31"/>
        <v>Error?</v>
      </c>
    </row>
    <row r="2057" spans="1:4" x14ac:dyDescent="0.2">
      <c r="A2057" s="5">
        <v>1996</v>
      </c>
      <c r="B2057" s="138">
        <f>'Cap Outlay Deprec 26'!L8</f>
        <v>33729995</v>
      </c>
      <c r="C2057" s="2" t="s">
        <v>573</v>
      </c>
      <c r="D2057" s="2" t="str">
        <f t="shared" si="31"/>
        <v>Error?</v>
      </c>
    </row>
    <row r="2058" spans="1:4" x14ac:dyDescent="0.2">
      <c r="A2058" s="5">
        <v>1997</v>
      </c>
      <c r="B2058" s="138">
        <f>'Cap Outlay Deprec 26'!L10</f>
        <v>24464</v>
      </c>
      <c r="C2058" s="2" t="s">
        <v>573</v>
      </c>
      <c r="D2058" s="2" t="str">
        <f t="shared" si="31"/>
        <v>Error?</v>
      </c>
    </row>
    <row r="2059" spans="1:4" x14ac:dyDescent="0.2">
      <c r="A2059" s="5">
        <v>1998</v>
      </c>
      <c r="B2059" s="138">
        <f>'Cap Outlay Deprec 26'!L12</f>
        <v>958390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35218714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298473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352498</v>
      </c>
      <c r="C2088" s="2" t="s">
        <v>573</v>
      </c>
      <c r="D2088" s="2" t="str">
        <f t="shared" si="31"/>
        <v>Error?</v>
      </c>
    </row>
    <row r="2089" spans="1:4" x14ac:dyDescent="0.2">
      <c r="A2089" s="5">
        <v>2028</v>
      </c>
      <c r="B2089" s="138">
        <f>'Expenditures 15-22'!K92</f>
        <v>337703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16076787</v>
      </c>
      <c r="C2551" s="2" t="s">
        <v>573</v>
      </c>
      <c r="D2551" s="2" t="str">
        <f t="shared" si="38"/>
        <v>Error?</v>
      </c>
    </row>
    <row r="2552" spans="1:4" x14ac:dyDescent="0.2">
      <c r="A2552" s="10">
        <v>2491</v>
      </c>
      <c r="D2552" s="2" t="str">
        <f t="shared" si="38"/>
        <v>OK</v>
      </c>
    </row>
    <row r="2553" spans="1:4" x14ac:dyDescent="0.2">
      <c r="A2553" s="5">
        <v>2492</v>
      </c>
      <c r="B2553" s="138">
        <f>'Acct Summary 7-8'!C6</f>
        <v>11563431</v>
      </c>
      <c r="C2553" s="2" t="s">
        <v>573</v>
      </c>
      <c r="D2553" s="2" t="str">
        <f t="shared" si="38"/>
        <v>Error?</v>
      </c>
    </row>
    <row r="2554" spans="1:4" x14ac:dyDescent="0.2">
      <c r="A2554" s="5">
        <v>2493</v>
      </c>
      <c r="B2554" s="138">
        <f>'Acct Summary 7-8'!C7</f>
        <v>3721719</v>
      </c>
      <c r="C2554" s="2" t="s">
        <v>573</v>
      </c>
      <c r="D2554" s="2" t="str">
        <f t="shared" si="38"/>
        <v>Error?</v>
      </c>
    </row>
    <row r="2555" spans="1:4" x14ac:dyDescent="0.2">
      <c r="A2555" s="5">
        <v>2494</v>
      </c>
      <c r="B2555" s="138">
        <f>'Acct Summary 7-8'!C8</f>
        <v>31361937</v>
      </c>
      <c r="C2555" s="2" t="s">
        <v>573</v>
      </c>
      <c r="D2555" s="2" t="str">
        <f t="shared" si="38"/>
        <v>Error?</v>
      </c>
    </row>
    <row r="2556" spans="1:4" x14ac:dyDescent="0.2">
      <c r="A2556" s="5">
        <v>2495</v>
      </c>
      <c r="B2556" s="138">
        <f>'Acct Summary 7-8'!C12</f>
        <v>18999600</v>
      </c>
      <c r="C2556" s="2" t="s">
        <v>573</v>
      </c>
      <c r="D2556" s="2" t="str">
        <f t="shared" si="38"/>
        <v>Error?</v>
      </c>
    </row>
    <row r="2557" spans="1:4" x14ac:dyDescent="0.2">
      <c r="A2557" s="5">
        <v>2496</v>
      </c>
      <c r="B2557" s="138">
        <f>'Acct Summary 7-8'!C13</f>
        <v>10481182</v>
      </c>
      <c r="C2557" s="2" t="s">
        <v>573</v>
      </c>
      <c r="D2557" s="2" t="str">
        <f t="shared" si="38"/>
        <v>Error?</v>
      </c>
    </row>
    <row r="2558" spans="1:4" x14ac:dyDescent="0.2">
      <c r="A2558" s="5">
        <v>2497</v>
      </c>
      <c r="B2558" s="138">
        <f>'Acct Summary 7-8'!C14</f>
        <v>278760</v>
      </c>
      <c r="C2558" s="2" t="s">
        <v>573</v>
      </c>
      <c r="D2558" s="2" t="str">
        <f t="shared" si="38"/>
        <v>Error?</v>
      </c>
    </row>
    <row r="2559" spans="1:4" x14ac:dyDescent="0.2">
      <c r="A2559" s="5">
        <v>2498</v>
      </c>
      <c r="B2559" s="138">
        <f>'Acct Summary 7-8'!C15</f>
        <v>690201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30449743</v>
      </c>
      <c r="C2561" s="2" t="s">
        <v>573</v>
      </c>
      <c r="D2561" s="2" t="str">
        <f t="shared" si="39"/>
        <v>Error?</v>
      </c>
    </row>
    <row r="2562" spans="1:4" x14ac:dyDescent="0.2">
      <c r="A2562" s="5">
        <v>2501</v>
      </c>
      <c r="B2562" s="138">
        <f>'Acct Summary 7-8'!C20</f>
        <v>912194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1996226</v>
      </c>
      <c r="C2564" s="2" t="s">
        <v>573</v>
      </c>
      <c r="D2564" s="2" t="str">
        <f t="shared" si="39"/>
        <v>Error?</v>
      </c>
    </row>
    <row r="2565" spans="1:4" x14ac:dyDescent="0.2">
      <c r="A2565" s="10">
        <v>2504</v>
      </c>
      <c r="D2565" s="2" t="str">
        <f t="shared" si="39"/>
        <v>OK</v>
      </c>
    </row>
    <row r="2566" spans="1:4" x14ac:dyDescent="0.2">
      <c r="A2566" s="5">
        <v>2505</v>
      </c>
      <c r="B2566" s="138">
        <f>'Acct Summary 7-8'!D6</f>
        <v>821339</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2817565</v>
      </c>
      <c r="C2568" s="2" t="s">
        <v>573</v>
      </c>
      <c r="D2568" s="2" t="str">
        <f t="shared" si="39"/>
        <v>Error?</v>
      </c>
    </row>
    <row r="2569" spans="1:4" x14ac:dyDescent="0.2">
      <c r="A2569" s="5">
        <v>2508</v>
      </c>
      <c r="B2569" s="138">
        <f>'Acct Summary 7-8'!D13</f>
        <v>2691795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2691795</v>
      </c>
      <c r="C2573" s="2" t="s">
        <v>573</v>
      </c>
      <c r="D2573" s="2" t="str">
        <f t="shared" si="39"/>
        <v>Error?</v>
      </c>
    </row>
    <row r="2574" spans="1:4" x14ac:dyDescent="0.2">
      <c r="A2574" s="5">
        <v>2513</v>
      </c>
      <c r="B2574" s="138">
        <f>'Acct Summary 7-8'!D20</f>
        <v>125770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1086434</v>
      </c>
      <c r="C2591" s="2" t="s">
        <v>573</v>
      </c>
      <c r="D2591" s="2" t="str">
        <f t="shared" si="39"/>
        <v>Error?</v>
      </c>
    </row>
    <row r="2592" spans="1:4" x14ac:dyDescent="0.2">
      <c r="A2592" s="10">
        <v>2531</v>
      </c>
      <c r="D2592" s="2" t="str">
        <f t="shared" si="39"/>
        <v>OK</v>
      </c>
    </row>
    <row r="2593" spans="1:4" x14ac:dyDescent="0.2">
      <c r="A2593" s="5">
        <v>2532</v>
      </c>
      <c r="B2593" s="138">
        <f>'Acct Summary 7-8'!F6</f>
        <v>1799387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2885821</v>
      </c>
      <c r="C2595" s="2" t="s">
        <v>573</v>
      </c>
      <c r="D2595" s="2" t="str">
        <f t="shared" si="39"/>
        <v>Error?</v>
      </c>
    </row>
    <row r="2596" spans="1:4" x14ac:dyDescent="0.2">
      <c r="A2596" s="5">
        <v>2535</v>
      </c>
      <c r="B2596" s="138">
        <f>'Acct Summary 7-8'!F13</f>
        <v>2988714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2988714</v>
      </c>
      <c r="C2600" s="2" t="s">
        <v>573</v>
      </c>
      <c r="D2600" s="2" t="str">
        <f t="shared" si="39"/>
        <v>Error?</v>
      </c>
    </row>
    <row r="2601" spans="1:4" x14ac:dyDescent="0.2">
      <c r="A2601" s="5">
        <v>2540</v>
      </c>
      <c r="B2601" s="138">
        <f>'Acct Summary 7-8'!F20</f>
        <v>-102893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831320</v>
      </c>
      <c r="C2603" s="2" t="s">
        <v>573</v>
      </c>
      <c r="D2603" s="2" t="str">
        <f t="shared" si="39"/>
        <v>Error?</v>
      </c>
    </row>
    <row r="2604" spans="1:4" x14ac:dyDescent="0.2">
      <c r="A2604" s="5">
        <v>2543</v>
      </c>
      <c r="B2604" s="138">
        <f>'Acct Summary 7-8'!G6</f>
        <v>45615</v>
      </c>
      <c r="C2604" s="2" t="s">
        <v>573</v>
      </c>
      <c r="D2604" s="2" t="str">
        <f t="shared" si="39"/>
        <v>Error?</v>
      </c>
    </row>
    <row r="2605" spans="1:4" x14ac:dyDescent="0.2">
      <c r="A2605" s="5">
        <v>2544</v>
      </c>
      <c r="B2605" s="138">
        <f>'Acct Summary 7-8'!G7</f>
        <v>102926</v>
      </c>
      <c r="C2605" s="2" t="s">
        <v>573</v>
      </c>
      <c r="D2605" s="2" t="str">
        <f t="shared" si="39"/>
        <v>Error?</v>
      </c>
    </row>
    <row r="2606" spans="1:4" x14ac:dyDescent="0.2">
      <c r="A2606" s="5">
        <v>2545</v>
      </c>
      <c r="B2606" s="138">
        <f>'Acct Summary 7-8'!G8</f>
        <v>979861</v>
      </c>
      <c r="C2606" s="2" t="s">
        <v>573</v>
      </c>
      <c r="D2606" s="2" t="str">
        <f t="shared" si="39"/>
        <v>Error?</v>
      </c>
    </row>
    <row r="2607" spans="1:4" x14ac:dyDescent="0.2">
      <c r="A2607" s="5">
        <v>2546</v>
      </c>
      <c r="B2607" s="138">
        <f>'Acct Summary 7-8'!G12</f>
        <v>435252</v>
      </c>
      <c r="C2607" s="2" t="s">
        <v>573</v>
      </c>
      <c r="D2607" s="2" t="str">
        <f t="shared" si="39"/>
        <v>Error?</v>
      </c>
    </row>
    <row r="2608" spans="1:4" x14ac:dyDescent="0.2">
      <c r="A2608" s="5">
        <v>2547</v>
      </c>
      <c r="B2608" s="138">
        <f>'Acct Summary 7-8'!G13</f>
        <v>382684</v>
      </c>
      <c r="C2608" s="2" t="s">
        <v>573</v>
      </c>
      <c r="D2608" s="2" t="str">
        <f t="shared" si="39"/>
        <v>Error?</v>
      </c>
    </row>
    <row r="2609" spans="1:4" x14ac:dyDescent="0.2">
      <c r="A2609" s="5">
        <v>2548</v>
      </c>
      <c r="B2609" s="138">
        <f>'Acct Summary 7-8'!G14</f>
        <v>35737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853673</v>
      </c>
      <c r="C2612" s="2" t="s">
        <v>573</v>
      </c>
      <c r="D2612" s="2" t="str">
        <f t="shared" si="39"/>
        <v>Error?</v>
      </c>
    </row>
    <row r="2613" spans="1:4" x14ac:dyDescent="0.2">
      <c r="A2613" s="5">
        <v>2552</v>
      </c>
      <c r="B2613" s="138">
        <f>'Acct Summary 7-8'!G20</f>
        <v>126188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425728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502755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661178</v>
      </c>
      <c r="C2634" s="2" t="s">
        <v>573</v>
      </c>
      <c r="D2634" s="2" t="str">
        <f t="shared" si="40"/>
        <v>Error?</v>
      </c>
    </row>
    <row r="2635" spans="1:4" x14ac:dyDescent="0.2">
      <c r="A2635" s="5">
        <v>2574</v>
      </c>
      <c r="B2635" s="138">
        <f>'Acct Summary 7-8'!E17</f>
        <v>661178</v>
      </c>
      <c r="C2635" s="2" t="s">
        <v>573</v>
      </c>
      <c r="D2635" s="2" t="str">
        <f t="shared" si="40"/>
        <v>Error?</v>
      </c>
    </row>
    <row r="2636" spans="1:4" x14ac:dyDescent="0.2">
      <c r="A2636" s="5">
        <v>2575</v>
      </c>
      <c r="B2636" s="138">
        <f>'Acct Summary 7-8'!E20</f>
        <v>-158423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318322</v>
      </c>
      <c r="D2718" s="2" t="str">
        <f t="shared" si="41"/>
        <v>Error?</v>
      </c>
    </row>
    <row r="2719" spans="1:4" x14ac:dyDescent="0.2">
      <c r="A2719" s="5">
        <v>2658</v>
      </c>
      <c r="B2719" s="138">
        <f>'Expenditures 15-22'!D51</f>
        <v>44968</v>
      </c>
      <c r="D2719" s="2" t="str">
        <f t="shared" si="41"/>
        <v>Error?</v>
      </c>
    </row>
    <row r="2720" spans="1:4" x14ac:dyDescent="0.2">
      <c r="A2720" s="5">
        <v>2659</v>
      </c>
      <c r="B2720" s="138">
        <f>'Expenditures 15-22'!E51</f>
        <v>136196</v>
      </c>
      <c r="D2720" s="2" t="str">
        <f t="shared" si="41"/>
        <v>Error?</v>
      </c>
    </row>
    <row r="2721" spans="1:4" x14ac:dyDescent="0.2">
      <c r="A2721" s="5">
        <v>2660</v>
      </c>
      <c r="B2721" s="138">
        <f>'Expenditures 15-22'!F51</f>
        <v>12103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1000</v>
      </c>
      <c r="D2723" s="2" t="str">
        <f t="shared" si="41"/>
        <v>Error?</v>
      </c>
    </row>
    <row r="2724" spans="1:4" x14ac:dyDescent="0.2">
      <c r="A2724" s="5">
        <v>2663</v>
      </c>
      <c r="B2724" s="138">
        <f>'Expenditures 15-22'!K51</f>
        <v>512589</v>
      </c>
      <c r="C2724" s="2" t="s">
        <v>573</v>
      </c>
      <c r="D2724" s="2" t="str">
        <f t="shared" si="41"/>
        <v>Error?</v>
      </c>
    </row>
    <row r="2725" spans="1:4" x14ac:dyDescent="0.2">
      <c r="A2725" s="5">
        <v>2664</v>
      </c>
      <c r="B2725" s="138">
        <f>'Expenditures 15-22'!D247</f>
        <v>18916</v>
      </c>
      <c r="D2725" s="2" t="str">
        <f t="shared" si="41"/>
        <v>Error?</v>
      </c>
    </row>
    <row r="2726" spans="1:4" x14ac:dyDescent="0.2">
      <c r="A2726" s="5">
        <v>2665</v>
      </c>
      <c r="B2726" s="138">
        <f>'Expenditures 15-22'!K247</f>
        <v>18916</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54025</v>
      </c>
      <c r="C2789" s="2" t="s">
        <v>573</v>
      </c>
      <c r="D2789" s="2" t="str">
        <f t="shared" si="42"/>
        <v>Error?</v>
      </c>
    </row>
    <row r="2790" spans="1:4" x14ac:dyDescent="0.2">
      <c r="A2790" s="5">
        <v>2729</v>
      </c>
      <c r="B2790" s="138">
        <f>'Expenditures 15-22'!E102</f>
        <v>54025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127827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6709183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24242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6709183</v>
      </c>
      <c r="D2912" s="2" t="str">
        <f t="shared" si="44"/>
        <v>Error?</v>
      </c>
    </row>
    <row r="2913" spans="1:4" x14ac:dyDescent="0.2">
      <c r="A2913" s="5">
        <v>2852</v>
      </c>
      <c r="B2913" s="138">
        <f>'Assets-Liab 5-6'!I41</f>
        <v>6709183</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24242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18305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35720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298473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18305</v>
      </c>
      <c r="C2973" s="2" t="s">
        <v>573</v>
      </c>
      <c r="D2973" s="2" t="str">
        <f t="shared" si="45"/>
        <v>Error?</v>
      </c>
    </row>
    <row r="2974" spans="1:4" x14ac:dyDescent="0.2">
      <c r="A2974" s="5">
        <v>2913</v>
      </c>
      <c r="B2974" s="138">
        <f>'Expenditures 15-22'!K79</f>
        <v>298473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35720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438047</v>
      </c>
      <c r="D3055" s="2" t="str">
        <f t="shared" si="46"/>
        <v>Error?</v>
      </c>
    </row>
    <row r="3056" spans="1:4" x14ac:dyDescent="0.2">
      <c r="A3056" s="5">
        <v>2995</v>
      </c>
      <c r="B3056" s="138">
        <f>'Expenditures 15-22'!D10</f>
        <v>120293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558340</v>
      </c>
      <c r="C3062" s="2" t="s">
        <v>573</v>
      </c>
      <c r="D3062" s="2" t="str">
        <f t="shared" si="46"/>
        <v>Error?</v>
      </c>
    </row>
    <row r="3063" spans="1:4" x14ac:dyDescent="0.2">
      <c r="A3063" s="10">
        <v>3002</v>
      </c>
      <c r="D3063" s="2" t="str">
        <f t="shared" si="46"/>
        <v>OK</v>
      </c>
    </row>
    <row r="3064" spans="1:4" x14ac:dyDescent="0.2">
      <c r="A3064" s="5">
        <v>3003</v>
      </c>
      <c r="B3064" s="138">
        <f>'Expenditures 15-22'!D219</f>
        <v>5971</v>
      </c>
      <c r="D3064" s="2" t="str">
        <f t="shared" si="46"/>
        <v>Error?</v>
      </c>
    </row>
    <row r="3065" spans="1:4" x14ac:dyDescent="0.2">
      <c r="A3065" s="5">
        <v>3004</v>
      </c>
      <c r="B3065" s="138">
        <f>'Expenditures 15-22'!K219</f>
        <v>5971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24242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421370</v>
      </c>
      <c r="C3225" s="2" t="s">
        <v>573</v>
      </c>
      <c r="D3225" s="2" t="str">
        <f t="shared" si="49"/>
        <v>Error?</v>
      </c>
    </row>
    <row r="3226" spans="1:4" x14ac:dyDescent="0.2">
      <c r="A3226" s="5">
        <v>3165</v>
      </c>
      <c r="B3226" s="138">
        <f>'Acct Summary 7-8'!I8</f>
        <v>421370</v>
      </c>
      <c r="C3226" s="2" t="s">
        <v>573</v>
      </c>
      <c r="D3226" s="2" t="str">
        <f t="shared" si="49"/>
        <v>Error?</v>
      </c>
    </row>
    <row r="3227" spans="1:4" x14ac:dyDescent="0.2">
      <c r="A3227" s="5">
        <v>3166</v>
      </c>
      <c r="B3227" s="138">
        <f>'Acct Summary 7-8'!I20</f>
        <v>421370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896</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166005</v>
      </c>
      <c r="C3231" s="2" t="s">
        <v>573</v>
      </c>
      <c r="D3231" s="2" t="str">
        <f t="shared" si="49"/>
        <v>Error?</v>
      </c>
    </row>
    <row r="3232" spans="1:4" x14ac:dyDescent="0.2">
      <c r="A3232" s="5">
        <v>3171</v>
      </c>
      <c r="B3232" s="138">
        <f>'Acct Summary 7-8'!C77</f>
        <v>-165109</v>
      </c>
      <c r="C3232" s="2" t="s">
        <v>573</v>
      </c>
      <c r="D3232" s="2" t="str">
        <f t="shared" si="49"/>
        <v>Error?</v>
      </c>
    </row>
    <row r="3233" spans="1:4" x14ac:dyDescent="0.2">
      <c r="A3233" s="5">
        <v>3172</v>
      </c>
      <c r="B3233" s="138">
        <f>'Acct Summary 7-8'!C78</f>
        <v>747085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125770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-102893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126188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166005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166005</v>
      </c>
      <c r="C3277" s="2" t="s">
        <v>573</v>
      </c>
      <c r="D3277" s="2" t="str">
        <f t="shared" si="50"/>
        <v>Error?</v>
      </c>
    </row>
    <row r="3278" spans="1:4" x14ac:dyDescent="0.2">
      <c r="A3278" s="5">
        <v>3217</v>
      </c>
      <c r="B3278" s="138">
        <f>'Acct Summary 7-8'!E78</f>
        <v>7582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421370</v>
      </c>
      <c r="C3320" s="2" t="s">
        <v>573</v>
      </c>
      <c r="D3320" s="2" t="str">
        <f t="shared" si="50"/>
        <v>Error?</v>
      </c>
    </row>
    <row r="3321" spans="1:4" x14ac:dyDescent="0.2">
      <c r="A3321" s="5">
        <v>3260</v>
      </c>
      <c r="B3321" s="138">
        <f>'Acct Summary 7-8'!I79</f>
        <v>6287813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6709183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3307819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606713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7021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3922348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151310</v>
      </c>
      <c r="D3387" s="2" t="str">
        <f t="shared" si="51"/>
        <v>Error?</v>
      </c>
    </row>
    <row r="3388" spans="1:4" x14ac:dyDescent="0.2">
      <c r="A3388" s="5">
        <v>3327</v>
      </c>
      <c r="B3388" s="138">
        <f>'Expenditures 15-22'!D217</f>
        <v>217527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151310</v>
      </c>
      <c r="C3390" s="2" t="s">
        <v>573</v>
      </c>
      <c r="D3390" s="2" t="str">
        <f t="shared" si="51"/>
        <v>Error?</v>
      </c>
    </row>
    <row r="3391" spans="1:4" x14ac:dyDescent="0.2">
      <c r="A3391" s="5">
        <v>3330</v>
      </c>
      <c r="B3391" s="138">
        <f>'Expenditures 15-22'!K217</f>
        <v>217527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39245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247133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173624</v>
      </c>
      <c r="D3417" s="2" t="str">
        <f t="shared" si="52"/>
        <v>Error?</v>
      </c>
    </row>
    <row r="3418" spans="1:4" x14ac:dyDescent="0.2">
      <c r="A3418" s="10">
        <v>3357</v>
      </c>
      <c r="D3418" s="2" t="str">
        <f t="shared" si="52"/>
        <v>OK</v>
      </c>
    </row>
    <row r="3419" spans="1:4" x14ac:dyDescent="0.2">
      <c r="A3419" s="5">
        <v>3358</v>
      </c>
      <c r="B3419" s="138">
        <f>'Assets-Liab 5-6'!F4</f>
        <v>4434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367539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6054183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24242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169754</v>
      </c>
      <c r="C3446" s="2" t="s">
        <v>573</v>
      </c>
      <c r="D3446" s="2" t="str">
        <f t="shared" si="52"/>
        <v>Error?</v>
      </c>
    </row>
    <row r="3447" spans="1:4" x14ac:dyDescent="0.2">
      <c r="A3447" s="5">
        <v>3386</v>
      </c>
      <c r="B3447" s="138">
        <f>'Tax Sched 23'!D16</f>
        <v>169754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182147</v>
      </c>
      <c r="C3449" s="2" t="s">
        <v>573</v>
      </c>
      <c r="D3449" s="2" t="str">
        <f t="shared" si="52"/>
        <v>Error?</v>
      </c>
    </row>
    <row r="3450" spans="1:4" x14ac:dyDescent="0.2">
      <c r="A3450" s="5">
        <v>3389</v>
      </c>
      <c r="B3450" s="138">
        <f>'Tax Sched 23'!E16</f>
        <v>182147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127827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127827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127827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896</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19727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19727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19727</v>
      </c>
      <c r="D3567" s="2" t="str">
        <f t="shared" si="54"/>
        <v>Error?</v>
      </c>
    </row>
    <row r="3568" spans="1:4" x14ac:dyDescent="0.2">
      <c r="A3568" s="5">
        <v>3507</v>
      </c>
      <c r="B3568" s="138">
        <f>'Assets-Liab 5-6'!K41</f>
        <v>19727</v>
      </c>
      <c r="C3568" s="2" t="s">
        <v>573</v>
      </c>
      <c r="D3568" s="2" t="str">
        <f t="shared" si="54"/>
        <v>Error?</v>
      </c>
    </row>
    <row r="3569" spans="1:4" x14ac:dyDescent="0.2">
      <c r="A3569" s="5">
        <v>3508</v>
      </c>
      <c r="B3569" s="138">
        <f>'Acct Summary 7-8'!K4</f>
        <v>303252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303252</v>
      </c>
      <c r="C3571" s="2" t="s">
        <v>573</v>
      </c>
      <c r="D3571" s="2" t="str">
        <f t="shared" si="54"/>
        <v>Error?</v>
      </c>
    </row>
    <row r="3572" spans="1:4" x14ac:dyDescent="0.2">
      <c r="A3572" s="5">
        <v>3511</v>
      </c>
      <c r="B3572" s="138">
        <f>'Acct Summary 7-8'!K13</f>
        <v>378883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378883</v>
      </c>
      <c r="C3575" s="2" t="s">
        <v>573</v>
      </c>
      <c r="D3575" s="2" t="str">
        <f t="shared" si="54"/>
        <v>Error?</v>
      </c>
    </row>
    <row r="3576" spans="1:4" x14ac:dyDescent="0.2">
      <c r="A3576" s="5">
        <v>3515</v>
      </c>
      <c r="B3576" s="138">
        <f>'Acct Summary 7-8'!K20</f>
        <v>-75631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-75631</v>
      </c>
      <c r="C3588" s="2" t="s">
        <v>573</v>
      </c>
      <c r="D3588" s="2" t="str">
        <f t="shared" si="55"/>
        <v>Error?</v>
      </c>
    </row>
    <row r="3589" spans="1:4" x14ac:dyDescent="0.2">
      <c r="A3589" s="5">
        <v>3528</v>
      </c>
      <c r="B3589" s="138">
        <f>'Acct Summary 7-8'!K79</f>
        <v>95358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19727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9074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9074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9074</v>
      </c>
      <c r="C3636" s="2" t="s">
        <v>573</v>
      </c>
      <c r="D3636" s="2" t="str">
        <f t="shared" si="55"/>
        <v>Error?</v>
      </c>
    </row>
    <row r="3637" spans="1:4" x14ac:dyDescent="0.2">
      <c r="A3637" s="10">
        <v>3576</v>
      </c>
      <c r="D3637" s="2" t="str">
        <f t="shared" si="55"/>
        <v>OK</v>
      </c>
    </row>
    <row r="3638" spans="1:4" x14ac:dyDescent="0.2">
      <c r="A3638" s="5">
        <v>3577</v>
      </c>
      <c r="B3638" s="138">
        <f>'Expenditures 15-22'!F348</f>
        <v>21655</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21655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21655</v>
      </c>
      <c r="C3642" s="2" t="s">
        <v>573</v>
      </c>
      <c r="D3642" s="2" t="str">
        <f t="shared" si="55"/>
        <v>Error?</v>
      </c>
    </row>
    <row r="3643" spans="1:4" x14ac:dyDescent="0.2">
      <c r="A3643" s="5">
        <v>3582</v>
      </c>
      <c r="B3643" s="138">
        <f>'Expenditures 15-22'!F367</f>
        <v>21655</v>
      </c>
      <c r="C3643" s="2" t="s">
        <v>573</v>
      </c>
      <c r="D3643" s="2" t="str">
        <f t="shared" si="55"/>
        <v>Error?</v>
      </c>
    </row>
    <row r="3644" spans="1:4" x14ac:dyDescent="0.2">
      <c r="A3644" s="10">
        <v>3583</v>
      </c>
      <c r="D3644" s="2" t="str">
        <f t="shared" si="55"/>
        <v>OK</v>
      </c>
    </row>
    <row r="3645" spans="1:4" x14ac:dyDescent="0.2">
      <c r="A3645" s="5">
        <v>3584</v>
      </c>
      <c r="B3645" s="138">
        <f>'Expenditures 15-22'!G348</f>
        <v>348154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348154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348154</v>
      </c>
      <c r="C3649" s="2" t="s">
        <v>573</v>
      </c>
      <c r="D3649" s="2" t="str">
        <f t="shared" si="56"/>
        <v>Error?</v>
      </c>
    </row>
    <row r="3650" spans="1:4" x14ac:dyDescent="0.2">
      <c r="A3650" s="5">
        <v>3589</v>
      </c>
      <c r="B3650" s="138">
        <f>'Expenditures 15-22'!G367</f>
        <v>348154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378883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378883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378883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378883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-75631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3787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12906683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44268620</v>
      </c>
      <c r="C4122" s="2" t="s">
        <v>573</v>
      </c>
      <c r="D4122" s="2" t="str">
        <f t="shared" si="63"/>
        <v>Error?</v>
      </c>
    </row>
    <row r="4123" spans="1:4" x14ac:dyDescent="0.2">
      <c r="A4123" s="5">
        <v>4062</v>
      </c>
      <c r="B4123" s="138">
        <f>'Acct Summary 7-8'!D10</f>
        <v>2817565</v>
      </c>
      <c r="C4123" s="2" t="s">
        <v>573</v>
      </c>
      <c r="D4123" s="2" t="str">
        <f t="shared" si="63"/>
        <v>Error?</v>
      </c>
    </row>
    <row r="4124" spans="1:4" x14ac:dyDescent="0.2">
      <c r="A4124" s="5">
        <v>4063</v>
      </c>
      <c r="B4124" s="138">
        <f>'Acct Summary 7-8'!E10</f>
        <v>502755</v>
      </c>
      <c r="C4124" s="2" t="s">
        <v>573</v>
      </c>
      <c r="D4124" s="2" t="str">
        <f t="shared" si="63"/>
        <v>Error?</v>
      </c>
    </row>
    <row r="4125" spans="1:4" x14ac:dyDescent="0.2">
      <c r="A4125" s="5">
        <v>4064</v>
      </c>
      <c r="B4125" s="138">
        <f>'Acct Summary 7-8'!F10</f>
        <v>2885821</v>
      </c>
      <c r="C4125" s="2" t="s">
        <v>573</v>
      </c>
      <c r="D4125" s="2" t="str">
        <f t="shared" si="63"/>
        <v>Error?</v>
      </c>
    </row>
    <row r="4126" spans="1:4" x14ac:dyDescent="0.2">
      <c r="A4126" s="5">
        <v>4065</v>
      </c>
      <c r="B4126" s="138">
        <f>'Acct Summary 7-8'!G10</f>
        <v>979861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421370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303252</v>
      </c>
      <c r="C4130" s="2" t="s">
        <v>573</v>
      </c>
      <c r="D4130" s="2" t="str">
        <f t="shared" si="63"/>
        <v>Error?</v>
      </c>
    </row>
    <row r="4131" spans="1:4" x14ac:dyDescent="0.2">
      <c r="A4131" s="5">
        <v>4070</v>
      </c>
      <c r="B4131" s="138">
        <f>'Acct Summary 7-8'!C18</f>
        <v>12906683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43356426</v>
      </c>
      <c r="C4136" s="2" t="s">
        <v>573</v>
      </c>
      <c r="D4136" s="2" t="str">
        <f t="shared" si="63"/>
        <v>Error?</v>
      </c>
    </row>
    <row r="4137" spans="1:4" x14ac:dyDescent="0.2">
      <c r="A4137" s="5">
        <v>4076</v>
      </c>
      <c r="B4137" s="138">
        <f>'Acct Summary 7-8'!D19</f>
        <v>2691795</v>
      </c>
      <c r="C4137" s="2" t="s">
        <v>573</v>
      </c>
      <c r="D4137" s="2" t="str">
        <f t="shared" si="63"/>
        <v>Error?</v>
      </c>
    </row>
    <row r="4138" spans="1:4" x14ac:dyDescent="0.2">
      <c r="A4138" s="5">
        <v>4077</v>
      </c>
      <c r="B4138" s="138">
        <f>'Acct Summary 7-8'!E19</f>
        <v>661178</v>
      </c>
      <c r="C4138" s="2" t="s">
        <v>573</v>
      </c>
      <c r="D4138" s="2" t="str">
        <f t="shared" si="63"/>
        <v>Error?</v>
      </c>
    </row>
    <row r="4139" spans="1:4" x14ac:dyDescent="0.2">
      <c r="A4139" s="5">
        <v>4078</v>
      </c>
      <c r="B4139" s="138">
        <f>'Acct Summary 7-8'!F19</f>
        <v>2988714</v>
      </c>
      <c r="C4139" s="2" t="s">
        <v>573</v>
      </c>
      <c r="D4139" s="2" t="str">
        <f t="shared" si="63"/>
        <v>Error?</v>
      </c>
    </row>
    <row r="4140" spans="1:4" x14ac:dyDescent="0.2">
      <c r="A4140" s="5">
        <v>4079</v>
      </c>
      <c r="B4140" s="138">
        <f>'Acct Summary 7-8'!G19</f>
        <v>853673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378883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3779109</v>
      </c>
      <c r="C4171" s="2" t="s">
        <v>573</v>
      </c>
      <c r="D4171" s="2" t="str">
        <f t="shared" si="64"/>
        <v>Error?</v>
      </c>
    </row>
    <row r="4172" spans="1:4" x14ac:dyDescent="0.2">
      <c r="A4172" s="5">
        <v>4111</v>
      </c>
      <c r="B4172" s="138">
        <f>'Short-Term Long-Term Debt 24'!J49</f>
        <v>3605485</v>
      </c>
      <c r="C4172" s="2" t="s">
        <v>573</v>
      </c>
      <c r="D4172" s="2" t="str">
        <f t="shared" si="64"/>
        <v>Error?</v>
      </c>
    </row>
    <row r="4173" spans="1:4" x14ac:dyDescent="0.2">
      <c r="A4173" s="5">
        <v>4112</v>
      </c>
      <c r="B4173" s="138">
        <f>'Short-Term Long-Term Debt 24'!H49</f>
        <v>418738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2433.06</v>
      </c>
      <c r="C4265" s="2" t="s">
        <v>573</v>
      </c>
      <c r="D4265" s="2" t="str">
        <f t="shared" si="65"/>
        <v>Error?</v>
      </c>
      <c r="E4265" s="128"/>
    </row>
    <row r="4266" spans="1:5" x14ac:dyDescent="0.2">
      <c r="A4266" s="12">
        <v>4205</v>
      </c>
      <c r="B4266" s="138">
        <f>('FP Info 3'!F10)*100000</f>
        <v>356.32</v>
      </c>
      <c r="C4266" s="2" t="s">
        <v>573</v>
      </c>
      <c r="D4266" s="2" t="str">
        <f t="shared" si="65"/>
        <v>Error?</v>
      </c>
      <c r="E4266" s="128"/>
    </row>
    <row r="4267" spans="1:5" x14ac:dyDescent="0.2">
      <c r="A4267" s="12">
        <v>4206</v>
      </c>
      <c r="B4267" s="138">
        <f>('FP Info 3'!H10)*100000</f>
        <v>244.32999999999998</v>
      </c>
      <c r="C4267" s="2" t="s">
        <v>573</v>
      </c>
      <c r="D4267" s="2" t="str">
        <f t="shared" si="65"/>
        <v>Error?</v>
      </c>
      <c r="E4267" s="128"/>
    </row>
    <row r="4268" spans="1:5" x14ac:dyDescent="0.2">
      <c r="A4268" s="12">
        <v>4207</v>
      </c>
      <c r="B4268" s="138">
        <f>('FP Info 3'!J10)*100000</f>
        <v>3034</v>
      </c>
      <c r="C4268" s="2" t="s">
        <v>573</v>
      </c>
      <c r="D4268" s="2" t="str">
        <f t="shared" si="65"/>
        <v>Error?</v>
      </c>
    </row>
    <row r="4269" spans="1:5" x14ac:dyDescent="0.2">
      <c r="A4269" s="12">
        <v>4208</v>
      </c>
      <c r="B4269" s="138">
        <f>'FP Info 3'!J16</f>
        <v>6345843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131056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337419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129960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1292</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77027</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49.220000000000006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77027</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25000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483405919</v>
      </c>
      <c r="D4995" s="2" t="str">
        <f t="shared" si="77"/>
        <v>Error?</v>
      </c>
    </row>
    <row r="4996" spans="1:4" x14ac:dyDescent="0.2">
      <c r="A4996" s="12">
        <v>4935</v>
      </c>
      <c r="B4996" s="138">
        <f>'FP Info 3'!H31</f>
        <v>33355008.411000002</v>
      </c>
      <c r="D4996" s="2" t="str">
        <f t="shared" si="77"/>
        <v>Error?</v>
      </c>
    </row>
    <row r="4997" spans="1:4" x14ac:dyDescent="0.2">
      <c r="A4997" s="12">
        <v>4936</v>
      </c>
      <c r="B4997" s="138">
        <f>'FP Info 3'!H37</f>
        <v>3779109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11477401</v>
      </c>
      <c r="D5061" s="2" t="str">
        <f t="shared" si="78"/>
        <v>Error?</v>
      </c>
    </row>
    <row r="5062" spans="1:4" x14ac:dyDescent="0.2">
      <c r="A5062" s="10">
        <v>5001</v>
      </c>
      <c r="D5062" s="2" t="str">
        <f t="shared" si="78"/>
        <v>OK</v>
      </c>
    </row>
    <row r="5063" spans="1:4" x14ac:dyDescent="0.2">
      <c r="A5063" s="5">
        <v>5002</v>
      </c>
      <c r="B5063" s="138">
        <f>'Revenues 9-14'!C7</f>
        <v>109930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11587331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2964819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2964819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186722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186722</v>
      </c>
      <c r="C5087" s="2" t="s">
        <v>573</v>
      </c>
      <c r="D5087" s="2" t="str">
        <f t="shared" si="78"/>
        <v>Error?</v>
      </c>
    </row>
    <row r="5088" spans="1:4" x14ac:dyDescent="0.2">
      <c r="A5088" s="5">
        <v>5027</v>
      </c>
      <c r="B5088" s="138">
        <f>'Revenues 9-14'!C65</f>
        <v>86988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86988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534</v>
      </c>
      <c r="D5094" s="2" t="str">
        <f t="shared" si="78"/>
        <v>Error?</v>
      </c>
    </row>
    <row r="5095" spans="1:4" x14ac:dyDescent="0.2">
      <c r="A5095" s="5">
        <v>5034</v>
      </c>
      <c r="B5095" s="138">
        <f>'Revenues 9-14'!C74</f>
        <v>19918</v>
      </c>
      <c r="D5095" s="2" t="str">
        <f t="shared" si="78"/>
        <v>Error?</v>
      </c>
    </row>
    <row r="5096" spans="1:4" x14ac:dyDescent="0.2">
      <c r="A5096" s="5">
        <v>5035</v>
      </c>
      <c r="B5096" s="138">
        <f>'Revenues 9-14'!C75</f>
        <v>28601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72877</v>
      </c>
      <c r="D5099" s="2" t="str">
        <f t="shared" si="78"/>
        <v>Error?</v>
      </c>
    </row>
    <row r="5100" spans="1:4" x14ac:dyDescent="0.2">
      <c r="A5100" s="5">
        <v>5039</v>
      </c>
      <c r="B5100" s="138">
        <f>'Revenues 9-14'!C80</f>
        <v>289670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362547</v>
      </c>
      <c r="C5102" s="2" t="s">
        <v>573</v>
      </c>
      <c r="D5102" s="2" t="str">
        <f t="shared" si="78"/>
        <v>Error?</v>
      </c>
    </row>
    <row r="5103" spans="1:4" x14ac:dyDescent="0.2">
      <c r="A5103" s="5">
        <v>5042</v>
      </c>
      <c r="B5103" s="138">
        <f>'Revenues 9-14'!C84</f>
        <v>98249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98249</v>
      </c>
      <c r="C5112" s="2" t="s">
        <v>573</v>
      </c>
      <c r="D5112" s="2" t="str">
        <f t="shared" si="78"/>
        <v>Error?</v>
      </c>
    </row>
    <row r="5113" spans="1:4" x14ac:dyDescent="0.2">
      <c r="A5113" s="5">
        <v>5052</v>
      </c>
      <c r="B5113" s="138">
        <f>'Revenues 9-14'!C95</f>
        <v>11488</v>
      </c>
      <c r="D5113" s="2" t="str">
        <f t="shared" si="78"/>
        <v>Error?</v>
      </c>
    </row>
    <row r="5114" spans="1:4" x14ac:dyDescent="0.2">
      <c r="A5114" s="5">
        <v>5053</v>
      </c>
      <c r="B5114" s="138">
        <f>'Revenues 9-14'!C96</f>
        <v>14125</v>
      </c>
      <c r="D5114" s="2" t="str">
        <f t="shared" si="78"/>
        <v>Error?</v>
      </c>
    </row>
    <row r="5115" spans="1:4" x14ac:dyDescent="0.2">
      <c r="A5115" s="5">
        <v>5054</v>
      </c>
      <c r="B5115" s="138">
        <f>'Revenues 9-14'!C98</f>
        <v>84550</v>
      </c>
      <c r="D5115" s="2" t="str">
        <f t="shared" si="78"/>
        <v>Error?</v>
      </c>
    </row>
    <row r="5116" spans="1:4" x14ac:dyDescent="0.2">
      <c r="A5116" s="5">
        <v>5055</v>
      </c>
      <c r="B5116" s="138">
        <f>'Revenues 9-14'!C99</f>
        <v>227183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115</v>
      </c>
      <c r="D5119" s="2" t="str">
        <f t="shared" ref="D5119:D5182" si="79">IF(ISBLANK(B5119),"OK",IF(A5119-B5119=0,"OK","Error?"))</f>
        <v>Error?</v>
      </c>
    </row>
    <row r="5120" spans="1:4" x14ac:dyDescent="0.2">
      <c r="A5120" s="5">
        <v>5059</v>
      </c>
      <c r="B5120" s="138">
        <f>'Revenues 9-14'!C108</f>
        <v>761530</v>
      </c>
      <c r="C5120" s="2" t="s">
        <v>573</v>
      </c>
      <c r="D5120" s="2" t="str">
        <f t="shared" si="79"/>
        <v>Error?</v>
      </c>
    </row>
    <row r="5121" spans="1:4" x14ac:dyDescent="0.2">
      <c r="A5121" s="5">
        <v>5060</v>
      </c>
      <c r="B5121" s="138">
        <f>'Revenues 9-14'!C109</f>
        <v>16076787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10203346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10203346</v>
      </c>
      <c r="C5132" s="2" t="s">
        <v>573</v>
      </c>
      <c r="D5132" s="2" t="str">
        <f t="shared" si="79"/>
        <v>Error?</v>
      </c>
    </row>
    <row r="5133" spans="1:4" x14ac:dyDescent="0.2">
      <c r="A5133" s="5">
        <v>5072</v>
      </c>
      <c r="B5133" s="138">
        <f>'Revenues 9-14'!C125</f>
        <v>349663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66047</v>
      </c>
      <c r="D5137" s="2" t="str">
        <f t="shared" si="79"/>
        <v>Error?</v>
      </c>
    </row>
    <row r="5138" spans="1:4" x14ac:dyDescent="0.2">
      <c r="A5138" s="10">
        <v>5077</v>
      </c>
      <c r="D5138" s="2" t="str">
        <f t="shared" si="79"/>
        <v>OK</v>
      </c>
    </row>
    <row r="5139" spans="1:4" x14ac:dyDescent="0.2">
      <c r="A5139" s="5">
        <v>5078</v>
      </c>
      <c r="B5139" s="138">
        <f>'Revenues 9-14'!C129</f>
        <v>4889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420599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36694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902792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1360085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11563431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1313647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451268</v>
      </c>
      <c r="D5241" s="2" t="str">
        <f t="shared" si="80"/>
        <v>Error?</v>
      </c>
    </row>
    <row r="5242" spans="1:4" x14ac:dyDescent="0.2">
      <c r="A5242" s="5">
        <v>5181</v>
      </c>
      <c r="B5242" s="138">
        <f>'Revenues 9-14'!C194</f>
        <v>7407</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1772322</v>
      </c>
      <c r="C5246" s="2" t="s">
        <v>573</v>
      </c>
      <c r="D5246" s="2" t="str">
        <f t="shared" si="80"/>
        <v>Error?</v>
      </c>
    </row>
    <row r="5247" spans="1:4" x14ac:dyDescent="0.2">
      <c r="A5247" s="5">
        <v>5186</v>
      </c>
      <c r="B5247" s="138">
        <f>'Revenues 9-14'!C200</f>
        <v>819759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819759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93901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430074</v>
      </c>
      <c r="D5278" s="2" t="str">
        <f t="shared" si="81"/>
        <v>Error?</v>
      </c>
    </row>
    <row r="5279" spans="1:4" x14ac:dyDescent="0.2">
      <c r="A5279" s="5">
        <v>5218</v>
      </c>
      <c r="B5279" s="138">
        <f>'Revenues 9-14'!C214</f>
        <v>7228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531203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3721719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3721719</v>
      </c>
      <c r="C5326" s="2" t="s">
        <v>573</v>
      </c>
      <c r="D5326" s="2" t="str">
        <f t="shared" si="82"/>
        <v>Error?</v>
      </c>
    </row>
    <row r="5327" spans="1:5" x14ac:dyDescent="0.2">
      <c r="A5327" s="5">
        <v>5266</v>
      </c>
      <c r="B5327" s="138">
        <f>'Revenues 9-14'!C268</f>
        <v>31361937</v>
      </c>
      <c r="C5327" s="2" t="s">
        <v>573</v>
      </c>
      <c r="D5327" s="2" t="str">
        <f t="shared" si="82"/>
        <v>Error?</v>
      </c>
    </row>
    <row r="5328" spans="1:5" x14ac:dyDescent="0.2">
      <c r="A5328" s="5">
        <v>5267</v>
      </c>
      <c r="B5328" s="138">
        <f>'Revenues 9-14'!D5</f>
        <v>1667726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1667726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259350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259350</v>
      </c>
      <c r="C5339" s="2" t="s">
        <v>573</v>
      </c>
      <c r="D5339" s="2" t="str">
        <f t="shared" si="82"/>
        <v>Error?</v>
      </c>
    </row>
    <row r="5340" spans="1:4" x14ac:dyDescent="0.2">
      <c r="A5340" s="5">
        <v>5279</v>
      </c>
      <c r="B5340" s="138">
        <f>'Revenues 9-14'!D65</f>
        <v>18925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18925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50225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50225</v>
      </c>
      <c r="C5355" s="2" t="s">
        <v>573</v>
      </c>
      <c r="D5355" s="2" t="str">
        <f t="shared" si="82"/>
        <v>Error?</v>
      </c>
    </row>
    <row r="5356" spans="1:4" x14ac:dyDescent="0.2">
      <c r="A5356" s="5">
        <v>5295</v>
      </c>
      <c r="B5356" s="138">
        <f>'Revenues 9-14'!D109</f>
        <v>1996226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821339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821339</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821339</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2817565</v>
      </c>
      <c r="C5508" s="2" t="s">
        <v>573</v>
      </c>
      <c r="D5508" s="2" t="str">
        <f t="shared" si="85"/>
        <v>Error?</v>
      </c>
    </row>
    <row r="5509" spans="1:4" x14ac:dyDescent="0.2">
      <c r="A5509" s="5">
        <v>5448</v>
      </c>
      <c r="B5509" s="138">
        <f>'Revenues 9-14'!E5</f>
        <v>416339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416339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9389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9389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425728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502755</v>
      </c>
      <c r="C5552" s="2" t="s">
        <v>573</v>
      </c>
      <c r="D5552" s="2" t="str">
        <f t="shared" si="85"/>
        <v>Error?</v>
      </c>
    </row>
    <row r="5553" spans="1:4" x14ac:dyDescent="0.2">
      <c r="A5553" s="5">
        <v>5492</v>
      </c>
      <c r="B5553" s="138">
        <f>'Revenues 9-14'!F5</f>
        <v>1079121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1079121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7313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7313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1086434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801281</v>
      </c>
      <c r="D5615" s="2" t="str">
        <f t="shared" si="86"/>
        <v>Error?</v>
      </c>
    </row>
    <row r="5616" spans="1:4" x14ac:dyDescent="0.2">
      <c r="A5616" s="10">
        <v>5555</v>
      </c>
      <c r="D5616" s="2" t="str">
        <f t="shared" si="86"/>
        <v>OK</v>
      </c>
    </row>
    <row r="5617" spans="1:5" x14ac:dyDescent="0.2">
      <c r="A5617" s="5">
        <v>5556</v>
      </c>
      <c r="B5617" s="138">
        <f>'Revenues 9-14'!F153</f>
        <v>879010</v>
      </c>
      <c r="D5617" s="2" t="str">
        <f t="shared" si="86"/>
        <v>Error?</v>
      </c>
    </row>
    <row r="5618" spans="1:5" x14ac:dyDescent="0.2">
      <c r="A5618" s="5">
        <v>5557</v>
      </c>
      <c r="B5618" s="138">
        <f>'Revenues 9-14'!F155</f>
        <v>1680291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119096</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1799387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1799387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2885821</v>
      </c>
      <c r="C5720" s="2" t="s">
        <v>573</v>
      </c>
      <c r="D5720" s="2" t="str">
        <f t="shared" si="88"/>
        <v>Error?</v>
      </c>
    </row>
    <row r="5721" spans="1:4" x14ac:dyDescent="0.2">
      <c r="A5721" s="5">
        <v>5660</v>
      </c>
      <c r="B5721" s="138">
        <f>'Revenues 9-14'!G5</f>
        <v>245281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169754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415035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406652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406652</v>
      </c>
      <c r="C5730" s="2" t="s">
        <v>573</v>
      </c>
      <c r="D5730" s="2" t="str">
        <f t="shared" si="88"/>
        <v>Error?</v>
      </c>
    </row>
    <row r="5731" spans="1:4" x14ac:dyDescent="0.2">
      <c r="A5731" s="5">
        <v>5670</v>
      </c>
      <c r="B5731" s="138">
        <f>'Revenues 9-14'!G65</f>
        <v>9633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9633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45615</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45615</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45615</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21950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21950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15700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63984</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79684</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102926</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102926</v>
      </c>
      <c r="C5869" s="2" t="s">
        <v>573</v>
      </c>
      <c r="D5869" s="2" t="str">
        <f t="shared" si="90"/>
        <v>Error?</v>
      </c>
    </row>
    <row r="5870" spans="1:4" x14ac:dyDescent="0.2">
      <c r="A5870" s="5">
        <v>5809</v>
      </c>
      <c r="B5870" s="138">
        <f>'Revenues 9-14'!G268</f>
        <v>979861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237210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237210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184160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184160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421370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299249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299249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4003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4003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303252</v>
      </c>
      <c r="C6023" s="2" t="s">
        <v>573</v>
      </c>
      <c r="D6023" s="2" t="str">
        <f t="shared" si="93"/>
        <v>Error?</v>
      </c>
    </row>
    <row r="6024" spans="1:5" x14ac:dyDescent="0.2">
      <c r="A6024" s="5">
        <v>5963</v>
      </c>
      <c r="B6024" s="138">
        <f>'Revenues 9-14'!G109</f>
        <v>831320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421370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303252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8149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128739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3220.1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655000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365000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290000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166005</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747085</v>
      </c>
      <c r="D6267" s="2" t="str">
        <f t="shared" si="96"/>
        <v>Error?</v>
      </c>
      <c r="E6267" s="2" t="s">
        <v>190</v>
      </c>
    </row>
    <row r="6268" spans="1:5" x14ac:dyDescent="0.2">
      <c r="A6268">
        <v>6207</v>
      </c>
      <c r="B6268" s="138">
        <f>'Acct Summary 7-8'!D82</f>
        <v>125770</v>
      </c>
      <c r="D6268" s="2" t="str">
        <f t="shared" si="96"/>
        <v>Error?</v>
      </c>
      <c r="E6268" s="2" t="s">
        <v>190</v>
      </c>
    </row>
    <row r="6269" spans="1:5" x14ac:dyDescent="0.2">
      <c r="A6269">
        <v>6208</v>
      </c>
      <c r="B6269" s="138">
        <f>'Acct Summary 7-8'!E82</f>
        <v>7582</v>
      </c>
      <c r="D6269" s="2" t="str">
        <f t="shared" si="96"/>
        <v>Error?</v>
      </c>
      <c r="E6269" s="2" t="s">
        <v>190</v>
      </c>
    </row>
    <row r="6270" spans="1:5" x14ac:dyDescent="0.2">
      <c r="A6270">
        <v>6209</v>
      </c>
      <c r="B6270" s="138">
        <f>'Acct Summary 7-8'!F82</f>
        <v>-102893</v>
      </c>
      <c r="D6270" s="2" t="str">
        <f t="shared" si="96"/>
        <v>Error?</v>
      </c>
      <c r="E6270" s="2" t="s">
        <v>190</v>
      </c>
    </row>
    <row r="6271" spans="1:5" x14ac:dyDescent="0.2">
      <c r="A6271">
        <v>6210</v>
      </c>
      <c r="B6271" s="138">
        <f>'Acct Summary 7-8'!G82</f>
        <v>126188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421370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-75631</v>
      </c>
      <c r="D6275" s="2" t="str">
        <f t="shared" si="97"/>
        <v>Error?</v>
      </c>
      <c r="E6275" s="2" t="s">
        <v>190</v>
      </c>
    </row>
    <row r="6276" spans="1:5" x14ac:dyDescent="0.2">
      <c r="A6276">
        <v>6215</v>
      </c>
      <c r="B6276" s="138">
        <f>'Acct Summary 7-8'!C83</f>
        <v>-2.2993810536553538</v>
      </c>
      <c r="D6276" s="2" t="str">
        <f t="shared" si="97"/>
        <v>Error?</v>
      </c>
      <c r="E6276" s="2" t="s">
        <v>190</v>
      </c>
    </row>
    <row r="6277" spans="1:5" x14ac:dyDescent="0.2">
      <c r="A6277">
        <v>6216</v>
      </c>
      <c r="B6277" s="138">
        <f>'Acct Summary 7-8'!D83</f>
        <v>0.50891625157303966</v>
      </c>
      <c r="D6277" s="2" t="str">
        <f t="shared" si="97"/>
        <v>Error?</v>
      </c>
      <c r="E6277" s="2" t="s">
        <v>190</v>
      </c>
    </row>
    <row r="6278" spans="1:5" x14ac:dyDescent="0.2">
      <c r="A6278">
        <v>6217</v>
      </c>
      <c r="B6278" s="138">
        <f>'Acct Summary 7-8'!E83</f>
        <v>4.3669078007648715E-2</v>
      </c>
      <c r="D6278" s="2" t="str">
        <f t="shared" si="97"/>
        <v>Error?</v>
      </c>
      <c r="E6278" s="2" t="s">
        <v>190</v>
      </c>
    </row>
    <row r="6279" spans="1:5" x14ac:dyDescent="0.2">
      <c r="A6279">
        <v>6218</v>
      </c>
      <c r="B6279" s="138">
        <f>'Acct Summary 7-8'!F83</f>
        <v>0.36031250218863592</v>
      </c>
      <c r="D6279" s="2" t="str">
        <f t="shared" si="97"/>
        <v>Error?</v>
      </c>
      <c r="E6279" s="2" t="s">
        <v>190</v>
      </c>
    </row>
    <row r="6280" spans="1:5" x14ac:dyDescent="0.2">
      <c r="A6280">
        <v>6219</v>
      </c>
      <c r="B6280" s="138">
        <f>'Acct Summary 7-8'!G83</f>
        <v>0.34333227222145135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6.2804964479281605E-2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-3.8338824960713742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166005</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399069</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397555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77027</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77027</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494126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418497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1108559</v>
      </c>
      <c r="D6880" s="2" t="str">
        <f t="shared" si="106"/>
        <v>Error?</v>
      </c>
    </row>
    <row r="6881" spans="1:4" x14ac:dyDescent="0.2">
      <c r="A6881">
        <v>6820</v>
      </c>
      <c r="B6881" s="138">
        <f>'Expenditures 15-22'!K22</f>
        <v>1108559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13477</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13477</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13477</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337703</v>
      </c>
      <c r="D6983" s="2" t="str">
        <f t="shared" si="108"/>
        <v>Error?</v>
      </c>
    </row>
    <row r="6984" spans="1:4" x14ac:dyDescent="0.2">
      <c r="A6984">
        <v>6923</v>
      </c>
      <c r="B6984" s="138">
        <f>'Expenditures 15-22'!K86</f>
        <v>337703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337703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13477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27616</v>
      </c>
      <c r="D7073" s="2" t="str">
        <f t="shared" si="109"/>
        <v>Error?</v>
      </c>
    </row>
    <row r="7074" spans="1:4" x14ac:dyDescent="0.2">
      <c r="A7074">
        <v>7013</v>
      </c>
      <c r="B7074" s="138">
        <f>'Expenditures 15-22'!K216</f>
        <v>27616</v>
      </c>
      <c r="D7074" s="2" t="str">
        <f t="shared" si="109"/>
        <v>Error?</v>
      </c>
    </row>
    <row r="7075" spans="1:4" x14ac:dyDescent="0.2">
      <c r="A7075">
        <v>7014</v>
      </c>
      <c r="B7075" s="138">
        <f>'Expenditures 15-22'!D218</f>
        <v>26839</v>
      </c>
      <c r="D7075" s="2" t="str">
        <f t="shared" si="109"/>
        <v>Error?</v>
      </c>
    </row>
    <row r="7076" spans="1:4" x14ac:dyDescent="0.2">
      <c r="A7076">
        <v>7015</v>
      </c>
      <c r="B7076" s="138">
        <f>'Expenditures 15-22'!K218</f>
        <v>26839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96571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344567</v>
      </c>
      <c r="D7251" s="2" t="str">
        <f t="shared" si="112"/>
        <v>Error?</v>
      </c>
    </row>
    <row r="7252" spans="1:4" x14ac:dyDescent="0.2">
      <c r="A7252">
        <f t="shared" si="113"/>
        <v>7191</v>
      </c>
      <c r="B7252" s="138">
        <f>'Expenditures 15-22'!D9</f>
        <v>73930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1453881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109930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77027</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29'!D44</f>
        <v>8753268</v>
      </c>
      <c r="D7797" s="2" t="str">
        <f t="shared" si="127"/>
        <v>Error?</v>
      </c>
      <c r="E7797" s="4" t="s">
        <v>1899</v>
      </c>
    </row>
    <row r="7798" spans="1:5" x14ac:dyDescent="0.2">
      <c r="A7798">
        <v>7737</v>
      </c>
      <c r="B7798" s="138">
        <f>'Contracts Paid in CY 29'!F44</f>
        <v>506237</v>
      </c>
      <c r="D7798" s="2" t="str">
        <f t="shared" si="127"/>
        <v>Error?</v>
      </c>
      <c r="E7798" s="4" t="s">
        <v>1899</v>
      </c>
    </row>
    <row r="7799" spans="1:5" x14ac:dyDescent="0.2">
      <c r="A7799">
        <v>7738</v>
      </c>
      <c r="B7799" s="138">
        <f>'Contracts Paid in CY 29'!G44</f>
        <v>8247031</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P16" sqref="P1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2" t="s">
        <v>1191</v>
      </c>
      <c r="B2" s="2412"/>
      <c r="C2" s="2412"/>
      <c r="D2" s="2412"/>
      <c r="E2" s="2412"/>
      <c r="F2" s="2412"/>
      <c r="G2" s="2412"/>
      <c r="H2" s="2412"/>
      <c r="I2" s="2412"/>
      <c r="J2" s="2412"/>
      <c r="K2" s="2412"/>
      <c r="L2" s="2412"/>
    </row>
    <row r="3" spans="1:29" ht="13.5" customHeight="1" x14ac:dyDescent="0.2">
      <c r="A3" s="2398" t="s">
        <v>1190</v>
      </c>
      <c r="B3" s="2398"/>
      <c r="C3" s="2398"/>
      <c r="D3" s="2398"/>
      <c r="E3" s="2398"/>
      <c r="F3" s="2398"/>
      <c r="G3" s="2398"/>
      <c r="H3" s="2398"/>
      <c r="I3" s="2398"/>
      <c r="J3" s="2398"/>
      <c r="K3" s="2398"/>
      <c r="L3" s="2398"/>
    </row>
    <row r="4" spans="1:29" ht="13.5" customHeight="1" x14ac:dyDescent="0.2">
      <c r="A4" s="2412" t="s">
        <v>1982</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2" t="str">
        <f>COVER!A17</f>
        <v>Pekin PSD 108</v>
      </c>
      <c r="B7" s="2393"/>
      <c r="C7" s="2393"/>
      <c r="D7" s="2430"/>
      <c r="E7" s="2431">
        <f>COVER!A13</f>
        <v>53090108002</v>
      </c>
      <c r="F7" s="2432"/>
      <c r="G7" s="2399" t="str">
        <f>COVER!T23</f>
        <v>066-004355</v>
      </c>
      <c r="H7" s="2400"/>
      <c r="I7" s="2400"/>
      <c r="J7" s="2400"/>
      <c r="K7" s="2400"/>
      <c r="L7" s="240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2"/>
      <c r="B9" s="2403"/>
      <c r="C9" s="2403"/>
      <c r="D9" s="2403"/>
      <c r="E9" s="2403"/>
      <c r="F9" s="2404"/>
      <c r="G9" s="2405" t="str">
        <f>COVER!T13</f>
        <v>Phillips, Salmi &amp; Associates, LLC</v>
      </c>
      <c r="H9" s="2406"/>
      <c r="I9" s="2406"/>
      <c r="J9" s="2406"/>
      <c r="K9" s="2406"/>
      <c r="L9" s="2407"/>
    </row>
    <row r="10" spans="1:29" ht="13.5" customHeight="1" x14ac:dyDescent="0.2">
      <c r="A10" s="2389" t="str">
        <f>COVER!A38</f>
        <v>Bill Link</v>
      </c>
      <c r="B10" s="2390"/>
      <c r="C10" s="2390"/>
      <c r="D10" s="2390"/>
      <c r="E10" s="2390"/>
      <c r="F10" s="2391"/>
      <c r="G10" s="2405" t="str">
        <f>COVER!T17</f>
        <v>112 S Main Street</v>
      </c>
      <c r="H10" s="2418"/>
      <c r="I10" s="2418"/>
      <c r="J10" s="2418"/>
      <c r="K10" s="2418"/>
      <c r="L10" s="2419"/>
    </row>
    <row r="11" spans="1:29" ht="13.5" customHeight="1" x14ac:dyDescent="0.2">
      <c r="A11" s="1184" t="s">
        <v>1519</v>
      </c>
      <c r="B11" s="1185"/>
      <c r="C11" s="1186"/>
      <c r="D11" s="1191"/>
      <c r="E11" s="1186"/>
      <c r="F11" s="1190"/>
      <c r="G11" s="2405" t="str">
        <f>COVER!T19</f>
        <v>Washington</v>
      </c>
      <c r="H11" s="2418"/>
      <c r="I11" s="2418"/>
      <c r="J11" s="2418"/>
      <c r="K11" s="2418"/>
      <c r="L11" s="2419"/>
    </row>
    <row r="12" spans="1:29" ht="13.5" customHeight="1" x14ac:dyDescent="0.2">
      <c r="A12" s="2423" t="s">
        <v>1518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1520</v>
      </c>
      <c r="H13" s="2414"/>
      <c r="I13" s="2426" t="str">
        <f>COVER!T25</f>
        <v>lsalmi@psa-cpa.com</v>
      </c>
      <c r="J13" s="2427"/>
      <c r="K13" s="2427"/>
      <c r="L13" s="2428"/>
    </row>
    <row r="14" spans="1:29" ht="13.5" customHeight="1" x14ac:dyDescent="0.2">
      <c r="A14" s="2405" t="str">
        <f>COVER!A19</f>
        <v>501 Washington Street</v>
      </c>
      <c r="B14" s="2418"/>
      <c r="C14" s="2418"/>
      <c r="D14" s="2418"/>
      <c r="E14" s="2418"/>
      <c r="F14" s="2419"/>
      <c r="G14" s="1195" t="s">
        <v>1185</v>
      </c>
      <c r="H14" s="1193"/>
      <c r="I14" s="1193"/>
      <c r="J14" s="1193"/>
      <c r="K14" s="1193"/>
      <c r="L14" s="1194"/>
    </row>
    <row r="15" spans="1:29" ht="13.5" customHeight="1" x14ac:dyDescent="0.2">
      <c r="A15" s="2405" t="str">
        <f>COVER!A21</f>
        <v>Pekin</v>
      </c>
      <c r="B15" s="2418"/>
      <c r="C15" s="2418"/>
      <c r="D15" s="2418"/>
      <c r="E15" s="2418"/>
      <c r="F15" s="2419"/>
      <c r="G15" s="2415" t="str">
        <f>COVER!T15</f>
        <v>Lori Salmi</v>
      </c>
      <c r="H15" s="2416"/>
      <c r="I15" s="2416"/>
      <c r="J15" s="2416"/>
      <c r="K15" s="2416"/>
      <c r="L15" s="2417"/>
    </row>
    <row r="16" spans="1:29" ht="12.2" customHeight="1" x14ac:dyDescent="0.2">
      <c r="A16" s="2395">
        <f>COVER!A25</f>
        <v>61554</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95" t="s">
        <v>1184</v>
      </c>
      <c r="H17" s="1193"/>
      <c r="I17" s="1193"/>
      <c r="J17" s="1193"/>
      <c r="K17" s="1197" t="s">
        <v>1183</v>
      </c>
      <c r="L17" s="1190"/>
      <c r="M17" s="1183"/>
    </row>
    <row r="18" spans="1:13" ht="12.2" customHeight="1" x14ac:dyDescent="0.2">
      <c r="A18" s="2389"/>
      <c r="B18" s="2390"/>
      <c r="C18" s="2390"/>
      <c r="D18" s="2390"/>
      <c r="E18" s="2390"/>
      <c r="F18" s="2391"/>
      <c r="G18" s="2392" t="str">
        <f>COVER!T21</f>
        <v>(309) 444-4909</v>
      </c>
      <c r="H18" s="2393"/>
      <c r="I18" s="2393"/>
      <c r="J18" s="2393"/>
      <c r="K18" s="2392" t="str">
        <f>COVER!X21</f>
        <v>(309) 444-8580</v>
      </c>
      <c r="L18" s="239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8"/>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6" zoomScale="125" zoomScaleNormal="125" workbookViewId="0">
      <selection activeCell="P16" sqref="P1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3" t="str">
        <f>'Single Audit Cover'!A7</f>
        <v>Pekin PSD 108</v>
      </c>
      <c r="B1" s="2429"/>
      <c r="C1" s="2429"/>
      <c r="D1" s="2429"/>
    </row>
    <row r="2" spans="1:11" s="1212" customFormat="1" ht="12.75" x14ac:dyDescent="0.2">
      <c r="A2" s="2434">
        <f>'Single Audit Cover'!E7</f>
        <v>53090108002</v>
      </c>
      <c r="B2" s="2435"/>
      <c r="C2" s="2435"/>
      <c r="D2" s="2435"/>
    </row>
    <row r="3" spans="1:11" s="1212" customFormat="1" ht="12.75" x14ac:dyDescent="0.2">
      <c r="A3" s="2433" t="s">
        <v>1513</v>
      </c>
      <c r="B3" s="2429"/>
      <c r="C3" s="2429"/>
      <c r="D3" s="242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9"/>
  <sheetViews>
    <sheetView showGridLines="0" zoomScale="110" zoomScaleNormal="110" zoomScaleSheetLayoutView="100" workbookViewId="0">
      <selection activeCell="P16" sqref="P1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7" t="str">
        <f>'Single Audit Cover'!A7</f>
        <v>Pekin PSD 108</v>
      </c>
      <c r="B1" s="2437"/>
      <c r="C1" s="2437"/>
      <c r="D1" s="2437"/>
      <c r="E1" s="2437"/>
    </row>
    <row r="2" spans="1:5" x14ac:dyDescent="0.2">
      <c r="A2" s="2438">
        <f>'Single Audit Cover'!E7</f>
        <v>53090108002</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7" t="s">
        <v>1243</v>
      </c>
    </row>
    <row r="10" spans="1:5" x14ac:dyDescent="0.2">
      <c r="A10" s="1258" t="s">
        <v>1242</v>
      </c>
      <c r="B10" s="1259" t="s">
        <v>1241</v>
      </c>
      <c r="C10" s="1259"/>
      <c r="D10" s="1260">
        <f>SUM('Acct Summary 7-8'!C7:K7)</f>
        <v>3901672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128739</v>
      </c>
    </row>
    <row r="15" spans="1:5" x14ac:dyDescent="0.2">
      <c r="A15" s="1258"/>
      <c r="B15" s="1259"/>
      <c r="C15" s="1259"/>
    </row>
    <row r="16" spans="1:5" x14ac:dyDescent="0.2">
      <c r="A16" s="1258" t="s">
        <v>1839</v>
      </c>
      <c r="B16" s="1259"/>
      <c r="C16" s="1259"/>
    </row>
    <row r="17" spans="1:4" x14ac:dyDescent="0.2">
      <c r="A17" s="1258" t="s">
        <v>2054</v>
      </c>
      <c r="B17" s="1259" t="s">
        <v>1236</v>
      </c>
      <c r="C17" s="1259"/>
      <c r="D17" s="1261">
        <f>-SUM('Revenues 9-14'!C264:D264,'Revenues 9-14'!F264:G264)</f>
        <v>-337419</v>
      </c>
    </row>
    <row r="19" spans="1:4" ht="13.5" thickBot="1" x14ac:dyDescent="0.25">
      <c r="A19" s="1262" t="s">
        <v>1235</v>
      </c>
      <c r="D19" s="1263">
        <f>SUM(D10:D17)</f>
        <v>3692992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9" t="s">
        <v>2127</v>
      </c>
      <c r="B24" s="2439"/>
      <c r="D24" s="1265">
        <v>-77027</v>
      </c>
    </row>
    <row r="25" spans="1:4" x14ac:dyDescent="0.2">
      <c r="A25" s="2436"/>
      <c r="B25" s="2436"/>
      <c r="D25" s="1265"/>
    </row>
    <row r="26" spans="1:4" x14ac:dyDescent="0.2">
      <c r="A26" s="2436"/>
      <c r="B26" s="2436"/>
      <c r="D26" s="1265"/>
    </row>
    <row r="27" spans="1:4" x14ac:dyDescent="0.2">
      <c r="A27" s="2436"/>
      <c r="B27" s="2436"/>
      <c r="D27" s="1265"/>
    </row>
    <row r="28" spans="1:4" x14ac:dyDescent="0.2">
      <c r="A28" s="2436"/>
      <c r="B28" s="2436"/>
      <c r="D28" s="1265"/>
    </row>
    <row r="29" spans="1:4" x14ac:dyDescent="0.2">
      <c r="A29" s="2436"/>
      <c r="B29" s="2436"/>
      <c r="D29" s="1265"/>
    </row>
    <row r="30" spans="1:4" x14ac:dyDescent="0.2">
      <c r="A30" s="2436"/>
      <c r="B30" s="2436"/>
      <c r="D30" s="1265"/>
    </row>
    <row r="32" spans="1:4" x14ac:dyDescent="0.2">
      <c r="A32" s="1257" t="s">
        <v>1233</v>
      </c>
      <c r="D32" s="1260">
        <f>SUM(D19:D30)</f>
        <v>3615965</v>
      </c>
    </row>
    <row r="33" spans="1:4" x14ac:dyDescent="0.2">
      <c r="D33" s="1266"/>
    </row>
    <row r="34" spans="1:4" x14ac:dyDescent="0.2">
      <c r="A34" s="317" t="s">
        <v>1232</v>
      </c>
    </row>
    <row r="35" spans="1:4" x14ac:dyDescent="0.2">
      <c r="A35" s="317" t="s">
        <v>1231</v>
      </c>
      <c r="B35" s="1255" t="s">
        <v>1230</v>
      </c>
      <c r="D35" s="1267">
        <f>' SEFA'!F27</f>
        <v>3615965</v>
      </c>
    </row>
    <row r="37" spans="1:4" x14ac:dyDescent="0.2">
      <c r="A37" s="1257" t="s">
        <v>1229</v>
      </c>
    </row>
    <row r="39" spans="1:4" ht="13.35" customHeight="1" x14ac:dyDescent="0.2">
      <c r="A39" s="1264" t="s">
        <v>1228</v>
      </c>
    </row>
    <row r="40" spans="1:4" x14ac:dyDescent="0.2">
      <c r="A40" s="2436"/>
      <c r="B40" s="2436"/>
      <c r="D40" s="1265"/>
    </row>
    <row r="41" spans="1:4" x14ac:dyDescent="0.2">
      <c r="A41" s="2436"/>
      <c r="B41" s="2436"/>
      <c r="D41" s="1268"/>
    </row>
    <row r="42" spans="1:4" x14ac:dyDescent="0.2">
      <c r="A42" s="2436"/>
      <c r="B42" s="2436"/>
      <c r="D42" s="1268"/>
    </row>
    <row r="43" spans="1:4" x14ac:dyDescent="0.2">
      <c r="A43" s="2436"/>
      <c r="B43" s="2436"/>
      <c r="D43" s="1268"/>
    </row>
    <row r="44" spans="1:4" x14ac:dyDescent="0.2">
      <c r="A44" s="2436"/>
      <c r="B44" s="2436"/>
      <c r="D44" s="1268"/>
    </row>
    <row r="45" spans="1:4" x14ac:dyDescent="0.2">
      <c r="A45" s="2436"/>
      <c r="B45" s="2436"/>
      <c r="D45" s="1268"/>
    </row>
    <row r="47" spans="1:4" x14ac:dyDescent="0.2">
      <c r="B47" s="1269" t="s">
        <v>1227</v>
      </c>
      <c r="C47" s="1269"/>
      <c r="D47" s="1270">
        <f>SUM(D35:D45)</f>
        <v>3615965</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7" zoomScale="130" zoomScaleNormal="130" workbookViewId="0">
      <selection activeCell="P16" sqref="P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Pekin PSD 108</v>
      </c>
      <c r="C1" s="2441"/>
      <c r="D1" s="2441"/>
      <c r="E1" s="2441"/>
      <c r="F1" s="2441"/>
      <c r="G1" s="2441"/>
      <c r="H1" s="2441"/>
      <c r="I1" s="2441"/>
      <c r="J1" s="2441"/>
      <c r="K1" s="2441"/>
      <c r="L1" s="2441"/>
      <c r="M1" s="2441"/>
    </row>
    <row r="2" spans="2:14" ht="15" x14ac:dyDescent="0.2">
      <c r="B2" s="2442">
        <f>'Single Audit Cover'!E7</f>
        <v>53090108002</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2"/>
      <c r="C8" s="1310" t="s">
        <v>1264</v>
      </c>
      <c r="D8" s="1311" t="s">
        <v>1263</v>
      </c>
      <c r="E8" s="1319" t="s">
        <v>1262</v>
      </c>
      <c r="F8" s="1320" t="s">
        <v>1262</v>
      </c>
      <c r="G8" s="1321" t="s">
        <v>1262</v>
      </c>
      <c r="H8" s="1314" t="s">
        <v>1835</v>
      </c>
      <c r="I8" s="1316" t="s">
        <v>1262</v>
      </c>
      <c r="J8" s="1315" t="s">
        <v>1983</v>
      </c>
      <c r="K8" s="1316" t="s">
        <v>1261</v>
      </c>
      <c r="L8" s="1317" t="s">
        <v>1257</v>
      </c>
      <c r="M8" s="1318" t="s">
        <v>30</v>
      </c>
    </row>
    <row r="9" spans="2:14" ht="14.25" x14ac:dyDescent="0.2">
      <c r="B9" s="1322" t="s">
        <v>1259</v>
      </c>
      <c r="C9" s="1310" t="s">
        <v>1732</v>
      </c>
      <c r="D9" s="1311" t="s">
        <v>1733</v>
      </c>
      <c r="E9" s="1319" t="s">
        <v>1835</v>
      </c>
      <c r="F9" s="1320" t="s">
        <v>1983</v>
      </c>
      <c r="G9" s="1321" t="s">
        <v>1835</v>
      </c>
      <c r="H9" s="1314" t="s">
        <v>1582</v>
      </c>
      <c r="I9" s="1316" t="s">
        <v>1983</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2086</v>
      </c>
      <c r="C11" s="1335"/>
      <c r="D11" s="1336"/>
      <c r="E11" s="1337"/>
      <c r="F11" s="1337"/>
      <c r="G11" s="1337"/>
      <c r="H11" s="1337"/>
      <c r="I11" s="1337"/>
      <c r="J11" s="1337"/>
      <c r="K11" s="1337"/>
      <c r="L11" s="1337"/>
      <c r="M11" s="1337"/>
    </row>
    <row r="12" spans="2:14" ht="20.100000000000001" customHeight="1" x14ac:dyDescent="0.2">
      <c r="B12" s="1334" t="s">
        <v>2087</v>
      </c>
      <c r="C12" s="1338"/>
      <c r="D12" s="1339"/>
      <c r="E12" s="1340"/>
      <c r="F12" s="1340"/>
      <c r="G12" s="1340"/>
      <c r="H12" s="1340"/>
      <c r="I12" s="1340"/>
      <c r="J12" s="1340"/>
      <c r="K12" s="1340"/>
      <c r="L12" s="1337"/>
      <c r="M12" s="1340"/>
    </row>
    <row r="13" spans="2:14" ht="20.100000000000001" customHeight="1" x14ac:dyDescent="0.2">
      <c r="B13" s="1334" t="s">
        <v>1058</v>
      </c>
      <c r="C13" s="1338">
        <v>10.555</v>
      </c>
      <c r="D13" s="1339" t="s">
        <v>2093</v>
      </c>
      <c r="E13" s="1943">
        <v>1111232</v>
      </c>
      <c r="F13" s="1943">
        <v>220459</v>
      </c>
      <c r="G13" s="1943">
        <v>1111232</v>
      </c>
      <c r="H13" s="1933"/>
      <c r="I13" s="1943">
        <v>220459</v>
      </c>
      <c r="J13" s="1933"/>
      <c r="K13" s="1943">
        <v>0</v>
      </c>
      <c r="L13" s="1942">
        <f t="shared" ref="L13:L26" si="0">+G13+I13+K13</f>
        <v>1331691</v>
      </c>
      <c r="M13" s="1340" t="s">
        <v>2097</v>
      </c>
    </row>
    <row r="14" spans="2:14" ht="20.100000000000001" customHeight="1" x14ac:dyDescent="0.2">
      <c r="B14" s="1334" t="s">
        <v>1058</v>
      </c>
      <c r="C14" s="1338">
        <v>10.555</v>
      </c>
      <c r="D14" s="1339" t="s">
        <v>2094</v>
      </c>
      <c r="E14" s="1933">
        <v>0</v>
      </c>
      <c r="F14" s="1933">
        <v>1093188</v>
      </c>
      <c r="G14" s="1933">
        <v>0</v>
      </c>
      <c r="H14" s="1933"/>
      <c r="I14" s="1933">
        <v>1093188</v>
      </c>
      <c r="J14" s="1933"/>
      <c r="K14" s="1933">
        <v>0</v>
      </c>
      <c r="L14" s="1936">
        <f t="shared" si="0"/>
        <v>1093188</v>
      </c>
      <c r="M14" s="1340" t="s">
        <v>2097</v>
      </c>
    </row>
    <row r="15" spans="2:14" ht="20.100000000000001" customHeight="1" x14ac:dyDescent="0.2">
      <c r="B15" s="1334" t="s">
        <v>2088</v>
      </c>
      <c r="C15" s="1338">
        <v>10.553000000000001</v>
      </c>
      <c r="D15" s="1339" t="s">
        <v>2095</v>
      </c>
      <c r="E15" s="1933">
        <v>367238</v>
      </c>
      <c r="F15" s="1933">
        <v>72567</v>
      </c>
      <c r="G15" s="1933">
        <v>367238</v>
      </c>
      <c r="H15" s="1933"/>
      <c r="I15" s="1933">
        <v>72567</v>
      </c>
      <c r="J15" s="1933"/>
      <c r="K15" s="1933">
        <v>0</v>
      </c>
      <c r="L15" s="1936">
        <f t="shared" si="0"/>
        <v>439805</v>
      </c>
      <c r="M15" s="1340" t="s">
        <v>2097</v>
      </c>
    </row>
    <row r="16" spans="2:14" ht="20.100000000000001" customHeight="1" x14ac:dyDescent="0.2">
      <c r="B16" s="1334" t="s">
        <v>2089</v>
      </c>
      <c r="C16" s="1338">
        <v>10.553000000000001</v>
      </c>
      <c r="D16" s="1339" t="s">
        <v>2096</v>
      </c>
      <c r="E16" s="1933">
        <v>0</v>
      </c>
      <c r="F16" s="1933">
        <v>378701</v>
      </c>
      <c r="G16" s="1933">
        <v>0</v>
      </c>
      <c r="H16" s="1933"/>
      <c r="I16" s="1933">
        <v>378701</v>
      </c>
      <c r="J16" s="1933"/>
      <c r="K16" s="1933">
        <v>0</v>
      </c>
      <c r="L16" s="1936">
        <f t="shared" si="0"/>
        <v>378701</v>
      </c>
      <c r="M16" s="1340" t="s">
        <v>2097</v>
      </c>
    </row>
    <row r="17" spans="2:14" ht="20.100000000000001" customHeight="1" x14ac:dyDescent="0.2">
      <c r="B17" s="1334" t="s">
        <v>2090</v>
      </c>
      <c r="C17" s="1338">
        <v>10.555</v>
      </c>
      <c r="D17" s="1339" t="s">
        <v>2097</v>
      </c>
      <c r="E17" s="1933">
        <v>96904</v>
      </c>
      <c r="F17" s="1933">
        <v>0</v>
      </c>
      <c r="G17" s="1933">
        <v>96904</v>
      </c>
      <c r="H17" s="1933"/>
      <c r="I17" s="1933">
        <v>0</v>
      </c>
      <c r="J17" s="1933"/>
      <c r="K17" s="1933">
        <v>0</v>
      </c>
      <c r="L17" s="1936">
        <f t="shared" si="0"/>
        <v>96904</v>
      </c>
      <c r="M17" s="1340" t="s">
        <v>2097</v>
      </c>
    </row>
    <row r="18" spans="2:14" ht="20.100000000000001" customHeight="1" x14ac:dyDescent="0.2">
      <c r="B18" s="1334" t="s">
        <v>2090</v>
      </c>
      <c r="C18" s="1338">
        <v>10.555</v>
      </c>
      <c r="D18" s="1339" t="s">
        <v>2097</v>
      </c>
      <c r="E18" s="1933">
        <v>0</v>
      </c>
      <c r="F18" s="1933">
        <v>108417</v>
      </c>
      <c r="G18" s="1933">
        <v>0</v>
      </c>
      <c r="H18" s="1933"/>
      <c r="I18" s="1933">
        <v>108417</v>
      </c>
      <c r="J18" s="1933"/>
      <c r="K18" s="1933">
        <v>0</v>
      </c>
      <c r="L18" s="1936">
        <f t="shared" si="0"/>
        <v>108417</v>
      </c>
      <c r="M18" s="1340" t="s">
        <v>2097</v>
      </c>
    </row>
    <row r="19" spans="2:14" ht="20.100000000000001" customHeight="1" x14ac:dyDescent="0.2">
      <c r="B19" s="1334" t="s">
        <v>2091</v>
      </c>
      <c r="C19" s="1338">
        <v>10.555</v>
      </c>
      <c r="D19" s="1339" t="s">
        <v>2097</v>
      </c>
      <c r="E19" s="1933">
        <v>31844</v>
      </c>
      <c r="F19" s="1933">
        <v>0</v>
      </c>
      <c r="G19" s="1933">
        <v>31844</v>
      </c>
      <c r="H19" s="1933"/>
      <c r="I19" s="1933">
        <v>0</v>
      </c>
      <c r="J19" s="1933"/>
      <c r="K19" s="1933">
        <v>0</v>
      </c>
      <c r="L19" s="1939">
        <f t="shared" si="0"/>
        <v>31844</v>
      </c>
      <c r="M19" s="1340" t="s">
        <v>2097</v>
      </c>
    </row>
    <row r="20" spans="2:14" ht="20.100000000000001" customHeight="1" x14ac:dyDescent="0.2">
      <c r="B20" s="1334" t="s">
        <v>2091</v>
      </c>
      <c r="C20" s="1338">
        <v>10.555</v>
      </c>
      <c r="D20" s="1339" t="s">
        <v>2097</v>
      </c>
      <c r="E20" s="1934">
        <v>0</v>
      </c>
      <c r="F20" s="1934">
        <v>20322</v>
      </c>
      <c r="G20" s="1934">
        <v>0</v>
      </c>
      <c r="H20" s="1933"/>
      <c r="I20" s="1934">
        <v>20322</v>
      </c>
      <c r="J20" s="1933"/>
      <c r="K20" s="1934">
        <v>0</v>
      </c>
      <c r="L20" s="1936">
        <f>+G20+I20+K20</f>
        <v>20322</v>
      </c>
      <c r="M20" s="1340" t="s">
        <v>2097</v>
      </c>
    </row>
    <row r="21" spans="2:14" ht="20.100000000000001" customHeight="1" x14ac:dyDescent="0.2">
      <c r="B21" s="1334" t="s">
        <v>1451</v>
      </c>
      <c r="C21" s="1338">
        <v>10.558999999999999</v>
      </c>
      <c r="D21" s="1339" t="s">
        <v>2098</v>
      </c>
      <c r="E21" s="1933">
        <v>0</v>
      </c>
      <c r="F21" s="1933">
        <v>7407</v>
      </c>
      <c r="G21" s="1933">
        <v>3314</v>
      </c>
      <c r="H21" s="1933"/>
      <c r="I21" s="1933">
        <v>4007</v>
      </c>
      <c r="J21" s="1933"/>
      <c r="K21" s="1933">
        <v>0</v>
      </c>
      <c r="L21" s="1936">
        <f>+G21+I21+K21</f>
        <v>7321</v>
      </c>
      <c r="M21" s="1340"/>
    </row>
    <row r="22" spans="2:14" ht="20.100000000000001" customHeight="1" x14ac:dyDescent="0.2">
      <c r="B22" s="1334" t="s">
        <v>1451</v>
      </c>
      <c r="C22" s="1338">
        <v>10.558999999999999</v>
      </c>
      <c r="D22" s="1339" t="s">
        <v>2099</v>
      </c>
      <c r="E22" s="1937">
        <v>0</v>
      </c>
      <c r="F22" s="1937">
        <v>0</v>
      </c>
      <c r="G22" s="1937">
        <v>0</v>
      </c>
      <c r="H22" s="1340"/>
      <c r="I22" s="1937">
        <v>7606</v>
      </c>
      <c r="J22" s="1340"/>
      <c r="K22" s="1935">
        <v>0</v>
      </c>
      <c r="L22" s="1936">
        <f t="shared" si="0"/>
        <v>7606</v>
      </c>
      <c r="M22" s="1340"/>
    </row>
    <row r="23" spans="2:14" ht="20.100000000000001" customHeight="1" x14ac:dyDescent="0.2">
      <c r="B23" s="1334" t="s">
        <v>2092</v>
      </c>
      <c r="C23" s="1338"/>
      <c r="D23" s="1339"/>
      <c r="E23" s="1938">
        <f>SUM(E13:E22)</f>
        <v>1607218</v>
      </c>
      <c r="F23" s="1938">
        <f>SUM(F13:F22)</f>
        <v>1901061</v>
      </c>
      <c r="G23" s="1938">
        <f>SUM(G13:G22)</f>
        <v>1610532</v>
      </c>
      <c r="H23" s="1340"/>
      <c r="I23" s="1938">
        <f>SUM(I13:I22)</f>
        <v>1905267</v>
      </c>
      <c r="J23" s="1340"/>
      <c r="K23" s="1932">
        <f>SUM(K13:K22)</f>
        <v>0</v>
      </c>
      <c r="L23" s="1938">
        <f>+G23+I23+K23</f>
        <v>3515799</v>
      </c>
      <c r="M23" s="1340"/>
    </row>
    <row r="24" spans="2:14" ht="20.100000000000001" customHeight="1" x14ac:dyDescent="0.2">
      <c r="B24" s="1334"/>
      <c r="C24" s="1338"/>
      <c r="D24" s="1339"/>
      <c r="E24" s="1337"/>
      <c r="F24" s="1337"/>
      <c r="G24" s="1337"/>
      <c r="H24" s="1340"/>
      <c r="I24" s="1337"/>
      <c r="J24" s="1340"/>
      <c r="K24" s="1929"/>
      <c r="L24" s="1929">
        <f t="shared" si="0"/>
        <v>0</v>
      </c>
      <c r="M24" s="1340"/>
    </row>
    <row r="25" spans="2:14" ht="20.100000000000001" customHeight="1" x14ac:dyDescent="0.2">
      <c r="B25" s="1334" t="s">
        <v>2100</v>
      </c>
      <c r="C25" s="1338"/>
      <c r="D25" s="1339"/>
      <c r="E25" s="1933">
        <f>' SEFA.1'!E25</f>
        <v>513211</v>
      </c>
      <c r="F25" s="1933">
        <f>' SEFA.1'!F25</f>
        <v>980189</v>
      </c>
      <c r="G25" s="1933">
        <f>' SEFA.1'!G25</f>
        <v>795999</v>
      </c>
      <c r="H25" s="1340"/>
      <c r="I25" s="1933">
        <f>' SEFA.1'!I25</f>
        <v>973604</v>
      </c>
      <c r="J25" s="1340"/>
      <c r="K25" s="1933">
        <f>' SEFA.1'!K25</f>
        <v>0</v>
      </c>
      <c r="L25" s="1936">
        <f t="shared" si="0"/>
        <v>1769603</v>
      </c>
      <c r="M25" s="1340"/>
    </row>
    <row r="26" spans="2:14" ht="20.100000000000001" customHeight="1" x14ac:dyDescent="0.2">
      <c r="B26" s="1334" t="s">
        <v>2101</v>
      </c>
      <c r="C26" s="1338"/>
      <c r="D26" s="1339"/>
      <c r="E26" s="1934">
        <f>' SEFA.2'!E27</f>
        <v>606468</v>
      </c>
      <c r="F26" s="1934">
        <f>' SEFA.2'!F27</f>
        <v>734715</v>
      </c>
      <c r="G26" s="1934">
        <f>' SEFA.2'!G27</f>
        <v>648678</v>
      </c>
      <c r="H26" s="1930"/>
      <c r="I26" s="1934">
        <f>' SEFA.2'!I27</f>
        <v>732865</v>
      </c>
      <c r="J26" s="1930"/>
      <c r="K26" s="1934">
        <f>' SEFA.2'!K27</f>
        <v>0</v>
      </c>
      <c r="L26" s="1937">
        <f t="shared" si="0"/>
        <v>1381543</v>
      </c>
      <c r="M26" s="1340"/>
    </row>
    <row r="27" spans="2:14" ht="20.100000000000001" customHeight="1" thickBot="1" x14ac:dyDescent="0.25">
      <c r="B27" s="1334" t="s">
        <v>1367</v>
      </c>
      <c r="C27" s="1338"/>
      <c r="D27" s="1339"/>
      <c r="E27" s="1941">
        <f>E23+E25+E26</f>
        <v>2726897</v>
      </c>
      <c r="F27" s="1941">
        <f>F23+F25+F26</f>
        <v>3615965</v>
      </c>
      <c r="G27" s="1941">
        <f>G23+G25+G26</f>
        <v>3055209</v>
      </c>
      <c r="H27" s="1940"/>
      <c r="I27" s="1941">
        <f>I23+I25+I26</f>
        <v>3611736</v>
      </c>
      <c r="J27" s="1940"/>
      <c r="K27" s="1941">
        <f>K23+K25+K26</f>
        <v>0</v>
      </c>
      <c r="L27" s="1941">
        <f>+G27+I27+K27</f>
        <v>6666945</v>
      </c>
      <c r="M27" s="1340"/>
      <c r="N27" s="1341"/>
    </row>
    <row r="28" spans="2:14" ht="12.75" customHeight="1" thickTop="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1930"/>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P16" sqref="P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Pekin PSD 108</v>
      </c>
      <c r="C1" s="2441"/>
      <c r="D1" s="2441"/>
      <c r="E1" s="2441"/>
      <c r="F1" s="2441"/>
      <c r="G1" s="2441"/>
      <c r="H1" s="2441"/>
      <c r="I1" s="2441"/>
      <c r="J1" s="2441"/>
      <c r="K1" s="2441"/>
      <c r="L1" s="2441"/>
      <c r="M1" s="2441"/>
    </row>
    <row r="2" spans="2:14" ht="15" x14ac:dyDescent="0.2">
      <c r="B2" s="2442">
        <f>'Single Audit Cover'!E7</f>
        <v>53090108002</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2"/>
      <c r="C8" s="1310" t="s">
        <v>1264</v>
      </c>
      <c r="D8" s="1311" t="s">
        <v>1263</v>
      </c>
      <c r="E8" s="1319" t="s">
        <v>1262</v>
      </c>
      <c r="F8" s="1320" t="s">
        <v>1262</v>
      </c>
      <c r="G8" s="1321" t="s">
        <v>1262</v>
      </c>
      <c r="H8" s="1314" t="s">
        <v>1835</v>
      </c>
      <c r="I8" s="1316" t="s">
        <v>1262</v>
      </c>
      <c r="J8" s="1315" t="s">
        <v>1983</v>
      </c>
      <c r="K8" s="1316" t="s">
        <v>1261</v>
      </c>
      <c r="L8" s="1317" t="s">
        <v>1257</v>
      </c>
      <c r="M8" s="1318" t="s">
        <v>30</v>
      </c>
    </row>
    <row r="9" spans="2:14" ht="14.25" x14ac:dyDescent="0.2">
      <c r="B9" s="1322" t="s">
        <v>1259</v>
      </c>
      <c r="C9" s="1310" t="s">
        <v>1732</v>
      </c>
      <c r="D9" s="1311" t="s">
        <v>1733</v>
      </c>
      <c r="E9" s="1319" t="s">
        <v>1835</v>
      </c>
      <c r="F9" s="1320" t="s">
        <v>1983</v>
      </c>
      <c r="G9" s="1321" t="s">
        <v>1835</v>
      </c>
      <c r="H9" s="1314" t="s">
        <v>1582</v>
      </c>
      <c r="I9" s="1316" t="s">
        <v>1983</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2102</v>
      </c>
      <c r="C11" s="1335"/>
      <c r="D11" s="1336"/>
      <c r="E11" s="1337"/>
      <c r="F11" s="1337"/>
      <c r="G11" s="1337"/>
      <c r="H11" s="1337"/>
      <c r="I11" s="1337"/>
      <c r="J11" s="1337"/>
      <c r="K11" s="1337"/>
      <c r="L11" s="1337">
        <f>+G11+I11+K11</f>
        <v>0</v>
      </c>
      <c r="M11" s="1337"/>
    </row>
    <row r="12" spans="2:14" ht="20.100000000000001" customHeight="1" x14ac:dyDescent="0.2">
      <c r="B12" s="1334" t="s">
        <v>2087</v>
      </c>
      <c r="C12" s="1338"/>
      <c r="D12" s="1339"/>
      <c r="E12" s="1340"/>
      <c r="F12" s="1340"/>
      <c r="G12" s="1340"/>
      <c r="H12" s="1340"/>
      <c r="I12" s="1340"/>
      <c r="J12" s="1340"/>
      <c r="K12" s="1340"/>
      <c r="L12" s="1337">
        <f t="shared" ref="L12:L23" si="0">+G12+I12+K12</f>
        <v>0</v>
      </c>
      <c r="M12" s="1340"/>
    </row>
    <row r="13" spans="2:14" ht="20.100000000000001" customHeight="1" x14ac:dyDescent="0.2">
      <c r="B13" s="1334" t="s">
        <v>918</v>
      </c>
      <c r="C13" s="1338">
        <v>84.01</v>
      </c>
      <c r="D13" s="1339" t="s">
        <v>2106</v>
      </c>
      <c r="E13" s="1943">
        <v>418963</v>
      </c>
      <c r="F13" s="1943">
        <v>290480</v>
      </c>
      <c r="G13" s="1943">
        <v>650643</v>
      </c>
      <c r="H13" s="1933"/>
      <c r="I13" s="1943">
        <v>58800</v>
      </c>
      <c r="J13" s="1933"/>
      <c r="K13" s="1943">
        <v>0</v>
      </c>
      <c r="L13" s="1942">
        <f t="shared" si="0"/>
        <v>709443</v>
      </c>
      <c r="M13" s="1933">
        <v>765354</v>
      </c>
    </row>
    <row r="14" spans="2:14" ht="20.100000000000001" customHeight="1" x14ac:dyDescent="0.2">
      <c r="B14" s="1334" t="s">
        <v>918</v>
      </c>
      <c r="C14" s="1338">
        <v>84.01</v>
      </c>
      <c r="D14" s="1339" t="s">
        <v>2107</v>
      </c>
      <c r="E14" s="1934">
        <v>0</v>
      </c>
      <c r="F14" s="1934">
        <v>551229</v>
      </c>
      <c r="G14" s="1934">
        <v>0</v>
      </c>
      <c r="H14" s="1933"/>
      <c r="I14" s="1934">
        <v>794150</v>
      </c>
      <c r="J14" s="1933"/>
      <c r="K14" s="1934">
        <v>0</v>
      </c>
      <c r="L14" s="1937">
        <f t="shared" si="0"/>
        <v>794150</v>
      </c>
      <c r="M14" s="1933">
        <v>916395</v>
      </c>
    </row>
    <row r="15" spans="2:14" ht="20.100000000000001" customHeight="1" x14ac:dyDescent="0.2">
      <c r="B15" s="1334" t="s">
        <v>2133</v>
      </c>
      <c r="C15" s="1338"/>
      <c r="D15" s="1339"/>
      <c r="E15" s="1938">
        <f>E13+E14</f>
        <v>418963</v>
      </c>
      <c r="F15" s="1938">
        <f>F13+F14</f>
        <v>841709</v>
      </c>
      <c r="G15" s="1938">
        <f>G13+G14</f>
        <v>650643</v>
      </c>
      <c r="H15" s="1933"/>
      <c r="I15" s="1938">
        <f>I13+I14</f>
        <v>852950</v>
      </c>
      <c r="J15" s="1933"/>
      <c r="K15" s="1938">
        <f>K13+K14</f>
        <v>0</v>
      </c>
      <c r="L15" s="1938">
        <f t="shared" si="0"/>
        <v>1503593</v>
      </c>
      <c r="M15" s="1933"/>
    </row>
    <row r="16" spans="2:14" ht="20.100000000000001" customHeight="1" x14ac:dyDescent="0.2">
      <c r="B16" s="1334"/>
      <c r="C16" s="1338"/>
      <c r="D16" s="1339"/>
      <c r="E16" s="1337"/>
      <c r="F16" s="1337"/>
      <c r="G16" s="1337"/>
      <c r="H16" s="1340"/>
      <c r="I16" s="1337"/>
      <c r="J16" s="1340"/>
      <c r="K16" s="1337"/>
      <c r="L16" s="1337">
        <f t="shared" si="0"/>
        <v>0</v>
      </c>
      <c r="M16" s="1340"/>
    </row>
    <row r="17" spans="2:14" ht="20.100000000000001" customHeight="1" x14ac:dyDescent="0.2">
      <c r="B17" s="1334" t="s">
        <v>758</v>
      </c>
      <c r="C17" s="1338">
        <v>84.367000000000004</v>
      </c>
      <c r="D17" s="1339" t="s">
        <v>2109</v>
      </c>
      <c r="E17" s="1933">
        <v>94248</v>
      </c>
      <c r="F17" s="1933">
        <v>61139</v>
      </c>
      <c r="G17" s="1933">
        <v>138128</v>
      </c>
      <c r="H17" s="1340"/>
      <c r="I17" s="1933">
        <v>17259</v>
      </c>
      <c r="J17" s="1340"/>
      <c r="K17" s="1933">
        <v>0</v>
      </c>
      <c r="L17" s="1936">
        <f t="shared" si="0"/>
        <v>155387</v>
      </c>
      <c r="M17" s="1933">
        <v>165061</v>
      </c>
    </row>
    <row r="18" spans="2:14" ht="20.100000000000001" customHeight="1" x14ac:dyDescent="0.2">
      <c r="B18" s="1334" t="s">
        <v>758</v>
      </c>
      <c r="C18" s="1338">
        <v>84.367000000000004</v>
      </c>
      <c r="D18" s="1339" t="s">
        <v>2108</v>
      </c>
      <c r="E18" s="1934">
        <v>0</v>
      </c>
      <c r="F18" s="1934">
        <v>70113</v>
      </c>
      <c r="G18" s="1934">
        <v>0</v>
      </c>
      <c r="H18" s="1340"/>
      <c r="I18" s="1934">
        <v>99010</v>
      </c>
      <c r="J18" s="1340"/>
      <c r="K18" s="1934">
        <v>0</v>
      </c>
      <c r="L18" s="1937">
        <f t="shared" si="0"/>
        <v>99010</v>
      </c>
      <c r="M18" s="1934">
        <v>128317</v>
      </c>
    </row>
    <row r="19" spans="2:14" ht="20.100000000000001" customHeight="1" x14ac:dyDescent="0.2">
      <c r="B19" s="1334" t="s">
        <v>2132</v>
      </c>
      <c r="C19" s="1338"/>
      <c r="D19" s="1339"/>
      <c r="E19" s="1938">
        <f>E17+E18</f>
        <v>94248</v>
      </c>
      <c r="F19" s="1938">
        <f>F17+F18</f>
        <v>131252</v>
      </c>
      <c r="G19" s="1938">
        <f>G17+G18</f>
        <v>138128</v>
      </c>
      <c r="H19" s="1340"/>
      <c r="I19" s="1938">
        <f>I17+I18</f>
        <v>116269</v>
      </c>
      <c r="J19" s="1340"/>
      <c r="K19" s="1932">
        <f>K17+K18</f>
        <v>0</v>
      </c>
      <c r="L19" s="1938">
        <f>+G19+I19+K19</f>
        <v>254397</v>
      </c>
      <c r="M19" s="1340"/>
    </row>
    <row r="20" spans="2:14" ht="20.100000000000001" customHeight="1" x14ac:dyDescent="0.2">
      <c r="B20" s="1334"/>
      <c r="C20" s="1338"/>
      <c r="D20" s="1339"/>
      <c r="E20" s="1337"/>
      <c r="F20" s="1337"/>
      <c r="G20" s="1337"/>
      <c r="H20" s="1340"/>
      <c r="I20" s="1337"/>
      <c r="J20" s="1340"/>
      <c r="K20" s="1337"/>
      <c r="L20" s="1337">
        <f t="shared" si="0"/>
        <v>0</v>
      </c>
      <c r="M20" s="1337"/>
    </row>
    <row r="21" spans="2:14" ht="20.100000000000001" customHeight="1" x14ac:dyDescent="0.2">
      <c r="B21" s="1334" t="s">
        <v>2103</v>
      </c>
      <c r="C21" s="1338">
        <v>84.027000000000001</v>
      </c>
      <c r="D21" s="1339" t="s">
        <v>2110</v>
      </c>
      <c r="E21" s="1933">
        <v>0</v>
      </c>
      <c r="F21" s="1933">
        <v>7228</v>
      </c>
      <c r="G21" s="1933">
        <v>7228</v>
      </c>
      <c r="H21" s="1340"/>
      <c r="I21" s="1933">
        <v>0</v>
      </c>
      <c r="J21" s="1340"/>
      <c r="K21" s="1933">
        <v>0</v>
      </c>
      <c r="L21" s="1936">
        <f t="shared" si="0"/>
        <v>7228</v>
      </c>
      <c r="M21" s="1340" t="s">
        <v>2097</v>
      </c>
    </row>
    <row r="22" spans="2:14" ht="20.100000000000001" customHeight="1" x14ac:dyDescent="0.2">
      <c r="B22" s="1334" t="s">
        <v>2103</v>
      </c>
      <c r="C22" s="1338">
        <v>84.027000000000001</v>
      </c>
      <c r="D22" s="1339" t="s">
        <v>2111</v>
      </c>
      <c r="E22" s="1934">
        <v>0</v>
      </c>
      <c r="F22" s="1934"/>
      <c r="G22" s="1934">
        <v>0</v>
      </c>
      <c r="H22" s="1340"/>
      <c r="I22" s="1934">
        <v>4385</v>
      </c>
      <c r="J22" s="1340"/>
      <c r="K22" s="1934">
        <v>0</v>
      </c>
      <c r="L22" s="1937">
        <f t="shared" si="0"/>
        <v>4385</v>
      </c>
      <c r="M22" s="1340" t="s">
        <v>2097</v>
      </c>
    </row>
    <row r="23" spans="2:14" ht="20.100000000000001" customHeight="1" x14ac:dyDescent="0.2">
      <c r="B23" s="1334" t="s">
        <v>2105</v>
      </c>
      <c r="C23" s="1338"/>
      <c r="D23" s="1339"/>
      <c r="E23" s="1938">
        <f>E21+E22</f>
        <v>0</v>
      </c>
      <c r="F23" s="1938">
        <f>F21+F22</f>
        <v>7228</v>
      </c>
      <c r="G23" s="1938">
        <f>G21+G22</f>
        <v>7228</v>
      </c>
      <c r="H23" s="1340"/>
      <c r="I23" s="1938">
        <f>I21+I22</f>
        <v>4385</v>
      </c>
      <c r="J23" s="1340"/>
      <c r="K23" s="1938">
        <f>K21+K22</f>
        <v>0</v>
      </c>
      <c r="L23" s="1938">
        <f t="shared" si="0"/>
        <v>11613</v>
      </c>
      <c r="M23" s="1340"/>
    </row>
    <row r="24" spans="2:14" ht="20.100000000000001" customHeight="1" x14ac:dyDescent="0.2">
      <c r="B24" s="1334"/>
      <c r="C24" s="1338"/>
      <c r="D24" s="1339"/>
      <c r="E24" s="1931"/>
      <c r="F24" s="1931"/>
      <c r="G24" s="1931"/>
      <c r="H24" s="1340"/>
      <c r="I24" s="1931"/>
      <c r="J24" s="1340"/>
      <c r="K24" s="1931"/>
      <c r="L24" s="1931"/>
      <c r="M24" s="1340"/>
    </row>
    <row r="25" spans="2:14" ht="20.100000000000001" customHeight="1" x14ac:dyDescent="0.2">
      <c r="B25" s="1334" t="s">
        <v>2100</v>
      </c>
      <c r="C25" s="1338"/>
      <c r="D25" s="1339"/>
      <c r="E25" s="1944">
        <f>E15+E19+E23</f>
        <v>513211</v>
      </c>
      <c r="F25" s="1944">
        <f>F15+F19+F23</f>
        <v>980189</v>
      </c>
      <c r="G25" s="1944">
        <f>G15+G19+G23</f>
        <v>795999</v>
      </c>
      <c r="H25" s="1340"/>
      <c r="I25" s="1944">
        <f>I15+I19+I23</f>
        <v>973604</v>
      </c>
      <c r="J25" s="1340"/>
      <c r="K25" s="1938">
        <f>K15+K19+K23</f>
        <v>0</v>
      </c>
      <c r="L25" s="1944">
        <f>+G25+I25+K25</f>
        <v>1769603</v>
      </c>
      <c r="M25" s="1340"/>
    </row>
    <row r="26" spans="2:14" ht="20.100000000000001" customHeight="1" x14ac:dyDescent="0.2">
      <c r="B26" s="1334"/>
      <c r="C26" s="1338"/>
      <c r="D26" s="1339"/>
      <c r="E26" s="1337"/>
      <c r="F26" s="1337"/>
      <c r="G26" s="1337"/>
      <c r="H26" s="1340"/>
      <c r="I26" s="1337"/>
      <c r="J26" s="1340"/>
      <c r="K26" s="1337"/>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40.1&amp;R&amp;8Page 40.1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5"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2066</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2066</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2078</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t="s">
        <v>2212</v>
      </c>
      <c r="E118" s="322"/>
      <c r="F118" s="324"/>
      <c r="G118" s="1834"/>
      <c r="H118" s="322"/>
      <c r="I118" s="304"/>
    </row>
    <row r="119" spans="1:9" s="181" customFormat="1" ht="11.25" customHeight="1" x14ac:dyDescent="0.2">
      <c r="A119" s="325"/>
      <c r="B119" s="325"/>
      <c r="C119" s="326"/>
      <c r="D119" s="327" t="s">
        <v>361</v>
      </c>
      <c r="E119" s="310"/>
      <c r="F119" s="1833" t="s">
        <v>1901</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view="pageLayout" zoomScaleNormal="100" workbookViewId="0">
      <selection activeCell="P16" sqref="P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Pekin PSD 108</v>
      </c>
      <c r="C1" s="2441"/>
      <c r="D1" s="2441"/>
      <c r="E1" s="2441"/>
      <c r="F1" s="2441"/>
      <c r="G1" s="2441"/>
      <c r="H1" s="2441"/>
      <c r="I1" s="2441"/>
      <c r="J1" s="2441"/>
      <c r="K1" s="2441"/>
      <c r="L1" s="2441"/>
      <c r="M1" s="2441"/>
    </row>
    <row r="2" spans="2:14" ht="15" x14ac:dyDescent="0.2">
      <c r="B2" s="2442">
        <f>'Single Audit Cover'!E7</f>
        <v>53090108002</v>
      </c>
      <c r="C2" s="2442"/>
      <c r="D2" s="2442"/>
      <c r="E2" s="2442"/>
      <c r="F2" s="2442"/>
      <c r="G2" s="2442"/>
      <c r="H2" s="2442"/>
      <c r="I2" s="2442"/>
      <c r="J2" s="2442"/>
      <c r="K2" s="2442"/>
      <c r="L2" s="2442"/>
      <c r="M2" s="2442"/>
      <c r="N2" s="1299"/>
    </row>
    <row r="3" spans="2:14" ht="15" x14ac:dyDescent="0.2">
      <c r="B3" s="2443" t="s">
        <v>1219</v>
      </c>
      <c r="C3" s="2443"/>
      <c r="D3" s="2443"/>
      <c r="E3" s="2443"/>
      <c r="F3" s="2443"/>
      <c r="G3" s="2443"/>
      <c r="H3" s="2443"/>
      <c r="I3" s="2443"/>
      <c r="J3" s="2443"/>
      <c r="K3" s="2443"/>
      <c r="L3" s="2443"/>
      <c r="M3" s="2443"/>
      <c r="N3" s="1299"/>
    </row>
    <row r="4" spans="2:14" ht="15" x14ac:dyDescent="0.2">
      <c r="B4" s="2444" t="str">
        <f>'Single Audit Cover'!A4</f>
        <v>Year Ending June 30, 2019</v>
      </c>
      <c r="C4" s="2444"/>
      <c r="D4" s="2444"/>
      <c r="E4" s="2444"/>
      <c r="F4" s="2444"/>
      <c r="G4" s="2444"/>
      <c r="H4" s="2444"/>
      <c r="I4" s="2444"/>
      <c r="J4" s="2444"/>
      <c r="K4" s="2444"/>
      <c r="L4" s="2444"/>
      <c r="M4" s="244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2"/>
      <c r="C8" s="1310" t="s">
        <v>1264</v>
      </c>
      <c r="D8" s="1311" t="s">
        <v>1263</v>
      </c>
      <c r="E8" s="1319" t="s">
        <v>1262</v>
      </c>
      <c r="F8" s="1320" t="s">
        <v>1262</v>
      </c>
      <c r="G8" s="1321" t="s">
        <v>1262</v>
      </c>
      <c r="H8" s="1314" t="s">
        <v>1835</v>
      </c>
      <c r="I8" s="1316" t="s">
        <v>1262</v>
      </c>
      <c r="J8" s="1315" t="s">
        <v>1983</v>
      </c>
      <c r="K8" s="1316" t="s">
        <v>1261</v>
      </c>
      <c r="L8" s="1317" t="s">
        <v>1257</v>
      </c>
      <c r="M8" s="1318" t="s">
        <v>30</v>
      </c>
    </row>
    <row r="9" spans="2:14" ht="14.25" x14ac:dyDescent="0.2">
      <c r="B9" s="1322" t="s">
        <v>1259</v>
      </c>
      <c r="C9" s="1310" t="s">
        <v>1732</v>
      </c>
      <c r="D9" s="1311" t="s">
        <v>1733</v>
      </c>
      <c r="E9" s="1319" t="s">
        <v>1835</v>
      </c>
      <c r="F9" s="1320" t="s">
        <v>1983</v>
      </c>
      <c r="G9" s="1321" t="s">
        <v>1835</v>
      </c>
      <c r="H9" s="1314" t="s">
        <v>1582</v>
      </c>
      <c r="I9" s="1316" t="s">
        <v>1983</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2112</v>
      </c>
      <c r="C11" s="1335"/>
      <c r="D11" s="1336"/>
      <c r="E11" s="1337"/>
      <c r="F11" s="1337"/>
      <c r="G11" s="1337"/>
      <c r="H11" s="1337"/>
      <c r="I11" s="1337"/>
      <c r="J11" s="1337"/>
      <c r="K11" s="1337"/>
      <c r="L11" s="1929"/>
      <c r="M11" s="1337"/>
    </row>
    <row r="12" spans="2:14" ht="20.100000000000001" customHeight="1" x14ac:dyDescent="0.2">
      <c r="B12" s="1334" t="s">
        <v>2113</v>
      </c>
      <c r="C12" s="1338">
        <v>84.173000000000002</v>
      </c>
      <c r="D12" s="1339" t="s">
        <v>2121</v>
      </c>
      <c r="E12" s="1945">
        <v>54867</v>
      </c>
      <c r="F12" s="1945">
        <v>9725</v>
      </c>
      <c r="G12" s="1945">
        <v>54867</v>
      </c>
      <c r="H12" s="1340"/>
      <c r="I12" s="1945">
        <v>9725</v>
      </c>
      <c r="J12" s="1340"/>
      <c r="K12" s="1945">
        <v>0</v>
      </c>
      <c r="L12" s="1943">
        <f t="shared" ref="L12:L27" si="0">+G12+I12+K12</f>
        <v>64592</v>
      </c>
      <c r="M12" s="1933">
        <v>64592</v>
      </c>
    </row>
    <row r="13" spans="2:14" ht="20.100000000000001" customHeight="1" x14ac:dyDescent="0.2">
      <c r="B13" s="1334" t="s">
        <v>2113</v>
      </c>
      <c r="C13" s="1338">
        <v>84.173000000000002</v>
      </c>
      <c r="D13" s="1339" t="s">
        <v>2122</v>
      </c>
      <c r="E13" s="1934">
        <v>0</v>
      </c>
      <c r="F13" s="1934">
        <v>99876</v>
      </c>
      <c r="G13" s="1934">
        <v>0</v>
      </c>
      <c r="H13" s="1340"/>
      <c r="I13" s="1934">
        <v>99876</v>
      </c>
      <c r="J13" s="1340"/>
      <c r="K13" s="1934">
        <v>0</v>
      </c>
      <c r="L13" s="1937">
        <f t="shared" si="0"/>
        <v>99876</v>
      </c>
      <c r="M13" s="1933">
        <v>111338</v>
      </c>
    </row>
    <row r="14" spans="2:14" ht="20.100000000000001" customHeight="1" x14ac:dyDescent="0.2">
      <c r="B14" s="1334" t="s">
        <v>2120</v>
      </c>
      <c r="C14" s="1338"/>
      <c r="D14" s="1339"/>
      <c r="E14" s="1938">
        <f>E13+E12</f>
        <v>54867</v>
      </c>
      <c r="F14" s="1938">
        <f>F13+F12</f>
        <v>109601</v>
      </c>
      <c r="G14" s="1938">
        <f>G13+G12</f>
        <v>54867</v>
      </c>
      <c r="H14" s="1340"/>
      <c r="I14" s="1938">
        <f>I13+I12</f>
        <v>109601</v>
      </c>
      <c r="J14" s="1340"/>
      <c r="K14" s="1938">
        <f>K13+K12</f>
        <v>0</v>
      </c>
      <c r="L14" s="1938">
        <f>G14+I14+K14</f>
        <v>164468</v>
      </c>
      <c r="M14" s="1340"/>
    </row>
    <row r="15" spans="2:14" ht="20.100000000000001" customHeight="1" x14ac:dyDescent="0.2">
      <c r="B15" s="1334" t="s">
        <v>1169</v>
      </c>
      <c r="C15" s="1338"/>
      <c r="D15" s="1339"/>
      <c r="E15" s="1337"/>
      <c r="F15" s="1337"/>
      <c r="G15" s="1337"/>
      <c r="H15" s="1340"/>
      <c r="I15" s="1337"/>
      <c r="J15" s="1340"/>
      <c r="K15" s="1337"/>
      <c r="L15" s="1929"/>
      <c r="M15" s="1340"/>
    </row>
    <row r="16" spans="2:14" ht="20.100000000000001" customHeight="1" x14ac:dyDescent="0.2">
      <c r="B16" s="1334" t="s">
        <v>2114</v>
      </c>
      <c r="C16" s="1338">
        <v>84.027000000000001</v>
      </c>
      <c r="D16" s="1339" t="s">
        <v>2123</v>
      </c>
      <c r="E16" s="1933">
        <v>454934</v>
      </c>
      <c r="F16" s="1933">
        <v>41572</v>
      </c>
      <c r="G16" s="1933">
        <v>454934</v>
      </c>
      <c r="H16" s="1340"/>
      <c r="I16" s="1933">
        <v>41572</v>
      </c>
      <c r="J16" s="1340"/>
      <c r="K16" s="1933">
        <v>0</v>
      </c>
      <c r="L16" s="1936">
        <f t="shared" si="0"/>
        <v>496506</v>
      </c>
      <c r="M16" s="1933">
        <v>496506</v>
      </c>
    </row>
    <row r="17" spans="2:14" ht="20.100000000000001" customHeight="1" x14ac:dyDescent="0.2">
      <c r="B17" s="1334" t="s">
        <v>2114</v>
      </c>
      <c r="C17" s="1338">
        <v>84.027000000000001</v>
      </c>
      <c r="D17" s="1339" t="s">
        <v>2124</v>
      </c>
      <c r="E17" s="1934">
        <v>0</v>
      </c>
      <c r="F17" s="1934">
        <v>452486</v>
      </c>
      <c r="G17" s="1934">
        <v>0</v>
      </c>
      <c r="H17" s="1340"/>
      <c r="I17" s="1934">
        <v>452486</v>
      </c>
      <c r="J17" s="1340"/>
      <c r="K17" s="1934">
        <v>0</v>
      </c>
      <c r="L17" s="1937">
        <f t="shared" si="0"/>
        <v>452486</v>
      </c>
      <c r="M17" s="1933">
        <v>524450</v>
      </c>
    </row>
    <row r="18" spans="2:14" ht="20.100000000000001" customHeight="1" x14ac:dyDescent="0.2">
      <c r="B18" s="1334" t="s">
        <v>2104</v>
      </c>
      <c r="C18" s="1338"/>
      <c r="D18" s="1339"/>
      <c r="E18" s="1938">
        <f>E16+E17</f>
        <v>454934</v>
      </c>
      <c r="F18" s="1938">
        <f>F16+F17</f>
        <v>494058</v>
      </c>
      <c r="G18" s="1938">
        <f>G16+G17</f>
        <v>454934</v>
      </c>
      <c r="H18" s="1340"/>
      <c r="I18" s="1938">
        <f>I16+I17</f>
        <v>494058</v>
      </c>
      <c r="J18" s="1340"/>
      <c r="K18" s="1938">
        <f>K16+K17</f>
        <v>0</v>
      </c>
      <c r="L18" s="1938">
        <f>+G18+I18+K18</f>
        <v>948992</v>
      </c>
      <c r="M18" s="1340"/>
    </row>
    <row r="19" spans="2:14" ht="20.100000000000001" customHeight="1" x14ac:dyDescent="0.2">
      <c r="B19" s="1334" t="s">
        <v>2115</v>
      </c>
      <c r="C19" s="1338"/>
      <c r="D19" s="1339"/>
      <c r="E19" s="1938">
        <f>E18+E14+' SEFA.1'!E25</f>
        <v>1023012</v>
      </c>
      <c r="F19" s="1938">
        <f>F18+F14+' SEFA.1'!F25</f>
        <v>1583848</v>
      </c>
      <c r="G19" s="1938">
        <f>+G18+G14+' SEFA.1'!G25</f>
        <v>1305800</v>
      </c>
      <c r="H19" s="1340"/>
      <c r="I19" s="1938">
        <f>I18+I14+' SEFA.1'!I25</f>
        <v>1577263</v>
      </c>
      <c r="J19" s="1340"/>
      <c r="K19" s="1938">
        <f>K18+K14+' SEFA.1'!K25</f>
        <v>0</v>
      </c>
      <c r="L19" s="1938">
        <f>+G19+I19+K19</f>
        <v>2883063</v>
      </c>
      <c r="M19" s="1340"/>
    </row>
    <row r="20" spans="2:14" ht="20.100000000000001" customHeight="1" x14ac:dyDescent="0.2">
      <c r="B20" s="1334"/>
      <c r="C20" s="1338"/>
      <c r="D20" s="1339"/>
      <c r="E20" s="1337"/>
      <c r="F20" s="1337"/>
      <c r="G20" s="1337"/>
      <c r="H20" s="1340"/>
      <c r="I20" s="1337"/>
      <c r="J20" s="1340"/>
      <c r="K20" s="1337"/>
      <c r="L20" s="1929"/>
      <c r="M20" s="1340"/>
    </row>
    <row r="21" spans="2:14" ht="20.100000000000001" customHeight="1" x14ac:dyDescent="0.2">
      <c r="B21" s="1334" t="s">
        <v>2116</v>
      </c>
      <c r="C21" s="1338"/>
      <c r="D21" s="1339"/>
      <c r="E21" s="1340"/>
      <c r="F21" s="1340"/>
      <c r="G21" s="1340"/>
      <c r="H21" s="1340"/>
      <c r="I21" s="1340"/>
      <c r="J21" s="1340"/>
      <c r="K21" s="1340"/>
      <c r="L21" s="1929"/>
      <c r="M21" s="1340"/>
    </row>
    <row r="22" spans="2:14" ht="20.100000000000001" customHeight="1" x14ac:dyDescent="0.2">
      <c r="B22" s="1334" t="s">
        <v>2117</v>
      </c>
      <c r="C22" s="1338"/>
      <c r="D22" s="1339"/>
      <c r="E22" s="1340"/>
      <c r="F22" s="1340"/>
      <c r="G22" s="1340"/>
      <c r="H22" s="1340"/>
      <c r="I22" s="1340"/>
      <c r="J22" s="1340"/>
      <c r="K22" s="1340"/>
      <c r="L22" s="1929"/>
      <c r="M22" s="1340"/>
    </row>
    <row r="23" spans="2:14" ht="20.100000000000001" customHeight="1" x14ac:dyDescent="0.2">
      <c r="B23" s="1334" t="s">
        <v>2118</v>
      </c>
      <c r="C23" s="1338">
        <v>93.778000000000006</v>
      </c>
      <c r="D23" s="1339" t="s">
        <v>2125</v>
      </c>
      <c r="E23" s="1933">
        <v>96667</v>
      </c>
      <c r="F23" s="1933">
        <v>36655</v>
      </c>
      <c r="G23" s="1933">
        <v>138877</v>
      </c>
      <c r="H23" s="1340"/>
      <c r="I23" s="1933">
        <v>0</v>
      </c>
      <c r="J23" s="1340"/>
      <c r="K23" s="1933">
        <v>0</v>
      </c>
      <c r="L23" s="1936">
        <f t="shared" si="0"/>
        <v>138877</v>
      </c>
      <c r="M23" s="1340" t="s">
        <v>2097</v>
      </c>
    </row>
    <row r="24" spans="2:14" ht="20.100000000000001" customHeight="1" x14ac:dyDescent="0.2">
      <c r="B24" s="1334" t="s">
        <v>2118</v>
      </c>
      <c r="C24" s="1338">
        <v>93.778000000000006</v>
      </c>
      <c r="D24" s="1339" t="s">
        <v>2126</v>
      </c>
      <c r="E24" s="1934">
        <v>0</v>
      </c>
      <c r="F24" s="1934">
        <v>94401</v>
      </c>
      <c r="G24" s="1934">
        <v>0</v>
      </c>
      <c r="H24" s="1340"/>
      <c r="I24" s="1934">
        <v>129206</v>
      </c>
      <c r="J24" s="1340"/>
      <c r="K24" s="1934">
        <v>0</v>
      </c>
      <c r="L24" s="1937">
        <f t="shared" si="0"/>
        <v>129206</v>
      </c>
      <c r="M24" s="1340" t="s">
        <v>2097</v>
      </c>
    </row>
    <row r="25" spans="2:14" ht="20.100000000000001" customHeight="1" x14ac:dyDescent="0.2">
      <c r="B25" s="1334" t="s">
        <v>2119</v>
      </c>
      <c r="C25" s="1338"/>
      <c r="D25" s="1339"/>
      <c r="E25" s="1938">
        <f>E23+E24</f>
        <v>96667</v>
      </c>
      <c r="F25" s="1938">
        <f>+F24+F23</f>
        <v>131056</v>
      </c>
      <c r="G25" s="1938">
        <f>G23+G24</f>
        <v>138877</v>
      </c>
      <c r="H25" s="1340"/>
      <c r="I25" s="1938">
        <f>I24+I23</f>
        <v>129206</v>
      </c>
      <c r="J25" s="1340"/>
      <c r="K25" s="1938">
        <f>K23+K24</f>
        <v>0</v>
      </c>
      <c r="L25" s="1938">
        <f>+G25+I25+K25</f>
        <v>268083</v>
      </c>
      <c r="M25" s="1340"/>
    </row>
    <row r="26" spans="2:14" ht="20.100000000000001" customHeight="1" x14ac:dyDescent="0.2">
      <c r="B26" s="1334"/>
      <c r="C26" s="1338"/>
      <c r="D26" s="1339"/>
      <c r="E26" s="1931"/>
      <c r="F26" s="1931"/>
      <c r="G26" s="1931"/>
      <c r="H26" s="1340"/>
      <c r="I26" s="1931"/>
      <c r="J26" s="1340"/>
      <c r="K26" s="1931"/>
      <c r="L26" s="1935"/>
      <c r="M26" s="1340"/>
    </row>
    <row r="27" spans="2:14" ht="20.100000000000001" customHeight="1" x14ac:dyDescent="0.2">
      <c r="B27" s="1334" t="s">
        <v>2101</v>
      </c>
      <c r="C27" s="1338"/>
      <c r="D27" s="1339"/>
      <c r="E27" s="1944">
        <f>E25+E18+E14</f>
        <v>606468</v>
      </c>
      <c r="F27" s="1944">
        <f>F14+F18+F25</f>
        <v>734715</v>
      </c>
      <c r="G27" s="1944">
        <f>G25+G18+G14</f>
        <v>648678</v>
      </c>
      <c r="H27" s="1340"/>
      <c r="I27" s="1944">
        <f>I14+I18+I25</f>
        <v>732865</v>
      </c>
      <c r="J27" s="1340"/>
      <c r="K27" s="1944">
        <f>K14+K18+K25</f>
        <v>0</v>
      </c>
      <c r="L27" s="1944">
        <f t="shared" si="0"/>
        <v>1381543</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40.2&amp;R&amp;8Page 40.2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view="pageLayout" zoomScaleNormal="120" workbookViewId="0">
      <selection activeCell="P16" sqref="P1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Pekin PSD 108</v>
      </c>
      <c r="B1" s="2446"/>
      <c r="C1" s="2446"/>
      <c r="D1" s="2446"/>
      <c r="E1" s="2446"/>
      <c r="F1" s="2446"/>
    </row>
    <row r="2" spans="1:7" ht="13.5" customHeight="1" x14ac:dyDescent="0.2">
      <c r="A2" s="2442">
        <f>'Single Audit Cover'!E7</f>
        <v>53090108002</v>
      </c>
      <c r="B2" s="2442"/>
      <c r="C2" s="2442"/>
      <c r="D2" s="2442"/>
      <c r="E2" s="2442"/>
      <c r="F2" s="2442"/>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2137</v>
      </c>
      <c r="B7" s="2445"/>
      <c r="C7" s="2445"/>
      <c r="D7" s="2445"/>
      <c r="E7" s="2445"/>
      <c r="F7" s="244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2066</v>
      </c>
      <c r="F10" s="1277" t="s">
        <v>99</v>
      </c>
      <c r="G10" s="1275"/>
    </row>
    <row r="11" spans="1:7" ht="12" customHeight="1" x14ac:dyDescent="0.2">
      <c r="A11" s="1276"/>
      <c r="B11" s="1277"/>
      <c r="C11" s="1896"/>
      <c r="D11" s="1277"/>
      <c r="E11" s="1896"/>
      <c r="F11" s="1277"/>
      <c r="G11" s="1275"/>
    </row>
    <row r="12" spans="1:7" x14ac:dyDescent="0.2">
      <c r="A12" s="1273" t="s">
        <v>1587</v>
      </c>
      <c r="C12" s="1257"/>
      <c r="D12" s="1257"/>
    </row>
    <row r="13" spans="1:7" ht="24" customHeight="1" x14ac:dyDescent="0.2">
      <c r="A13" s="2445" t="s">
        <v>2134</v>
      </c>
      <c r="B13" s="2445"/>
      <c r="C13" s="2445"/>
      <c r="D13" s="2445"/>
      <c r="E13" s="2445"/>
      <c r="F13" s="2445"/>
    </row>
    <row r="14" spans="1:7" ht="9.75" customHeight="1" x14ac:dyDescent="0.2">
      <c r="C14" s="1257"/>
      <c r="D14" s="1257"/>
    </row>
    <row r="15" spans="1:7" ht="13.5" customHeight="1" x14ac:dyDescent="0.2">
      <c r="C15" s="1840" t="s">
        <v>1270</v>
      </c>
      <c r="D15" s="2450" t="s">
        <v>1269</v>
      </c>
      <c r="E15" s="2450"/>
      <c r="F15" s="2450"/>
    </row>
    <row r="16" spans="1:7" ht="13.5" customHeight="1" x14ac:dyDescent="0.2">
      <c r="A16" s="1279"/>
      <c r="B16" s="1273" t="s">
        <v>1268</v>
      </c>
      <c r="C16" s="1840" t="s">
        <v>1267</v>
      </c>
      <c r="D16" s="2451" t="s">
        <v>1588</v>
      </c>
      <c r="E16" s="2451"/>
      <c r="F16" s="2451"/>
    </row>
    <row r="17" spans="1:6" ht="20.45" customHeight="1" x14ac:dyDescent="0.2">
      <c r="A17" s="1280"/>
      <c r="B17" s="1281"/>
      <c r="C17" s="1282"/>
      <c r="D17" s="2449"/>
      <c r="E17" s="2449"/>
      <c r="F17" s="2449"/>
    </row>
    <row r="18" spans="1:6" ht="20.65" customHeight="1" x14ac:dyDescent="0.2">
      <c r="A18" s="1280"/>
      <c r="B18" s="1281"/>
      <c r="C18" s="1282"/>
      <c r="D18" s="2449"/>
      <c r="E18" s="2449"/>
      <c r="F18" s="2449"/>
    </row>
    <row r="19" spans="1:6" ht="20.65" customHeight="1" x14ac:dyDescent="0.2">
      <c r="A19" s="1280"/>
      <c r="B19" s="1281"/>
      <c r="C19" s="1282"/>
      <c r="D19" s="2449"/>
      <c r="E19" s="2449"/>
      <c r="F19" s="2449"/>
    </row>
    <row r="20" spans="1:6" ht="20.65" customHeight="1" x14ac:dyDescent="0.2">
      <c r="A20" s="1280"/>
      <c r="B20" s="1281"/>
      <c r="C20" s="1282"/>
      <c r="D20" s="2449"/>
      <c r="E20" s="2449"/>
      <c r="F20" s="2449"/>
    </row>
    <row r="21" spans="1:6" ht="20.65" customHeight="1" x14ac:dyDescent="0.2">
      <c r="A21" s="1280"/>
      <c r="B21" s="1281"/>
      <c r="C21" s="1282"/>
      <c r="D21" s="2449"/>
      <c r="E21" s="2449"/>
      <c r="F21" s="2449"/>
    </row>
    <row r="22" spans="1:6" ht="20.65" customHeight="1" x14ac:dyDescent="0.2">
      <c r="A22" s="1280"/>
      <c r="B22" s="1281"/>
      <c r="C22" s="1282"/>
      <c r="D22" s="2449"/>
      <c r="E22" s="2449"/>
      <c r="F22" s="2449"/>
    </row>
    <row r="23" spans="1:6" ht="20.65" customHeight="1" x14ac:dyDescent="0.2">
      <c r="A23" s="1280"/>
      <c r="B23" s="1281"/>
      <c r="C23" s="1282"/>
      <c r="D23" s="2449"/>
      <c r="E23" s="2449"/>
      <c r="F23" s="2449"/>
    </row>
    <row r="24" spans="1:6" ht="20.65" customHeight="1" x14ac:dyDescent="0.2">
      <c r="A24" s="1280"/>
      <c r="B24" s="1281"/>
      <c r="C24" s="1282"/>
      <c r="D24" s="2449"/>
      <c r="E24" s="2449"/>
      <c r="F24" s="2449"/>
    </row>
    <row r="25" spans="1:6" ht="20.65" customHeight="1" x14ac:dyDescent="0.2">
      <c r="A25" s="1280"/>
      <c r="B25" s="1281"/>
      <c r="C25" s="1282"/>
      <c r="D25" s="2449"/>
      <c r="E25" s="2449"/>
      <c r="F25" s="2449"/>
    </row>
    <row r="26" spans="1:6" ht="20.65" customHeight="1" x14ac:dyDescent="0.2">
      <c r="A26" s="1280"/>
      <c r="B26" s="1281"/>
      <c r="C26" s="1282"/>
      <c r="D26" s="2449"/>
      <c r="E26" s="2449"/>
      <c r="F26" s="2449"/>
    </row>
    <row r="27" spans="1:6" ht="20.65" customHeight="1" x14ac:dyDescent="0.2">
      <c r="A27" s="1280"/>
      <c r="B27" s="1281"/>
      <c r="C27" s="1282"/>
      <c r="D27" s="2449"/>
      <c r="E27" s="2449"/>
      <c r="F27" s="2449"/>
    </row>
    <row r="28" spans="1:6" ht="20.65" customHeight="1" x14ac:dyDescent="0.2">
      <c r="A28" s="1280"/>
      <c r="B28" s="1281"/>
      <c r="C28" s="1282"/>
      <c r="D28" s="2449"/>
      <c r="E28" s="2449"/>
      <c r="F28" s="2449"/>
    </row>
    <row r="29" spans="1:6" ht="20.65" customHeight="1" x14ac:dyDescent="0.2">
      <c r="A29" s="1280"/>
      <c r="B29" s="1281"/>
      <c r="C29" s="1282"/>
      <c r="D29" s="2449"/>
      <c r="E29" s="2449"/>
      <c r="F29" s="2449"/>
    </row>
    <row r="30" spans="1:6" ht="12" customHeight="1" x14ac:dyDescent="0.2">
      <c r="A30" s="328"/>
      <c r="B30" s="328"/>
      <c r="C30" s="1462"/>
      <c r="D30" s="1897"/>
      <c r="E30" s="1283"/>
    </row>
    <row r="31" spans="1:6" ht="12" customHeight="1" x14ac:dyDescent="0.2">
      <c r="A31" s="1284" t="s">
        <v>1549</v>
      </c>
      <c r="B31" s="328"/>
      <c r="C31" s="1462"/>
      <c r="D31" s="1897"/>
      <c r="E31" s="1283"/>
    </row>
    <row r="32" spans="1:6" ht="30" customHeight="1" x14ac:dyDescent="0.2">
      <c r="A32" s="2453" t="s">
        <v>2135</v>
      </c>
      <c r="B32" s="2453"/>
      <c r="C32" s="2453"/>
      <c r="D32" s="2453"/>
      <c r="E32" s="2453"/>
      <c r="F32" s="2453"/>
    </row>
    <row r="33" spans="1:6" ht="13.5" customHeight="1" x14ac:dyDescent="0.2">
      <c r="A33" s="328" t="s">
        <v>1434</v>
      </c>
      <c r="B33" s="328"/>
      <c r="C33" s="1285">
        <f>' SEFA'!F18</f>
        <v>108417</v>
      </c>
      <c r="D33" s="1897"/>
      <c r="E33" s="1283"/>
    </row>
    <row r="34" spans="1:6" ht="13.5" customHeight="1" x14ac:dyDescent="0.2">
      <c r="A34" s="328" t="s">
        <v>1834</v>
      </c>
      <c r="B34" s="328"/>
      <c r="C34" s="1286">
        <f>' SEFA'!F20</f>
        <v>20322</v>
      </c>
      <c r="D34" s="1897" t="s">
        <v>1589</v>
      </c>
      <c r="E34" s="2454">
        <f>+C33+C34</f>
        <v>128739</v>
      </c>
      <c r="F34" s="2455"/>
    </row>
    <row r="35" spans="1:6" ht="12" customHeight="1" x14ac:dyDescent="0.2">
      <c r="A35" s="328"/>
      <c r="B35" s="328"/>
      <c r="C35" s="1898"/>
      <c r="D35" s="1897"/>
      <c r="E35" s="1287"/>
      <c r="F35" s="1288"/>
    </row>
    <row r="36" spans="1:6" ht="13.5" customHeight="1" x14ac:dyDescent="0.2">
      <c r="A36" s="1284" t="s">
        <v>1550</v>
      </c>
      <c r="B36" s="328"/>
      <c r="C36" s="1462"/>
      <c r="D36" s="1897"/>
      <c r="E36" s="1283"/>
    </row>
    <row r="37" spans="1:6" ht="14.25" customHeight="1" x14ac:dyDescent="0.2">
      <c r="A37" s="328" t="s">
        <v>1484</v>
      </c>
      <c r="B37" s="328"/>
      <c r="C37" s="1899"/>
      <c r="D37" s="1897"/>
      <c r="E37" s="1283"/>
    </row>
    <row r="38" spans="1:6" ht="14.25" customHeight="1" x14ac:dyDescent="0.2">
      <c r="A38" s="328"/>
      <c r="B38" s="328" t="s">
        <v>1435</v>
      </c>
      <c r="C38" s="1289" t="s">
        <v>383</v>
      </c>
      <c r="D38" s="1897"/>
      <c r="E38" s="1283"/>
    </row>
    <row r="39" spans="1:6" ht="14.25" customHeight="1" x14ac:dyDescent="0.2">
      <c r="A39" s="328"/>
      <c r="B39" s="328" t="s">
        <v>1436</v>
      </c>
      <c r="C39" s="1289" t="s">
        <v>383</v>
      </c>
      <c r="D39" s="1897"/>
      <c r="E39" s="1283"/>
    </row>
    <row r="40" spans="1:6" ht="14.25" customHeight="1" x14ac:dyDescent="0.2">
      <c r="A40" s="328"/>
      <c r="B40" s="328" t="s">
        <v>1437</v>
      </c>
      <c r="C40" s="1289" t="s">
        <v>383</v>
      </c>
      <c r="D40" s="1897"/>
      <c r="E40" s="1283"/>
    </row>
    <row r="41" spans="1:6" ht="14.25" customHeight="1" x14ac:dyDescent="0.2">
      <c r="A41" s="328"/>
      <c r="B41" s="328" t="s">
        <v>1438</v>
      </c>
      <c r="C41" s="1289" t="s">
        <v>383</v>
      </c>
      <c r="D41" s="1897"/>
      <c r="E41" s="1283"/>
    </row>
    <row r="42" spans="1:6" ht="14.25" customHeight="1" x14ac:dyDescent="0.2">
      <c r="A42" s="328" t="s">
        <v>1439</v>
      </c>
      <c r="B42" s="328"/>
      <c r="C42" s="1895" t="s">
        <v>383</v>
      </c>
      <c r="D42" s="1897"/>
      <c r="E42" s="1283"/>
    </row>
    <row r="43" spans="1:6" ht="14.25" customHeight="1" x14ac:dyDescent="0.2">
      <c r="A43" s="328" t="s">
        <v>1440</v>
      </c>
      <c r="B43" s="328"/>
      <c r="C43" s="1290" t="s">
        <v>383</v>
      </c>
      <c r="D43" s="1897"/>
      <c r="E43" s="1283"/>
    </row>
    <row r="44" spans="1:6" ht="14.25" customHeight="1" x14ac:dyDescent="0.2">
      <c r="A44" s="328"/>
      <c r="B44" s="328"/>
      <c r="C44" s="1899" t="s">
        <v>1441</v>
      </c>
      <c r="D44" s="1897"/>
      <c r="E44" s="1283"/>
    </row>
    <row r="45" spans="1:6" ht="13.5" customHeight="1" x14ac:dyDescent="0.2">
      <c r="B45" s="322"/>
      <c r="C45" s="1291"/>
      <c r="D45" s="1291"/>
    </row>
    <row r="46" spans="1:6" x14ac:dyDescent="0.2">
      <c r="A46" s="1292" t="s">
        <v>1730</v>
      </c>
      <c r="C46" s="317"/>
      <c r="D46" s="317"/>
    </row>
    <row r="47" spans="1:6" s="322" customFormat="1" ht="6.7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6" t="s">
        <v>1590</v>
      </c>
      <c r="C49" s="2456"/>
      <c r="D49" s="2456"/>
      <c r="E49" s="1396"/>
    </row>
    <row r="50" spans="1:5" s="1297" customFormat="1" ht="3.75" customHeight="1" x14ac:dyDescent="0.2">
      <c r="A50" s="1296"/>
      <c r="B50" s="1839"/>
      <c r="C50" s="1839"/>
      <c r="D50" s="1839"/>
      <c r="E50" s="1396"/>
    </row>
    <row r="51" spans="1:5" s="1297" customFormat="1" ht="20.25" customHeight="1" x14ac:dyDescent="0.2">
      <c r="A51" s="1298">
        <v>6</v>
      </c>
      <c r="B51" s="2452" t="s">
        <v>1551</v>
      </c>
      <c r="C51" s="2452"/>
      <c r="D51" s="2452"/>
    </row>
    <row r="52" spans="1:5" ht="14.25" customHeight="1" x14ac:dyDescent="0.2">
      <c r="A52" s="1298"/>
      <c r="B52" s="2452"/>
      <c r="C52" s="2452"/>
      <c r="D52" s="245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topLeftCell="A4" zoomScale="110" zoomScaleNormal="110" workbookViewId="0">
      <selection activeCell="P16" sqref="P1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Pekin PSD 108</v>
      </c>
      <c r="C1" s="2462"/>
      <c r="D1" s="2462"/>
      <c r="E1" s="2462"/>
      <c r="F1" s="2462"/>
      <c r="G1" s="2462"/>
      <c r="H1" s="2462"/>
      <c r="I1" s="2462"/>
      <c r="J1" s="1406"/>
    </row>
    <row r="2" spans="2:10" s="317" customFormat="1" ht="12.75" customHeight="1" x14ac:dyDescent="0.2">
      <c r="B2" s="2463">
        <f>'Single Audit Cover'!E7</f>
        <v>53090108002</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t="s">
        <v>2136</v>
      </c>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2066</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2066</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2066</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2066</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2066</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t="s">
        <v>2136</v>
      </c>
      <c r="E29" s="2468"/>
      <c r="F29" s="2468"/>
      <c r="G29" s="2468"/>
      <c r="H29" s="2468"/>
      <c r="I29" s="2468"/>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2066</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9" t="s">
        <v>1748</v>
      </c>
      <c r="D37" s="2470"/>
      <c r="E37" s="2470"/>
      <c r="F37" s="2471"/>
      <c r="G37" s="2469" t="s">
        <v>1592</v>
      </c>
      <c r="H37" s="2470"/>
      <c r="I37" s="2471"/>
    </row>
    <row r="38" spans="2:9" ht="16.5" customHeight="1" x14ac:dyDescent="0.2">
      <c r="B38" s="1428" t="s">
        <v>2128</v>
      </c>
      <c r="C38" s="2457" t="s">
        <v>2129</v>
      </c>
      <c r="D38" s="2458"/>
      <c r="E38" s="2458"/>
      <c r="F38" s="2459"/>
      <c r="G38" s="2472">
        <f>' SEFA'!I23</f>
        <v>1905267</v>
      </c>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75" t="s">
        <v>1593</v>
      </c>
      <c r="D43" s="2476"/>
      <c r="E43" s="2476"/>
      <c r="F43" s="2477"/>
      <c r="G43" s="2478">
        <f>SUM(G38:I42)</f>
        <v>1905267</v>
      </c>
      <c r="H43" s="2478"/>
      <c r="I43" s="2478"/>
    </row>
    <row r="44" spans="2:9" ht="12.75" customHeight="1" x14ac:dyDescent="0.2"/>
    <row r="45" spans="2:9" ht="12.75" customHeight="1" x14ac:dyDescent="0.2">
      <c r="B45" s="1419" t="s">
        <v>2069</v>
      </c>
      <c r="D45" s="2479">
        <f>' SEFA'!I27</f>
        <v>3611736</v>
      </c>
      <c r="E45" s="2480"/>
    </row>
    <row r="46" spans="2:9" ht="5.25" customHeight="1" x14ac:dyDescent="0.2">
      <c r="B46" s="1429"/>
      <c r="D46" s="1430"/>
      <c r="E46" s="1431"/>
    </row>
    <row r="47" spans="2:9" ht="12.75" customHeight="1" x14ac:dyDescent="0.2">
      <c r="B47" s="1297" t="s">
        <v>1594</v>
      </c>
      <c r="C47" s="1297"/>
      <c r="D47" s="1432">
        <f>+G43/D45</f>
        <v>0.52752111450006312</v>
      </c>
      <c r="E47" s="1433"/>
      <c r="F47" s="1434"/>
      <c r="I47" s="1435"/>
    </row>
    <row r="48" spans="2:9" ht="9.9499999999999993" customHeight="1" x14ac:dyDescent="0.2"/>
    <row r="49" spans="1:9" x14ac:dyDescent="0.2">
      <c r="B49" s="1365" t="s">
        <v>1273</v>
      </c>
      <c r="C49" s="1279"/>
      <c r="D49" s="1279"/>
      <c r="E49" s="2481">
        <v>750000</v>
      </c>
      <c r="F49" s="2481"/>
      <c r="G49" s="2481"/>
      <c r="H49" s="322"/>
    </row>
    <row r="51" spans="1:9" ht="13.5" customHeight="1" x14ac:dyDescent="0.2">
      <c r="B51" s="1365" t="s">
        <v>1272</v>
      </c>
      <c r="C51" s="1279"/>
      <c r="E51" s="1422"/>
      <c r="F51" s="1297" t="s">
        <v>885</v>
      </c>
      <c r="G51" s="1422" t="s">
        <v>2066</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41"/>
  <sheetViews>
    <sheetView showGridLines="0" topLeftCell="A22" zoomScale="110" zoomScaleNormal="110" workbookViewId="0">
      <selection activeCell="P16" sqref="P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Pekin PSD 108</v>
      </c>
      <c r="C1" s="2461"/>
      <c r="D1" s="2461"/>
      <c r="E1" s="2461"/>
      <c r="F1" s="2461"/>
      <c r="G1" s="2461"/>
      <c r="H1" s="2461"/>
      <c r="I1" s="2461"/>
      <c r="J1" s="2461"/>
      <c r="K1" s="2461"/>
      <c r="L1" s="1371"/>
      <c r="M1" s="1371"/>
    </row>
    <row r="2" spans="1:13" ht="12" customHeight="1" x14ac:dyDescent="0.2">
      <c r="B2" s="2463">
        <f>'Single Audit Cover'!E7</f>
        <v>53090108002</v>
      </c>
      <c r="C2" s="2463"/>
      <c r="D2" s="2463"/>
      <c r="E2" s="2463"/>
      <c r="F2" s="2463"/>
      <c r="G2" s="2463"/>
      <c r="H2" s="2463"/>
      <c r="I2" s="2463"/>
      <c r="J2" s="2463"/>
      <c r="K2" s="2463"/>
      <c r="L2" s="1372"/>
      <c r="M2" s="1373"/>
    </row>
    <row r="3" spans="1:13" ht="10.35" customHeight="1" x14ac:dyDescent="0.2">
      <c r="B3" s="2484" t="s">
        <v>1285</v>
      </c>
      <c r="C3" s="2484"/>
      <c r="D3" s="2484"/>
      <c r="E3" s="2484"/>
      <c r="F3" s="2484"/>
      <c r="G3" s="2484"/>
      <c r="H3" s="2484"/>
      <c r="I3" s="2484"/>
      <c r="J3" s="2484"/>
      <c r="K3" s="2484"/>
      <c r="L3" s="1374"/>
      <c r="M3" s="1374"/>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5" t="s">
        <v>1296</v>
      </c>
      <c r="C7" s="2485"/>
      <c r="D7" s="2486"/>
      <c r="E7" s="2486"/>
      <c r="F7" s="2486"/>
      <c r="G7" s="2486"/>
      <c r="H7" s="2486"/>
      <c r="I7" s="2486"/>
      <c r="J7" s="2486"/>
      <c r="K7" s="24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1984</v>
      </c>
      <c r="D10" s="1383">
        <v>1</v>
      </c>
      <c r="E10" s="322"/>
      <c r="F10" s="1384" t="s">
        <v>1295</v>
      </c>
      <c r="G10" s="1385" t="s">
        <v>2066</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3" t="s">
        <v>2209</v>
      </c>
      <c r="C14" s="2483"/>
      <c r="D14" s="2483"/>
      <c r="E14" s="2483"/>
      <c r="F14" s="2483"/>
      <c r="G14" s="2483"/>
      <c r="H14" s="2483"/>
      <c r="I14" s="2483"/>
      <c r="J14" s="2483"/>
      <c r="K14" s="24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3" t="s">
        <v>2210</v>
      </c>
      <c r="C17" s="2483"/>
      <c r="D17" s="2483"/>
      <c r="E17" s="2483"/>
      <c r="F17" s="2483"/>
      <c r="G17" s="2483"/>
      <c r="H17" s="2483"/>
      <c r="I17" s="2483"/>
      <c r="J17" s="2483"/>
      <c r="K17" s="248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7" t="s">
        <v>2205</v>
      </c>
      <c r="C20" s="2487"/>
      <c r="D20" s="2483"/>
      <c r="E20" s="2483"/>
      <c r="F20" s="2483"/>
      <c r="G20" s="2483"/>
      <c r="H20" s="2483"/>
      <c r="I20" s="2483"/>
      <c r="J20" s="2483"/>
      <c r="K20" s="248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3" t="s">
        <v>2208</v>
      </c>
      <c r="C23" s="2483"/>
      <c r="D23" s="2483"/>
      <c r="E23" s="2483"/>
      <c r="F23" s="2483"/>
      <c r="G23" s="2483"/>
      <c r="H23" s="2483"/>
      <c r="I23" s="2483"/>
      <c r="J23" s="2483"/>
      <c r="K23" s="248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3" t="s">
        <v>2211</v>
      </c>
      <c r="C26" s="2483"/>
      <c r="D26" s="2483"/>
      <c r="E26" s="2483"/>
      <c r="F26" s="2483"/>
      <c r="G26" s="2483"/>
      <c r="H26" s="2483"/>
      <c r="I26" s="2483"/>
      <c r="J26" s="2483"/>
      <c r="K26" s="248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2" t="s">
        <v>2206</v>
      </c>
      <c r="C29" s="2482"/>
      <c r="D29" s="2483"/>
      <c r="E29" s="2483"/>
      <c r="F29" s="2483"/>
      <c r="G29" s="2483"/>
      <c r="H29" s="2483"/>
      <c r="I29" s="2483"/>
      <c r="J29" s="2483"/>
      <c r="K29" s="24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2" t="s">
        <v>2207</v>
      </c>
      <c r="C32" s="2482"/>
      <c r="D32" s="2483"/>
      <c r="E32" s="2483"/>
      <c r="F32" s="2483"/>
      <c r="G32" s="2483"/>
      <c r="H32" s="2483"/>
      <c r="I32" s="2483"/>
      <c r="J32" s="2483"/>
      <c r="K32" s="248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48"/>
  <sheetViews>
    <sheetView showGridLines="0" zoomScale="110" zoomScaleNormal="110" workbookViewId="0">
      <selection activeCell="P16" sqref="P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Pekin PSD 108</v>
      </c>
      <c r="C1" s="2489"/>
      <c r="D1" s="2489"/>
      <c r="E1" s="2489"/>
      <c r="F1" s="2489"/>
      <c r="G1" s="2489"/>
      <c r="H1" s="2489"/>
      <c r="I1" s="2489"/>
      <c r="J1" s="2489"/>
      <c r="K1" s="2489"/>
      <c r="L1" s="1449"/>
    </row>
    <row r="2" spans="1:12" ht="12.75" customHeight="1" x14ac:dyDescent="0.2">
      <c r="B2" s="2490">
        <f>'Single Audit Cover'!E7</f>
        <v>53090108002</v>
      </c>
      <c r="C2" s="2490"/>
      <c r="D2" s="2490"/>
      <c r="E2" s="2490"/>
      <c r="F2" s="2490"/>
      <c r="G2" s="2490"/>
      <c r="H2" s="2490"/>
      <c r="I2" s="2490"/>
      <c r="J2" s="2490"/>
      <c r="K2" s="2490"/>
      <c r="L2" s="1450"/>
    </row>
    <row r="3" spans="1:12" ht="12.75" customHeight="1" x14ac:dyDescent="0.2">
      <c r="B3" s="2484" t="s">
        <v>1285</v>
      </c>
      <c r="C3" s="2484"/>
      <c r="D3" s="2484"/>
      <c r="E3" s="2484"/>
      <c r="F3" s="2484"/>
      <c r="G3" s="2484"/>
      <c r="H3" s="2484"/>
      <c r="I3" s="2484"/>
      <c r="J3" s="2484"/>
      <c r="K3" s="2484"/>
      <c r="L3" s="1374"/>
    </row>
    <row r="4" spans="1:12" ht="12.75" customHeight="1" x14ac:dyDescent="0.2">
      <c r="B4" s="2484" t="str">
        <f>'Single Audit Cover'!A4</f>
        <v>Year Ending June 30, 2019</v>
      </c>
      <c r="C4" s="2484"/>
      <c r="D4" s="2484"/>
      <c r="E4" s="2484"/>
      <c r="F4" s="2484"/>
      <c r="G4" s="2484"/>
      <c r="H4" s="2484"/>
      <c r="I4" s="2484"/>
      <c r="J4" s="2484"/>
      <c r="K4" s="2484"/>
      <c r="L4" s="1374"/>
    </row>
    <row r="5" spans="1:12" ht="5.25" customHeight="1" x14ac:dyDescent="0.2">
      <c r="B5" s="1257" t="s">
        <v>1169</v>
      </c>
      <c r="C5" s="1257"/>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1984</v>
      </c>
      <c r="D8" s="1452" t="s">
        <v>2130</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88"/>
      <c r="G12" s="2488"/>
      <c r="H12" s="2488"/>
      <c r="I12" s="2488"/>
      <c r="J12" s="2488"/>
      <c r="K12" s="248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2"/>
      <c r="E14" s="2492"/>
      <c r="F14" s="2492"/>
      <c r="H14" s="1459" t="s">
        <v>1303</v>
      </c>
      <c r="I14" s="2493"/>
      <c r="J14" s="2493"/>
      <c r="K14" s="249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3"/>
      <c r="E16" s="2493"/>
      <c r="F16" s="2493"/>
      <c r="G16" s="2493"/>
      <c r="H16" s="2493"/>
      <c r="I16" s="2493"/>
      <c r="J16" s="2493"/>
      <c r="K16" s="2493"/>
      <c r="L16" s="322"/>
    </row>
    <row r="17" spans="2:12" ht="13.5" customHeight="1" x14ac:dyDescent="0.2">
      <c r="B17" s="1384" t="s">
        <v>1301</v>
      </c>
      <c r="C17" s="1384"/>
      <c r="D17" s="2494"/>
      <c r="E17" s="2494"/>
      <c r="F17" s="2494"/>
      <c r="G17" s="2494"/>
      <c r="H17" s="2494"/>
      <c r="I17" s="2494"/>
      <c r="J17" s="2494"/>
      <c r="K17" s="249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3"/>
      <c r="C20" s="2483"/>
      <c r="D20" s="2483"/>
      <c r="E20" s="2483"/>
      <c r="F20" s="2483"/>
      <c r="G20" s="2483"/>
      <c r="H20" s="2483"/>
      <c r="I20" s="2483"/>
      <c r="J20" s="2483"/>
      <c r="K20" s="248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73"/>
  <sheetViews>
    <sheetView showGridLines="0" zoomScale="110" zoomScaleNormal="110" workbookViewId="0">
      <selection activeCell="P16" sqref="P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Pekin PSD 108</v>
      </c>
      <c r="C1" s="2461"/>
      <c r="D1" s="2461"/>
      <c r="E1" s="1469"/>
    </row>
    <row r="2" spans="2:5" s="1279" customFormat="1" ht="12.75" customHeight="1" x14ac:dyDescent="0.2">
      <c r="B2" s="2463">
        <f>'Single Audit Cover'!E7</f>
        <v>53090108002</v>
      </c>
      <c r="C2" s="2463"/>
      <c r="D2" s="2463"/>
      <c r="E2" s="1470"/>
    </row>
    <row r="3" spans="2:5" ht="12.75" customHeight="1" x14ac:dyDescent="0.2">
      <c r="B3" s="2484" t="s">
        <v>1763</v>
      </c>
      <c r="C3" s="2484"/>
      <c r="D3" s="2484"/>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2097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P16" sqref="P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483405919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2.4330600000000001E-2</v>
      </c>
      <c r="E10" s="356" t="s">
        <v>1005</v>
      </c>
      <c r="F10" s="355">
        <v>3.5631999999999999E-3</v>
      </c>
      <c r="G10" s="356" t="s">
        <v>1005</v>
      </c>
      <c r="H10" s="355">
        <v>2.4432999999999998E-3</v>
      </c>
      <c r="I10" s="356" t="s">
        <v>1006</v>
      </c>
      <c r="J10" s="1727">
        <f>ROUND(D10+F10+H10,5)</f>
        <v>3.0339999999999999E-2</v>
      </c>
      <c r="K10" s="222"/>
      <c r="L10" s="355">
        <v>4.9220000000000004E-4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8">
        <f>SUM('Acct Summary 7-8'!C8,'Acct Summary 7-8'!D8,'Acct Summary 7-8'!F8,'Acct Summary 7-8'!I8)</f>
        <v>37486693</v>
      </c>
      <c r="E16" s="356"/>
      <c r="F16" s="1728">
        <f>SUM('Acct Summary 7-8'!C17,'Acct Summary 7-8'!D17,'Acct Summary 7-8'!F17)</f>
        <v>36130252</v>
      </c>
      <c r="G16" s="356"/>
      <c r="H16" s="1728">
        <f>SUM(D16-F16)</f>
        <v>1356441</v>
      </c>
      <c r="I16" s="222"/>
      <c r="J16" s="1728">
        <f>SUM('Acct Summary 7-8'!C81,'Acct Summary 7-8'!D81,'Acct Summary 7-8'!F81,'Acct Summary 7-8'!I81)</f>
        <v>6345843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8">
        <f>'Short-Term Long-Term Debt 24'!F4</f>
        <v>0</v>
      </c>
      <c r="E22" s="356" t="s">
        <v>1005</v>
      </c>
      <c r="F22" s="1728">
        <f>'Short-Term Long-Term Debt 24'!F15</f>
        <v>0</v>
      </c>
      <c r="G22" s="356" t="s">
        <v>1005</v>
      </c>
      <c r="H22" s="1728">
        <f>'Short-Term Long-Term Debt 24'!F21</f>
        <v>0</v>
      </c>
      <c r="I22" s="356" t="s">
        <v>1005</v>
      </c>
      <c r="J22" s="1728">
        <f>'Short-Term Long-Term Debt 24'!F23</f>
        <v>0</v>
      </c>
      <c r="K22" s="356" t="s">
        <v>1005</v>
      </c>
      <c r="L22" s="1728">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8">
        <f>'Short-Term Long-Term Debt 24'!F27</f>
        <v>0</v>
      </c>
      <c r="E24" s="356" t="s">
        <v>1006</v>
      </c>
      <c r="F24" s="1729">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586</v>
      </c>
      <c r="D31" s="237" t="s">
        <v>1072</v>
      </c>
      <c r="E31" s="222"/>
      <c r="F31" s="222"/>
      <c r="G31" s="363"/>
      <c r="H31" s="1730">
        <f>IF(B31="X",(J7*0.069),IF(B32="X",(J7*0.138),"Enter x in a.or b."))</f>
        <v>33355008.411000002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9">
        <f>'Assets-Liab 5-6'!N36</f>
        <v>3779109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P16" sqref="P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Pekin PSD 108</v>
      </c>
      <c r="E7" s="391"/>
      <c r="G7" s="252"/>
      <c r="H7" s="387"/>
      <c r="I7" s="387"/>
      <c r="J7" s="387"/>
      <c r="K7" s="387"/>
      <c r="L7" s="329"/>
      <c r="M7" s="329"/>
      <c r="N7" s="329"/>
      <c r="O7" s="329"/>
      <c r="P7" s="329"/>
    </row>
    <row r="8" spans="1:18" ht="12.75" x14ac:dyDescent="0.2">
      <c r="A8" s="329"/>
      <c r="B8" s="329"/>
      <c r="C8" s="389" t="s">
        <v>1125</v>
      </c>
      <c r="D8" s="392">
        <f>COVER!A13</f>
        <v>53090108002</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6345843</v>
      </c>
      <c r="I12" s="404"/>
      <c r="J12" s="404"/>
      <c r="K12" s="405">
        <f>TRUNC((H12/H13*100000),5)/100000</f>
        <v>0.17003553090000001</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37320688</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-166005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36130252</v>
      </c>
      <c r="I17" s="404"/>
      <c r="J17" s="416"/>
      <c r="K17" s="405">
        <f>TRUNC((H17/H18*100000),5)/100000</f>
        <v>0.96810251719999996</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37320688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-166005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6345843</v>
      </c>
      <c r="I24" s="422"/>
      <c r="J24" s="422"/>
      <c r="K24" s="423">
        <f>TRUNC(((H24/H25*100000)/100000),2)</f>
        <v>63.22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100361.81111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12466555.24509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3779109</v>
      </c>
      <c r="I32" s="420"/>
      <c r="J32" s="420"/>
      <c r="K32" s="423">
        <f>TRUNC(100-((((H32/H33*100))*100)/100),2)</f>
        <v>88.67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33355008.411000002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2" activePane="bottomLeft" state="frozen"/>
      <selection activeCell="P16" sqref="P16"/>
      <selection pane="bottomLeft" activeCell="P16" sqref="P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9"/>
      <c r="D3" s="1560"/>
      <c r="E3" s="1560"/>
      <c r="F3" s="1560"/>
      <c r="G3" s="1560"/>
      <c r="H3" s="1560"/>
      <c r="I3" s="1560"/>
      <c r="J3" s="1560"/>
      <c r="K3" s="1560"/>
      <c r="L3" s="1560"/>
      <c r="M3" s="1561"/>
      <c r="N3" s="1562"/>
    </row>
    <row r="4" spans="1:14" ht="13.5" customHeight="1" x14ac:dyDescent="0.2">
      <c r="A4" s="463" t="s">
        <v>1651</v>
      </c>
      <c r="B4" s="464"/>
      <c r="C4" s="465">
        <v>39245</v>
      </c>
      <c r="D4" s="466">
        <v>247133</v>
      </c>
      <c r="E4" s="466">
        <v>173624</v>
      </c>
      <c r="F4" s="466">
        <v>4434</v>
      </c>
      <c r="G4" s="466">
        <v>367539</v>
      </c>
      <c r="H4" s="466"/>
      <c r="I4" s="466">
        <v>6054183</v>
      </c>
      <c r="J4" s="467"/>
      <c r="K4" s="466">
        <v>19727</v>
      </c>
      <c r="L4" s="466">
        <v>24242</v>
      </c>
      <c r="M4" s="468"/>
      <c r="N4" s="469"/>
    </row>
    <row r="5" spans="1:14" x14ac:dyDescent="0.2">
      <c r="A5" s="463" t="s">
        <v>992</v>
      </c>
      <c r="B5" s="470">
        <v>120</v>
      </c>
      <c r="C5" s="465">
        <v>848</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655000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1" t="s">
        <v>644</v>
      </c>
      <c r="B13" s="1704"/>
      <c r="C13" s="1732">
        <f>SUM(C4:C12)</f>
        <v>40093</v>
      </c>
      <c r="D13" s="1732">
        <f t="shared" ref="D13:L13" si="0">SUM(D4:D12)</f>
        <v>247133</v>
      </c>
      <c r="E13" s="1732">
        <f t="shared" si="0"/>
        <v>173624</v>
      </c>
      <c r="F13" s="1732">
        <f t="shared" si="0"/>
        <v>4434</v>
      </c>
      <c r="G13" s="1732">
        <f t="shared" si="0"/>
        <v>367539</v>
      </c>
      <c r="H13" s="1732">
        <f t="shared" si="0"/>
        <v>0</v>
      </c>
      <c r="I13" s="1732">
        <f t="shared" si="0"/>
        <v>6709183</v>
      </c>
      <c r="J13" s="1732">
        <f t="shared" si="0"/>
        <v>0</v>
      </c>
      <c r="K13" s="1732">
        <f t="shared" si="0"/>
        <v>19727</v>
      </c>
      <c r="L13" s="1732">
        <f t="shared" si="0"/>
        <v>24242</v>
      </c>
      <c r="M13" s="468"/>
      <c r="N13" s="469"/>
    </row>
    <row r="14" spans="1:14" ht="18" customHeight="1" thickTop="1" x14ac:dyDescent="0.2">
      <c r="A14" s="2118" t="s">
        <v>147</v>
      </c>
      <c r="B14" s="211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378038</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61280523</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248387</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f>
        <v>3345474</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127827</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+E39</f>
        <v>173624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3605485</v>
      </c>
    </row>
    <row r="23" spans="1:14" ht="13.5" customHeight="1" thickBot="1" x14ac:dyDescent="0.25">
      <c r="A23" s="1731" t="s">
        <v>643</v>
      </c>
      <c r="B23" s="1736"/>
      <c r="C23" s="468"/>
      <c r="D23" s="468"/>
      <c r="E23" s="468"/>
      <c r="F23" s="468"/>
      <c r="G23" s="468"/>
      <c r="H23" s="468"/>
      <c r="I23" s="468"/>
      <c r="J23" s="468"/>
      <c r="K23" s="468"/>
      <c r="L23" s="468"/>
      <c r="M23" s="1683">
        <f>SUM(M15:M22)</f>
        <v>65380249</v>
      </c>
      <c r="N23" s="1683">
        <f>SUM(N21:N22)</f>
        <v>3779109</v>
      </c>
    </row>
    <row r="24" spans="1:14" ht="18" customHeight="1" thickTop="1" x14ac:dyDescent="0.2">
      <c r="A24" s="2120" t="s">
        <v>598</v>
      </c>
      <c r="B24" s="2121"/>
      <c r="C24" s="1568"/>
      <c r="D24" s="1565"/>
      <c r="E24" s="1565"/>
      <c r="F24" s="1565"/>
      <c r="G24" s="1565"/>
      <c r="H24" s="1565"/>
      <c r="I24" s="1565"/>
      <c r="J24" s="1565"/>
      <c r="K24" s="1565"/>
      <c r="L24" s="1565"/>
      <c r="M24" s="1564"/>
      <c r="N24" s="1569"/>
    </row>
    <row r="25" spans="1:14" x14ac:dyDescent="0.2">
      <c r="A25" s="473" t="s">
        <v>645</v>
      </c>
      <c r="B25" s="470">
        <v>410</v>
      </c>
      <c r="C25" s="478">
        <v>365000</v>
      </c>
      <c r="D25" s="478"/>
      <c r="E25" s="478"/>
      <c r="F25" s="478">
        <v>290000</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3" t="s">
        <v>654</v>
      </c>
      <c r="B34" s="1734"/>
      <c r="C34" s="1735">
        <f>SUM(C25:C33)</f>
        <v>365000</v>
      </c>
      <c r="D34" s="1735">
        <f t="shared" ref="D34:K34" si="1">SUM(D25:D33)</f>
        <v>0</v>
      </c>
      <c r="E34" s="1735">
        <f t="shared" si="1"/>
        <v>0</v>
      </c>
      <c r="F34" s="1735">
        <f t="shared" si="1"/>
        <v>290000</v>
      </c>
      <c r="G34" s="1735">
        <f t="shared" si="1"/>
        <v>0</v>
      </c>
      <c r="H34" s="1735">
        <f t="shared" si="1"/>
        <v>0</v>
      </c>
      <c r="I34" s="1735">
        <f t="shared" si="1"/>
        <v>0</v>
      </c>
      <c r="J34" s="1735">
        <f t="shared" si="1"/>
        <v>0</v>
      </c>
      <c r="K34" s="1735">
        <f t="shared" si="1"/>
        <v>0</v>
      </c>
      <c r="L34" s="1716">
        <f>SUM(L33)</f>
        <v>0</v>
      </c>
      <c r="M34" s="468"/>
      <c r="N34" s="480"/>
    </row>
    <row r="35" spans="1:14" ht="18" customHeight="1" thickTop="1" x14ac:dyDescent="0.2">
      <c r="A35" s="2122" t="s">
        <v>529</v>
      </c>
      <c r="B35" s="212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3779109</v>
      </c>
    </row>
    <row r="37" spans="1:14" ht="13.5" thickBot="1" x14ac:dyDescent="0.25">
      <c r="A37" s="1731" t="s">
        <v>653</v>
      </c>
      <c r="B37" s="1736"/>
      <c r="C37" s="477"/>
      <c r="D37" s="477"/>
      <c r="E37" s="477"/>
      <c r="F37" s="477"/>
      <c r="G37" s="477"/>
      <c r="H37" s="477"/>
      <c r="I37" s="477"/>
      <c r="J37" s="477"/>
      <c r="K37" s="477"/>
      <c r="L37" s="480"/>
      <c r="M37" s="468"/>
      <c r="N37" s="1683">
        <f>SUM(N36:N36)</f>
        <v>3779109</v>
      </c>
    </row>
    <row r="38" spans="1:14" s="329" customFormat="1" ht="13.5" customHeight="1" thickTop="1" x14ac:dyDescent="0.2">
      <c r="A38" s="496" t="s">
        <v>420</v>
      </c>
      <c r="B38" s="483">
        <v>714</v>
      </c>
      <c r="C38" s="466"/>
      <c r="D38" s="466"/>
      <c r="E38" s="466"/>
      <c r="F38" s="466"/>
      <c r="G38" s="466"/>
      <c r="H38" s="466"/>
      <c r="I38" s="466"/>
      <c r="J38" s="467"/>
      <c r="K38" s="466"/>
      <c r="L38" s="481">
        <v>24242</v>
      </c>
      <c r="M38" s="497"/>
      <c r="N38" s="497"/>
    </row>
    <row r="39" spans="1:14" s="329" customFormat="1" ht="13.5" customHeight="1" x14ac:dyDescent="0.2">
      <c r="A39" s="496" t="s">
        <v>342</v>
      </c>
      <c r="B39" s="483">
        <v>730</v>
      </c>
      <c r="C39" s="466">
        <f>+'Acct Summary 7-8'!C81</f>
        <v>-324907</v>
      </c>
      <c r="D39" s="466">
        <f>+'Acct Summary 7-8'!D81</f>
        <v>247133</v>
      </c>
      <c r="E39" s="466">
        <f>+'Acct Summary 7-8'!E81</f>
        <v>173624</v>
      </c>
      <c r="F39" s="466">
        <f>+'Acct Summary 7-8'!F81</f>
        <v>-285566</v>
      </c>
      <c r="G39" s="466">
        <f>+'Acct Summary 7-8'!G81</f>
        <v>367539</v>
      </c>
      <c r="H39" s="466">
        <f>+'Acct Summary 7-8'!H81</f>
        <v>0</v>
      </c>
      <c r="I39" s="466">
        <f>+'Acct Summary 7-8'!I81</f>
        <v>6709183</v>
      </c>
      <c r="J39" s="467">
        <f>+'Acct Summary 7-8'!J81</f>
        <v>0</v>
      </c>
      <c r="K39" s="466">
        <f>+'Acct Summary 7-8'!K81</f>
        <v>19727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26'!F16</f>
        <v>65380249</v>
      </c>
      <c r="N40" s="497"/>
    </row>
    <row r="41" spans="1:14" ht="13.5" customHeight="1" thickBot="1" x14ac:dyDescent="0.25">
      <c r="A41" s="1731" t="s">
        <v>655</v>
      </c>
      <c r="B41" s="1701"/>
      <c r="C41" s="1683">
        <f>(SUM(C34,C37,C38,C39))</f>
        <v>40093</v>
      </c>
      <c r="D41" s="1683">
        <f t="shared" ref="D41:L41" si="2">SUM(D34,D37,D38:D39)</f>
        <v>247133</v>
      </c>
      <c r="E41" s="1683">
        <f t="shared" si="2"/>
        <v>173624</v>
      </c>
      <c r="F41" s="1683">
        <f t="shared" si="2"/>
        <v>4434</v>
      </c>
      <c r="G41" s="1683">
        <f t="shared" si="2"/>
        <v>367539</v>
      </c>
      <c r="H41" s="1683">
        <f t="shared" si="2"/>
        <v>0</v>
      </c>
      <c r="I41" s="1683">
        <f t="shared" si="2"/>
        <v>6709183</v>
      </c>
      <c r="J41" s="1683">
        <f t="shared" si="2"/>
        <v>0</v>
      </c>
      <c r="K41" s="1683">
        <f t="shared" si="2"/>
        <v>19727</v>
      </c>
      <c r="L41" s="1683">
        <f t="shared" si="2"/>
        <v>24242</v>
      </c>
      <c r="M41" s="1683">
        <f>SUM(M40)</f>
        <v>65380249</v>
      </c>
      <c r="N41" s="1683">
        <f>SUM(N37)</f>
        <v>3779109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P16" sqref="P16"/>
      <selection pane="bottomLeft" activeCell="P16" sqref="P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3"/>
      <c r="D3" s="1574"/>
      <c r="E3" s="1574"/>
      <c r="F3" s="1574"/>
      <c r="G3" s="1574"/>
      <c r="H3" s="1574"/>
      <c r="I3" s="1574"/>
      <c r="J3" s="1574"/>
      <c r="K3" s="1575"/>
      <c r="L3" s="506"/>
    </row>
    <row r="4" spans="1:13" ht="15.75" customHeight="1" x14ac:dyDescent="0.2">
      <c r="A4" s="1922" t="s">
        <v>1499</v>
      </c>
      <c r="B4" s="1923">
        <v>1000</v>
      </c>
      <c r="C4" s="1737">
        <f>'Revenues 9-14'!C109</f>
        <v>16076787</v>
      </c>
      <c r="D4" s="1737">
        <f>'Revenues 9-14'!D109</f>
        <v>1996226</v>
      </c>
      <c r="E4" s="1737">
        <f>'Revenues 9-14'!E109</f>
        <v>425728</v>
      </c>
      <c r="F4" s="1737">
        <f>'Revenues 9-14'!F109</f>
        <v>1086434</v>
      </c>
      <c r="G4" s="1737">
        <f>'Revenues 9-14'!G109</f>
        <v>831320</v>
      </c>
      <c r="H4" s="1737">
        <f>'Revenues 9-14'!H109</f>
        <v>0</v>
      </c>
      <c r="I4" s="1737">
        <f>'Revenues 9-14'!I109</f>
        <v>421370</v>
      </c>
      <c r="J4" s="1737">
        <f>'Revenues 9-14'!J109</f>
        <v>0</v>
      </c>
      <c r="K4" s="1737">
        <f>'Revenues 9-14'!K109</f>
        <v>303252</v>
      </c>
      <c r="L4" s="347"/>
    </row>
    <row r="5" spans="1:13" ht="15.75" customHeight="1" x14ac:dyDescent="0.2">
      <c r="A5" s="1576" t="s">
        <v>1500</v>
      </c>
      <c r="B5" s="1577">
        <v>2000</v>
      </c>
      <c r="C5" s="1738">
        <f>'Revenues 9-14'!C114</f>
        <v>0</v>
      </c>
      <c r="D5" s="1738">
        <f>'Revenues 9-14'!D114</f>
        <v>0</v>
      </c>
      <c r="E5" s="508"/>
      <c r="F5" s="1738">
        <f>'Revenues 9-14'!F114</f>
        <v>0</v>
      </c>
      <c r="G5" s="1738">
        <f>'Revenues 9-14'!G114</f>
        <v>0</v>
      </c>
      <c r="H5" s="509" t="s">
        <v>1169</v>
      </c>
      <c r="I5" s="510" t="s">
        <v>1169</v>
      </c>
      <c r="J5" s="511" t="s">
        <v>1169</v>
      </c>
      <c r="K5" s="512" t="s">
        <v>1169</v>
      </c>
      <c r="L5" s="347"/>
    </row>
    <row r="6" spans="1:13" ht="15.75" customHeight="1" x14ac:dyDescent="0.2">
      <c r="A6" s="1576" t="s">
        <v>1501</v>
      </c>
      <c r="B6" s="1578">
        <v>3000</v>
      </c>
      <c r="C6" s="1738">
        <f>'Revenues 9-14'!C170</f>
        <v>11563431</v>
      </c>
      <c r="D6" s="1738">
        <f>'Revenues 9-14'!D170</f>
        <v>821339</v>
      </c>
      <c r="E6" s="1738">
        <f>'Revenues 9-14'!E170</f>
        <v>0</v>
      </c>
      <c r="F6" s="1738">
        <f>'Revenues 9-14'!F170</f>
        <v>1799387</v>
      </c>
      <c r="G6" s="1738">
        <f>'Revenues 9-14'!G170</f>
        <v>45615</v>
      </c>
      <c r="H6" s="1738">
        <f>'Revenues 9-14'!H170</f>
        <v>0</v>
      </c>
      <c r="I6" s="1738">
        <f>'Revenues 9-14'!I170</f>
        <v>0</v>
      </c>
      <c r="J6" s="1738">
        <f>'Revenues 9-14'!J170</f>
        <v>0</v>
      </c>
      <c r="K6" s="1738">
        <f>'Revenues 9-14'!K170</f>
        <v>0</v>
      </c>
      <c r="L6" s="347"/>
      <c r="M6" s="513"/>
    </row>
    <row r="7" spans="1:13" ht="15.75" customHeight="1" x14ac:dyDescent="0.2">
      <c r="A7" s="1576" t="s">
        <v>1502</v>
      </c>
      <c r="B7" s="1578">
        <v>4000</v>
      </c>
      <c r="C7" s="1738">
        <f>'Revenues 9-14'!C267</f>
        <v>3721719</v>
      </c>
      <c r="D7" s="1738">
        <f>'Revenues 9-14'!D267</f>
        <v>0</v>
      </c>
      <c r="E7" s="1738">
        <f>'Revenues 9-14'!E267</f>
        <v>77027</v>
      </c>
      <c r="F7" s="1738">
        <f>'Revenues 9-14'!F267</f>
        <v>0</v>
      </c>
      <c r="G7" s="1738">
        <f>'Revenues 9-14'!G267</f>
        <v>102926</v>
      </c>
      <c r="H7" s="1738">
        <f>'Revenues 9-14'!H267</f>
        <v>0</v>
      </c>
      <c r="I7" s="1738">
        <f>'Revenues 9-14'!I267</f>
        <v>0</v>
      </c>
      <c r="J7" s="1738">
        <f>'Revenues 9-14'!J267</f>
        <v>0</v>
      </c>
      <c r="K7" s="1738">
        <f>'Revenues 9-14'!K267</f>
        <v>0</v>
      </c>
      <c r="L7" s="347"/>
      <c r="M7" s="513"/>
    </row>
    <row r="8" spans="1:13" ht="13.5" thickBot="1" x14ac:dyDescent="0.25">
      <c r="A8" s="1731" t="s">
        <v>1172</v>
      </c>
      <c r="B8" s="1704"/>
      <c r="C8" s="1683">
        <f>SUM(C4:C7)</f>
        <v>31361937</v>
      </c>
      <c r="D8" s="1683">
        <f t="shared" ref="D8:K8" si="0">SUM(D4:D7)</f>
        <v>2817565</v>
      </c>
      <c r="E8" s="1683">
        <f t="shared" si="0"/>
        <v>502755</v>
      </c>
      <c r="F8" s="1683">
        <f t="shared" si="0"/>
        <v>2885821</v>
      </c>
      <c r="G8" s="1683">
        <f t="shared" si="0"/>
        <v>979861</v>
      </c>
      <c r="H8" s="1683">
        <f t="shared" si="0"/>
        <v>0</v>
      </c>
      <c r="I8" s="1683">
        <f t="shared" si="0"/>
        <v>421370</v>
      </c>
      <c r="J8" s="1683">
        <f t="shared" si="0"/>
        <v>0</v>
      </c>
      <c r="K8" s="1683">
        <f t="shared" si="0"/>
        <v>303252</v>
      </c>
      <c r="L8" s="347"/>
    </row>
    <row r="9" spans="1:13" ht="15.75" thickTop="1" x14ac:dyDescent="0.2">
      <c r="A9" s="514" t="s">
        <v>1653</v>
      </c>
      <c r="B9" s="515">
        <v>3998</v>
      </c>
      <c r="C9" s="481">
        <f>12678779+227904</f>
        <v>12906683</v>
      </c>
      <c r="D9" s="516"/>
      <c r="E9" s="481"/>
      <c r="F9" s="481"/>
      <c r="G9" s="517"/>
      <c r="H9" s="481"/>
      <c r="I9" s="509" t="s">
        <v>1169</v>
      </c>
      <c r="J9" s="478"/>
      <c r="K9" s="481"/>
      <c r="L9" s="347"/>
    </row>
    <row r="10" spans="1:13" s="519" customFormat="1" ht="13.5" thickBot="1" x14ac:dyDescent="0.25">
      <c r="A10" s="1731" t="s">
        <v>1173</v>
      </c>
      <c r="B10" s="1704"/>
      <c r="C10" s="1683">
        <f>SUM(C8:C9)</f>
        <v>44268620</v>
      </c>
      <c r="D10" s="1683">
        <f t="shared" ref="D10:K10" si="1">SUM(D8:D9)</f>
        <v>2817565</v>
      </c>
      <c r="E10" s="1683">
        <f t="shared" si="1"/>
        <v>502755</v>
      </c>
      <c r="F10" s="1683">
        <f t="shared" si="1"/>
        <v>2885821</v>
      </c>
      <c r="G10" s="1683">
        <f t="shared" si="1"/>
        <v>979861</v>
      </c>
      <c r="H10" s="1683">
        <f t="shared" si="1"/>
        <v>0</v>
      </c>
      <c r="I10" s="1683">
        <f t="shared" si="1"/>
        <v>421370</v>
      </c>
      <c r="J10" s="1683">
        <f t="shared" si="1"/>
        <v>0</v>
      </c>
      <c r="K10" s="1683">
        <f t="shared" si="1"/>
        <v>303252</v>
      </c>
      <c r="L10" s="518"/>
    </row>
    <row r="11" spans="1:13" s="519" customFormat="1" ht="16.7" customHeight="1" thickTop="1" x14ac:dyDescent="0.2">
      <c r="A11" s="2118" t="s">
        <v>1176</v>
      </c>
      <c r="B11" s="2119"/>
      <c r="C11" s="1570"/>
      <c r="D11" s="1571"/>
      <c r="E11" s="1571"/>
      <c r="F11" s="1571"/>
      <c r="G11" s="1571"/>
      <c r="H11" s="1571"/>
      <c r="I11" s="1571"/>
      <c r="J11" s="1571"/>
      <c r="K11" s="1572"/>
      <c r="L11" s="518"/>
    </row>
    <row r="12" spans="1:13" ht="15.75" customHeight="1" x14ac:dyDescent="0.2">
      <c r="A12" s="1576" t="s">
        <v>456</v>
      </c>
      <c r="B12" s="1578">
        <v>1000</v>
      </c>
      <c r="C12" s="1737">
        <f>'Expenditures 15-22'!K33</f>
        <v>18999600</v>
      </c>
      <c r="D12" s="520" t="s">
        <v>1169</v>
      </c>
      <c r="E12" s="468" t="s">
        <v>1169</v>
      </c>
      <c r="F12" s="468" t="s">
        <v>1169</v>
      </c>
      <c r="G12" s="1737">
        <f>'Expenditures 15-22'!K229</f>
        <v>435252</v>
      </c>
      <c r="H12" s="521"/>
      <c r="I12" s="468" t="s">
        <v>1169</v>
      </c>
      <c r="J12" s="468" t="s">
        <v>1169</v>
      </c>
      <c r="K12" s="521" t="s">
        <v>1169</v>
      </c>
      <c r="L12" s="347"/>
    </row>
    <row r="13" spans="1:13" ht="15.75" customHeight="1" x14ac:dyDescent="0.2">
      <c r="A13" s="1576" t="s">
        <v>457</v>
      </c>
      <c r="B13" s="1578">
        <v>2000</v>
      </c>
      <c r="C13" s="1738">
        <f>'Expenditures 15-22'!K74</f>
        <v>10481182</v>
      </c>
      <c r="D13" s="1738">
        <f>'Expenditures 15-22'!K129</f>
        <v>2691795</v>
      </c>
      <c r="E13" s="469" t="s">
        <v>1169</v>
      </c>
      <c r="F13" s="1738">
        <f>'Expenditures 15-22'!K184</f>
        <v>2988714</v>
      </c>
      <c r="G13" s="1738">
        <f>'Expenditures 15-22'!K279</f>
        <v>382684</v>
      </c>
      <c r="H13" s="1738">
        <f>'Expenditures 15-22'!K303</f>
        <v>0</v>
      </c>
      <c r="I13" s="468" t="s">
        <v>1169</v>
      </c>
      <c r="J13" s="1738">
        <f>'Expenditures 15-22'!K330</f>
        <v>0</v>
      </c>
      <c r="K13" s="1742">
        <f>'Expenditures 15-22'!K352</f>
        <v>378883</v>
      </c>
      <c r="L13" s="347"/>
    </row>
    <row r="14" spans="1:13" ht="15.75" customHeight="1" x14ac:dyDescent="0.2">
      <c r="A14" s="1576" t="s">
        <v>449</v>
      </c>
      <c r="B14" s="1578">
        <v>3000</v>
      </c>
      <c r="C14" s="1738">
        <f>'Expenditures 15-22'!K75</f>
        <v>278760</v>
      </c>
      <c r="D14" s="1738">
        <f>'Expenditures 15-22'!K130</f>
        <v>0</v>
      </c>
      <c r="E14" s="520" t="s">
        <v>1169</v>
      </c>
      <c r="F14" s="1738">
        <f>'Expenditures 15-22'!K185</f>
        <v>0</v>
      </c>
      <c r="G14" s="1738">
        <f>'Expenditures 15-22'!K280</f>
        <v>35737</v>
      </c>
      <c r="H14" s="512"/>
      <c r="I14" s="468" t="s">
        <v>1169</v>
      </c>
      <c r="J14" s="468" t="s">
        <v>1169</v>
      </c>
      <c r="K14" s="512" t="s">
        <v>1169</v>
      </c>
      <c r="L14" s="347"/>
    </row>
    <row r="15" spans="1:13" ht="15.75" customHeight="1" x14ac:dyDescent="0.2">
      <c r="A15" s="1576" t="s">
        <v>107</v>
      </c>
      <c r="B15" s="1578">
        <v>4000</v>
      </c>
      <c r="C15" s="1738">
        <f>'Expenditures 15-22'!K102</f>
        <v>690201</v>
      </c>
      <c r="D15" s="1738">
        <f>'Expenditures 15-22'!K139</f>
        <v>0</v>
      </c>
      <c r="E15" s="1738">
        <f>'Expenditures 15-22'!K160</f>
        <v>0</v>
      </c>
      <c r="F15" s="1738">
        <f>'Expenditures 15-22'!K196</f>
        <v>0</v>
      </c>
      <c r="G15" s="1738">
        <f>'Expenditures 15-22'!K285</f>
        <v>0</v>
      </c>
      <c r="H15" s="1738">
        <f>'Expenditures 15-22'!K310</f>
        <v>0</v>
      </c>
      <c r="I15" s="468" t="s">
        <v>1169</v>
      </c>
      <c r="J15" s="1830">
        <f>'Expenditures 15-22'!K334</f>
        <v>0</v>
      </c>
      <c r="K15" s="1738">
        <f>'Expenditures 15-22'!K357</f>
        <v>0</v>
      </c>
      <c r="L15" s="347"/>
    </row>
    <row r="16" spans="1:13" ht="15.75" customHeight="1" x14ac:dyDescent="0.2">
      <c r="A16" s="1576" t="s">
        <v>450</v>
      </c>
      <c r="B16" s="1578">
        <v>5000</v>
      </c>
      <c r="C16" s="1738">
        <f>'Expenditures 15-22'!K112</f>
        <v>0</v>
      </c>
      <c r="D16" s="1738">
        <f>'Expenditures 15-22'!K149</f>
        <v>0</v>
      </c>
      <c r="E16" s="1738">
        <f>'Expenditures 15-22'!K172</f>
        <v>661178</v>
      </c>
      <c r="F16" s="1738">
        <f>'Expenditures 15-22'!K208</f>
        <v>0</v>
      </c>
      <c r="G16" s="1738">
        <f>'Expenditures 15-22'!K293</f>
        <v>0</v>
      </c>
      <c r="H16" s="523"/>
      <c r="I16" s="468" t="s">
        <v>1169</v>
      </c>
      <c r="J16" s="1743">
        <f>'Expenditures 15-22'!K340</f>
        <v>0</v>
      </c>
      <c r="K16" s="1738">
        <f>'Expenditures 15-22'!K365</f>
        <v>0</v>
      </c>
      <c r="L16" s="347"/>
    </row>
    <row r="17" spans="1:12" ht="13.5" thickBot="1" x14ac:dyDescent="0.25">
      <c r="A17" s="1703" t="s">
        <v>48</v>
      </c>
      <c r="B17" s="1704"/>
      <c r="C17" s="1683">
        <f t="shared" ref="C17:H17" si="2">SUM(C12:C16)</f>
        <v>30449743</v>
      </c>
      <c r="D17" s="1683">
        <f t="shared" si="2"/>
        <v>2691795</v>
      </c>
      <c r="E17" s="1683">
        <f t="shared" si="2"/>
        <v>661178</v>
      </c>
      <c r="F17" s="1683">
        <f t="shared" si="2"/>
        <v>2988714</v>
      </c>
      <c r="G17" s="1683">
        <f t="shared" si="2"/>
        <v>853673</v>
      </c>
      <c r="H17" s="1683">
        <f t="shared" si="2"/>
        <v>0</v>
      </c>
      <c r="I17" s="468"/>
      <c r="J17" s="1683">
        <f>SUM(J12:J16)</f>
        <v>0</v>
      </c>
      <c r="K17" s="1683">
        <f>SUM(K12:K16)</f>
        <v>378883</v>
      </c>
      <c r="L17" s="347"/>
    </row>
    <row r="18" spans="1:12" ht="15" customHeight="1" thickTop="1" x14ac:dyDescent="0.2">
      <c r="A18" s="1739" t="s">
        <v>1654</v>
      </c>
      <c r="B18" s="1740">
        <v>4180</v>
      </c>
      <c r="C18" s="1737">
        <f t="shared" ref="C18:H18" si="3">C9</f>
        <v>12906683</v>
      </c>
      <c r="D18" s="1737">
        <f t="shared" si="3"/>
        <v>0</v>
      </c>
      <c r="E18" s="1737">
        <f t="shared" si="3"/>
        <v>0</v>
      </c>
      <c r="F18" s="1737">
        <f t="shared" si="3"/>
        <v>0</v>
      </c>
      <c r="G18" s="1737">
        <f t="shared" si="3"/>
        <v>0</v>
      </c>
      <c r="H18" s="1737">
        <f t="shared" si="3"/>
        <v>0</v>
      </c>
      <c r="I18" s="468"/>
      <c r="J18" s="1737">
        <f>J9</f>
        <v>0</v>
      </c>
      <c r="K18" s="1737">
        <f>K9</f>
        <v>0</v>
      </c>
      <c r="L18" s="347"/>
    </row>
    <row r="19" spans="1:12" ht="13.5" thickBot="1" x14ac:dyDescent="0.25">
      <c r="A19" s="1703" t="s">
        <v>505</v>
      </c>
      <c r="B19" s="1704"/>
      <c r="C19" s="1683">
        <f t="shared" ref="C19:H19" si="4">SUM(C17:C18)</f>
        <v>43356426</v>
      </c>
      <c r="D19" s="1683">
        <f t="shared" si="4"/>
        <v>2691795</v>
      </c>
      <c r="E19" s="1683">
        <f t="shared" si="4"/>
        <v>661178</v>
      </c>
      <c r="F19" s="1683">
        <f t="shared" si="4"/>
        <v>2988714</v>
      </c>
      <c r="G19" s="1683">
        <f t="shared" si="4"/>
        <v>853673</v>
      </c>
      <c r="H19" s="1683">
        <f t="shared" si="4"/>
        <v>0</v>
      </c>
      <c r="I19" s="468"/>
      <c r="J19" s="1683">
        <f>SUM(J17:J18)</f>
        <v>0</v>
      </c>
      <c r="K19" s="1683">
        <f>SUM(K17:K18)</f>
        <v>378883</v>
      </c>
      <c r="L19" s="347"/>
    </row>
    <row r="20" spans="1:12" ht="16.5" thickTop="1" thickBot="1" x14ac:dyDescent="0.25">
      <c r="A20" s="2134" t="s">
        <v>1655</v>
      </c>
      <c r="B20" s="2135"/>
      <c r="C20" s="1741">
        <f>C8-C17</f>
        <v>912194</v>
      </c>
      <c r="D20" s="1741">
        <f t="shared" ref="D20:K20" si="5">D8-D17</f>
        <v>125770</v>
      </c>
      <c r="E20" s="1741">
        <f t="shared" si="5"/>
        <v>-158423</v>
      </c>
      <c r="F20" s="1741">
        <f t="shared" si="5"/>
        <v>-102893</v>
      </c>
      <c r="G20" s="1741">
        <f t="shared" si="5"/>
        <v>126188</v>
      </c>
      <c r="H20" s="1741">
        <f t="shared" si="5"/>
        <v>0</v>
      </c>
      <c r="I20" s="1741">
        <f t="shared" si="5"/>
        <v>421370</v>
      </c>
      <c r="J20" s="1741">
        <f t="shared" si="5"/>
        <v>0</v>
      </c>
      <c r="K20" s="1741">
        <f t="shared" si="5"/>
        <v>-75631</v>
      </c>
      <c r="L20" s="347"/>
    </row>
    <row r="21" spans="1:12" ht="16.7" customHeight="1" thickTop="1" x14ac:dyDescent="0.2">
      <c r="A21" s="2146" t="s">
        <v>595</v>
      </c>
      <c r="B21" s="2147"/>
      <c r="C21" s="1570"/>
      <c r="D21" s="1571"/>
      <c r="E21" s="1571"/>
      <c r="F21" s="1571"/>
      <c r="G21" s="1571"/>
      <c r="H21" s="1571"/>
      <c r="I21" s="1571"/>
      <c r="J21" s="1571"/>
      <c r="K21" s="1572"/>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896</v>
      </c>
      <c r="D36" s="467"/>
      <c r="E36" s="467"/>
      <c r="F36" s="467"/>
      <c r="G36" s="467"/>
      <c r="H36" s="467"/>
      <c r="I36" s="475"/>
      <c r="J36" s="467"/>
      <c r="K36" s="467"/>
      <c r="L36" s="524"/>
    </row>
    <row r="37" spans="1:12" s="485" customFormat="1" x14ac:dyDescent="0.2">
      <c r="A37" s="1489" t="s">
        <v>441</v>
      </c>
      <c r="B37" s="525">
        <v>7400</v>
      </c>
      <c r="C37" s="475"/>
      <c r="D37" s="475"/>
      <c r="E37" s="1738">
        <f>SUM(C54:D57,H54:H57)</f>
        <v>0</v>
      </c>
      <c r="F37" s="475"/>
      <c r="G37" s="475"/>
      <c r="H37" s="475"/>
      <c r="I37" s="477"/>
      <c r="J37" s="475"/>
      <c r="K37" s="475"/>
      <c r="L37" s="524"/>
    </row>
    <row r="38" spans="1:12" s="485" customFormat="1" x14ac:dyDescent="0.2">
      <c r="A38" s="1489" t="s">
        <v>442</v>
      </c>
      <c r="B38" s="525">
        <v>7500</v>
      </c>
      <c r="C38" s="477"/>
      <c r="D38" s="477"/>
      <c r="E38" s="1738">
        <f>SUM(C58:D61,H58:H61)</f>
        <v>0</v>
      </c>
      <c r="F38" s="477"/>
      <c r="G38" s="477"/>
      <c r="H38" s="477"/>
      <c r="I38" s="477"/>
      <c r="J38" s="477"/>
      <c r="K38" s="477"/>
      <c r="L38" s="524"/>
    </row>
    <row r="39" spans="1:12" s="485" customFormat="1" x14ac:dyDescent="0.2">
      <c r="A39" s="1489" t="s">
        <v>443</v>
      </c>
      <c r="B39" s="525">
        <v>7600</v>
      </c>
      <c r="C39" s="477"/>
      <c r="D39" s="477"/>
      <c r="E39" s="1738">
        <f>SUM(C62:D65)</f>
        <v>0</v>
      </c>
      <c r="F39" s="477"/>
      <c r="G39" s="477"/>
      <c r="H39" s="477"/>
      <c r="I39" s="477"/>
      <c r="J39" s="477"/>
      <c r="K39" s="477"/>
      <c r="L39" s="524"/>
    </row>
    <row r="40" spans="1:12" s="485" customFormat="1" ht="13.5" customHeight="1" x14ac:dyDescent="0.2">
      <c r="A40" s="1489" t="s">
        <v>642</v>
      </c>
      <c r="B40" s="483">
        <v>7700</v>
      </c>
      <c r="C40" s="477"/>
      <c r="D40" s="477"/>
      <c r="E40" s="1738">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38">
        <f>SUM(C70:D73)</f>
        <v>0</v>
      </c>
      <c r="I41" s="477"/>
      <c r="J41" s="477"/>
      <c r="K41" s="480"/>
      <c r="L41" s="524"/>
    </row>
    <row r="42" spans="1:12" s="485" customFormat="1" ht="13.5" customHeight="1" x14ac:dyDescent="0.2">
      <c r="A42" s="1489" t="s">
        <v>641</v>
      </c>
      <c r="B42" s="483">
        <v>7900</v>
      </c>
      <c r="C42" s="467"/>
      <c r="D42" s="467"/>
      <c r="E42" s="467">
        <v>166005</v>
      </c>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698">
        <f>SUM(C24:C43)</f>
        <v>896</v>
      </c>
      <c r="D44" s="1698">
        <f t="shared" ref="D44:K44" si="6">SUM(D24:D43)</f>
        <v>0</v>
      </c>
      <c r="E44" s="1698">
        <f t="shared" si="6"/>
        <v>166005</v>
      </c>
      <c r="F44" s="1698">
        <f t="shared" si="6"/>
        <v>0</v>
      </c>
      <c r="G44" s="1698">
        <f t="shared" si="6"/>
        <v>0</v>
      </c>
      <c r="H44" s="1698">
        <f t="shared" si="6"/>
        <v>0</v>
      </c>
      <c r="I44" s="1698">
        <f t="shared" si="6"/>
        <v>0</v>
      </c>
      <c r="J44" s="1698">
        <f t="shared" si="6"/>
        <v>0</v>
      </c>
      <c r="K44" s="1698">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38">
        <f>SUM(C24,C25:H25,J25:K25)</f>
        <v>0</v>
      </c>
      <c r="J47" s="477"/>
      <c r="K47" s="477"/>
      <c r="L47" s="529"/>
    </row>
    <row r="48" spans="1:12" s="485" customFormat="1" ht="15" x14ac:dyDescent="0.2">
      <c r="A48" s="1490" t="s">
        <v>1660</v>
      </c>
      <c r="B48" s="483">
        <v>8120</v>
      </c>
      <c r="C48" s="480"/>
      <c r="D48" s="480"/>
      <c r="E48" s="477"/>
      <c r="F48" s="480"/>
      <c r="G48" s="477"/>
      <c r="H48" s="477"/>
      <c r="I48" s="1738">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38">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38">
        <f>D30</f>
        <v>0</v>
      </c>
      <c r="L52" s="524"/>
    </row>
    <row r="53" spans="1:12" s="485" customFormat="1" ht="26.25" x14ac:dyDescent="0.2">
      <c r="A53" s="1490" t="s">
        <v>1793</v>
      </c>
      <c r="B53" s="483">
        <v>8170</v>
      </c>
      <c r="C53" s="480"/>
      <c r="D53" s="480"/>
      <c r="E53" s="477"/>
      <c r="F53" s="477"/>
      <c r="G53" s="477"/>
      <c r="H53" s="480"/>
      <c r="I53" s="477"/>
      <c r="J53" s="477"/>
      <c r="K53" s="1738">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v>166005</v>
      </c>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698">
        <f t="shared" ref="C76:K76" si="7">SUM(C47:C75)</f>
        <v>166005</v>
      </c>
      <c r="D76" s="1698">
        <f t="shared" si="7"/>
        <v>0</v>
      </c>
      <c r="E76" s="1698">
        <f t="shared" si="7"/>
        <v>0</v>
      </c>
      <c r="F76" s="1698">
        <f t="shared" si="7"/>
        <v>0</v>
      </c>
      <c r="G76" s="1698">
        <f t="shared" si="7"/>
        <v>0</v>
      </c>
      <c r="H76" s="1698">
        <f t="shared" si="7"/>
        <v>0</v>
      </c>
      <c r="I76" s="1698">
        <f t="shared" si="7"/>
        <v>0</v>
      </c>
      <c r="J76" s="1698">
        <f t="shared" si="7"/>
        <v>0</v>
      </c>
      <c r="K76" s="1698">
        <f t="shared" si="7"/>
        <v>0</v>
      </c>
      <c r="L76" s="524"/>
    </row>
    <row r="77" spans="1:12" ht="14.25" thickTop="1" thickBot="1" x14ac:dyDescent="0.25">
      <c r="A77" s="2126" t="s">
        <v>1177</v>
      </c>
      <c r="B77" s="2127"/>
      <c r="C77" s="1698">
        <f t="shared" ref="C77:K77" si="8">C44-C76</f>
        <v>-165109</v>
      </c>
      <c r="D77" s="1698">
        <f t="shared" si="8"/>
        <v>0</v>
      </c>
      <c r="E77" s="1698">
        <f t="shared" si="8"/>
        <v>166005</v>
      </c>
      <c r="F77" s="1698">
        <f t="shared" si="8"/>
        <v>0</v>
      </c>
      <c r="G77" s="1698">
        <f t="shared" si="8"/>
        <v>0</v>
      </c>
      <c r="H77" s="1698">
        <f t="shared" si="8"/>
        <v>0</v>
      </c>
      <c r="I77" s="1698">
        <f t="shared" si="8"/>
        <v>0</v>
      </c>
      <c r="J77" s="1698">
        <f t="shared" si="8"/>
        <v>0</v>
      </c>
      <c r="K77" s="1698">
        <f t="shared" si="8"/>
        <v>0</v>
      </c>
      <c r="L77" s="347"/>
    </row>
    <row r="78" spans="1:12" ht="21.75" customHeight="1" thickTop="1" thickBot="1" x14ac:dyDescent="0.25">
      <c r="A78" s="2130" t="s">
        <v>597</v>
      </c>
      <c r="B78" s="2131"/>
      <c r="C78" s="1697">
        <f t="shared" ref="C78:K78" si="9">C20+C77</f>
        <v>747085</v>
      </c>
      <c r="D78" s="1697">
        <f t="shared" si="9"/>
        <v>125770</v>
      </c>
      <c r="E78" s="1697">
        <f t="shared" si="9"/>
        <v>7582</v>
      </c>
      <c r="F78" s="1697">
        <f t="shared" si="9"/>
        <v>-102893</v>
      </c>
      <c r="G78" s="1697">
        <f t="shared" si="9"/>
        <v>126188</v>
      </c>
      <c r="H78" s="1697">
        <f t="shared" si="9"/>
        <v>0</v>
      </c>
      <c r="I78" s="1697">
        <f t="shared" si="9"/>
        <v>421370</v>
      </c>
      <c r="J78" s="1697">
        <f t="shared" si="9"/>
        <v>0</v>
      </c>
      <c r="K78" s="1697">
        <f t="shared" si="9"/>
        <v>-75631</v>
      </c>
      <c r="L78" s="533"/>
    </row>
    <row r="79" spans="1:12" ht="13.5" thickTop="1" x14ac:dyDescent="0.2">
      <c r="A79" s="1494" t="s">
        <v>1943</v>
      </c>
      <c r="B79" s="534"/>
      <c r="C79" s="478">
        <v>-1071992</v>
      </c>
      <c r="D79" s="535">
        <v>121363</v>
      </c>
      <c r="E79" s="535">
        <v>166042</v>
      </c>
      <c r="F79" s="535">
        <v>-182673</v>
      </c>
      <c r="G79" s="535">
        <v>241351</v>
      </c>
      <c r="H79" s="535"/>
      <c r="I79" s="535">
        <v>6287813</v>
      </c>
      <c r="J79" s="535"/>
      <c r="K79" s="535">
        <v>95358</v>
      </c>
      <c r="L79" s="347"/>
    </row>
    <row r="80" spans="1:12" x14ac:dyDescent="0.2">
      <c r="A80" s="2136" t="s">
        <v>1792</v>
      </c>
      <c r="B80" s="2137"/>
      <c r="C80" s="467"/>
      <c r="D80" s="467"/>
      <c r="E80" s="467"/>
      <c r="F80" s="467"/>
      <c r="G80" s="467"/>
      <c r="H80" s="467"/>
      <c r="I80" s="467"/>
      <c r="J80" s="467"/>
      <c r="K80" s="467"/>
      <c r="L80" s="347"/>
    </row>
    <row r="81" spans="1:12" ht="13.5" thickBot="1" x14ac:dyDescent="0.25">
      <c r="A81" s="2128" t="s">
        <v>1944</v>
      </c>
      <c r="B81" s="2129"/>
      <c r="C81" s="1683">
        <f>(SUM(C78:C80))</f>
        <v>-324907</v>
      </c>
      <c r="D81" s="1683">
        <f>SUM(D78:D80)</f>
        <v>247133</v>
      </c>
      <c r="E81" s="1683">
        <f t="shared" ref="E81:K81" si="10">SUM(E78:E80)</f>
        <v>173624</v>
      </c>
      <c r="F81" s="1683">
        <f t="shared" si="10"/>
        <v>-285566</v>
      </c>
      <c r="G81" s="1683">
        <f t="shared" si="10"/>
        <v>367539</v>
      </c>
      <c r="H81" s="1683">
        <f t="shared" si="10"/>
        <v>0</v>
      </c>
      <c r="I81" s="1683">
        <f t="shared" si="10"/>
        <v>6709183</v>
      </c>
      <c r="J81" s="1683">
        <f t="shared" si="10"/>
        <v>0</v>
      </c>
      <c r="K81" s="1683">
        <f t="shared" si="10"/>
        <v>19727</v>
      </c>
      <c r="L81" s="347"/>
    </row>
    <row r="82" spans="1:12" ht="0.75" customHeight="1" thickTop="1" thickBot="1" x14ac:dyDescent="0.25">
      <c r="A82" s="536" t="s">
        <v>343</v>
      </c>
      <c r="B82" s="537"/>
      <c r="C82" s="538">
        <f>(C81-C79)</f>
        <v>747085</v>
      </c>
      <c r="D82" s="538">
        <f t="shared" ref="D82:K82" si="11">(D81-D79)</f>
        <v>125770</v>
      </c>
      <c r="E82" s="538">
        <f t="shared" si="11"/>
        <v>7582</v>
      </c>
      <c r="F82" s="538">
        <f t="shared" si="11"/>
        <v>-102893</v>
      </c>
      <c r="G82" s="538">
        <f t="shared" si="11"/>
        <v>126188</v>
      </c>
      <c r="H82" s="538">
        <f t="shared" si="11"/>
        <v>0</v>
      </c>
      <c r="I82" s="538">
        <f t="shared" si="11"/>
        <v>421370</v>
      </c>
      <c r="J82" s="538">
        <f t="shared" si="11"/>
        <v>0</v>
      </c>
      <c r="K82" s="538">
        <f t="shared" si="11"/>
        <v>-75631</v>
      </c>
    </row>
    <row r="83" spans="1:12" ht="14.25" hidden="1" thickTop="1" thickBot="1" x14ac:dyDescent="0.25">
      <c r="A83" s="539" t="s">
        <v>344</v>
      </c>
      <c r="B83" s="464"/>
      <c r="C83" s="540">
        <f>C82/C81</f>
        <v>-2.2993810536553538</v>
      </c>
      <c r="D83" s="540">
        <f t="shared" ref="D83:K83" si="12">D82/D81</f>
        <v>0.50891625157303966</v>
      </c>
      <c r="E83" s="540">
        <f t="shared" si="12"/>
        <v>4.3669078007648715E-2</v>
      </c>
      <c r="F83" s="540">
        <f t="shared" si="12"/>
        <v>0.36031250218863592</v>
      </c>
      <c r="G83" s="540">
        <f t="shared" si="12"/>
        <v>0.34333227222145135</v>
      </c>
      <c r="H83" s="540" t="e">
        <f t="shared" si="12"/>
        <v>#DIV/0!</v>
      </c>
      <c r="I83" s="540">
        <f t="shared" si="12"/>
        <v>6.2804964479281605E-2</v>
      </c>
      <c r="J83" s="540" t="e">
        <f t="shared" si="12"/>
        <v>#DIV/0!</v>
      </c>
      <c r="K83" s="540">
        <f t="shared" si="12"/>
        <v>-3.8338824960713742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7" activePane="bottomLeft" state="frozen"/>
      <selection activeCell="P16" sqref="P16"/>
      <selection pane="bottomLeft" activeCell="C159" sqref="C1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1799</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11477401</v>
      </c>
      <c r="D5" s="481">
        <v>1667726</v>
      </c>
      <c r="E5" s="466">
        <v>416339</v>
      </c>
      <c r="F5" s="548">
        <v>1079121</v>
      </c>
      <c r="G5" s="466">
        <v>245281</v>
      </c>
      <c r="H5" s="466"/>
      <c r="I5" s="466">
        <v>237210</v>
      </c>
      <c r="J5" s="467"/>
      <c r="K5" s="466">
        <v>299249</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109930</v>
      </c>
      <c r="D7" s="466"/>
      <c r="E7" s="468"/>
      <c r="F7" s="467"/>
      <c r="G7" s="467"/>
      <c r="H7" s="467"/>
      <c r="I7" s="468"/>
      <c r="J7" s="468"/>
      <c r="K7" s="468"/>
    </row>
    <row r="8" spans="1:12" x14ac:dyDescent="0.2">
      <c r="A8" s="463" t="s">
        <v>413</v>
      </c>
      <c r="B8" s="470">
        <v>1150</v>
      </c>
      <c r="C8" s="475"/>
      <c r="D8" s="475"/>
      <c r="E8" s="477"/>
      <c r="F8" s="477"/>
      <c r="G8" s="481">
        <v>169754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0" t="s">
        <v>29</v>
      </c>
      <c r="B12" s="1701"/>
      <c r="C12" s="1702">
        <f t="shared" ref="C12:K12" si="0">SUM(C5:C11)</f>
        <v>11587331</v>
      </c>
      <c r="D12" s="1702">
        <f t="shared" si="0"/>
        <v>1667726</v>
      </c>
      <c r="E12" s="1702">
        <f t="shared" si="0"/>
        <v>416339</v>
      </c>
      <c r="F12" s="1702">
        <f t="shared" si="0"/>
        <v>1079121</v>
      </c>
      <c r="G12" s="1702">
        <f t="shared" si="0"/>
        <v>415035</v>
      </c>
      <c r="H12" s="1702">
        <f t="shared" si="0"/>
        <v>0</v>
      </c>
      <c r="I12" s="1702">
        <f t="shared" si="0"/>
        <v>237210</v>
      </c>
      <c r="J12" s="1702">
        <f t="shared" si="0"/>
        <v>0</v>
      </c>
      <c r="K12" s="1683">
        <f t="shared" si="0"/>
        <v>299249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2964819</v>
      </c>
      <c r="D16" s="466">
        <v>259350</v>
      </c>
      <c r="E16" s="466"/>
      <c r="F16" s="466"/>
      <c r="G16" s="466">
        <v>406652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3" t="s">
        <v>537</v>
      </c>
      <c r="B18" s="1704"/>
      <c r="C18" s="1705">
        <f>SUM(C14:C17)</f>
        <v>2964819</v>
      </c>
      <c r="D18" s="1705">
        <f t="shared" ref="D18:K18" si="1">SUM(D14:D17)</f>
        <v>259350</v>
      </c>
      <c r="E18" s="1705">
        <f t="shared" si="1"/>
        <v>0</v>
      </c>
      <c r="F18" s="1705">
        <f t="shared" si="1"/>
        <v>0</v>
      </c>
      <c r="G18" s="1705">
        <f t="shared" si="1"/>
        <v>406652</v>
      </c>
      <c r="H18" s="1705">
        <f t="shared" si="1"/>
        <v>0</v>
      </c>
      <c r="I18" s="1705">
        <f t="shared" si="1"/>
        <v>0</v>
      </c>
      <c r="J18" s="1705">
        <f t="shared" si="1"/>
        <v>0</v>
      </c>
      <c r="K18" s="1706">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186722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3" t="s">
        <v>538</v>
      </c>
      <c r="B40" s="1704"/>
      <c r="C40" s="1683">
        <f>SUM(C20:C39)</f>
        <v>186722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3" t="s">
        <v>485</v>
      </c>
      <c r="B63" s="1704"/>
      <c r="C63" s="468"/>
      <c r="D63" s="468"/>
      <c r="E63" s="468"/>
      <c r="F63" s="1683">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86988</v>
      </c>
      <c r="D65" s="466">
        <v>18925</v>
      </c>
      <c r="E65" s="466">
        <v>9389</v>
      </c>
      <c r="F65" s="467">
        <v>7313</v>
      </c>
      <c r="G65" s="466">
        <v>9633</v>
      </c>
      <c r="H65" s="466"/>
      <c r="I65" s="466">
        <v>184160</v>
      </c>
      <c r="J65" s="467"/>
      <c r="K65" s="466">
        <v>4003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3" t="s">
        <v>486</v>
      </c>
      <c r="B67" s="1704"/>
      <c r="C67" s="1683">
        <f>SUM(C65:C66)</f>
        <v>86988</v>
      </c>
      <c r="D67" s="1683">
        <f t="shared" ref="D67:K67" si="2">SUM(D65:D66)</f>
        <v>18925</v>
      </c>
      <c r="E67" s="1683">
        <f t="shared" si="2"/>
        <v>9389</v>
      </c>
      <c r="F67" s="1683">
        <f t="shared" si="2"/>
        <v>7313</v>
      </c>
      <c r="G67" s="1683">
        <f t="shared" si="2"/>
        <v>9633</v>
      </c>
      <c r="H67" s="1683">
        <f t="shared" si="2"/>
        <v>0</v>
      </c>
      <c r="I67" s="1683">
        <f t="shared" si="2"/>
        <v>184160</v>
      </c>
      <c r="J67" s="1683">
        <f t="shared" si="2"/>
        <v>0</v>
      </c>
      <c r="K67" s="1683">
        <f t="shared" si="2"/>
        <v>4003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8149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534</v>
      </c>
      <c r="D73" s="468"/>
      <c r="E73" s="468"/>
      <c r="F73" s="468"/>
      <c r="G73" s="468"/>
      <c r="H73" s="468"/>
      <c r="I73" s="468"/>
      <c r="J73" s="468"/>
      <c r="K73" s="468"/>
    </row>
    <row r="74" spans="1:11" ht="12.75" customHeight="1" x14ac:dyDescent="0.2">
      <c r="A74" s="463" t="s">
        <v>25</v>
      </c>
      <c r="B74" s="470">
        <v>1690</v>
      </c>
      <c r="C74" s="551">
        <v>19918</v>
      </c>
      <c r="D74" s="468"/>
      <c r="E74" s="468"/>
      <c r="F74" s="468"/>
      <c r="G74" s="468"/>
      <c r="H74" s="468"/>
      <c r="I74" s="468"/>
      <c r="J74" s="468"/>
      <c r="K74" s="468"/>
    </row>
    <row r="75" spans="1:11" ht="12.75" customHeight="1" thickBot="1" x14ac:dyDescent="0.25">
      <c r="A75" s="1703" t="s">
        <v>548</v>
      </c>
      <c r="B75" s="1704"/>
      <c r="C75" s="1683">
        <f>SUM(C69:C74)</f>
        <v>28601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72877</v>
      </c>
      <c r="D79" s="466"/>
      <c r="E79" s="468"/>
      <c r="F79" s="468"/>
      <c r="G79" s="468"/>
      <c r="H79" s="468"/>
      <c r="I79" s="468"/>
      <c r="J79" s="468"/>
      <c r="K79" s="468"/>
    </row>
    <row r="80" spans="1:11" ht="12.75" customHeight="1" x14ac:dyDescent="0.2">
      <c r="A80" s="463" t="s">
        <v>551</v>
      </c>
      <c r="B80" s="470">
        <v>1730</v>
      </c>
      <c r="C80" s="551">
        <v>289670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3" t="s">
        <v>241</v>
      </c>
      <c r="B82" s="1704"/>
      <c r="C82" s="1702">
        <f>SUM(C77:C81)</f>
        <v>362547</v>
      </c>
      <c r="D82" s="1683">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98249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3" t="s">
        <v>243</v>
      </c>
      <c r="B93" s="1704"/>
      <c r="C93" s="1683">
        <f>SUM(C84:C92)</f>
        <v>98249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11488</v>
      </c>
      <c r="D95" s="551">
        <v>50225</v>
      </c>
      <c r="E95" s="521"/>
      <c r="F95" s="521"/>
      <c r="G95" s="521"/>
      <c r="H95" s="521"/>
      <c r="I95" s="521"/>
      <c r="J95" s="521"/>
      <c r="K95" s="521"/>
    </row>
    <row r="96" spans="1:11" ht="12.75" customHeight="1" x14ac:dyDescent="0.2">
      <c r="A96" s="463" t="s">
        <v>391</v>
      </c>
      <c r="B96" s="470">
        <v>1920</v>
      </c>
      <c r="C96" s="551">
        <v>14125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84550</v>
      </c>
      <c r="D98" s="466"/>
      <c r="E98" s="512"/>
      <c r="F98" s="466"/>
      <c r="G98" s="512"/>
      <c r="H98" s="512"/>
      <c r="I98" s="510"/>
      <c r="J98" s="512"/>
      <c r="K98" s="512"/>
    </row>
    <row r="99" spans="1:12" ht="12.75" customHeight="1" x14ac:dyDescent="0.2">
      <c r="A99" s="463" t="s">
        <v>821</v>
      </c>
      <c r="B99" s="470">
        <v>1950</v>
      </c>
      <c r="C99" s="489">
        <v>227183</v>
      </c>
      <c r="D99" s="466"/>
      <c r="E99" s="466"/>
      <c r="F99" s="466"/>
      <c r="G99" s="466"/>
      <c r="H99" s="466"/>
      <c r="I99" s="468"/>
      <c r="J99" s="467"/>
      <c r="K99" s="466"/>
    </row>
    <row r="100" spans="1:12" ht="12.75" customHeight="1" x14ac:dyDescent="0.2">
      <c r="A100" s="463" t="s">
        <v>245</v>
      </c>
      <c r="B100" s="470">
        <v>1960</v>
      </c>
      <c r="C100" s="489">
        <v>399069</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25000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115</v>
      </c>
      <c r="D107" s="466"/>
      <c r="E107" s="466"/>
      <c r="F107" s="466"/>
      <c r="G107" s="466"/>
      <c r="H107" s="466"/>
      <c r="I107" s="466"/>
      <c r="J107" s="467"/>
      <c r="K107" s="466"/>
    </row>
    <row r="108" spans="1:12" ht="12.75" customHeight="1" thickBot="1" x14ac:dyDescent="0.25">
      <c r="A108" s="1703" t="s">
        <v>487</v>
      </c>
      <c r="B108" s="1707"/>
      <c r="C108" s="1702">
        <f>SUM(C95:C107)</f>
        <v>761530</v>
      </c>
      <c r="D108" s="1702">
        <f t="shared" ref="D108:K108" si="3">SUM(D95:D107)</f>
        <v>50225</v>
      </c>
      <c r="E108" s="1702">
        <f t="shared" si="3"/>
        <v>0</v>
      </c>
      <c r="F108" s="1702">
        <f t="shared" si="3"/>
        <v>0</v>
      </c>
      <c r="G108" s="1702">
        <f t="shared" si="3"/>
        <v>0</v>
      </c>
      <c r="H108" s="1702">
        <f t="shared" si="3"/>
        <v>0</v>
      </c>
      <c r="I108" s="1702">
        <f t="shared" si="3"/>
        <v>0</v>
      </c>
      <c r="J108" s="1702">
        <f t="shared" si="3"/>
        <v>0</v>
      </c>
      <c r="K108" s="1683">
        <f t="shared" si="3"/>
        <v>0</v>
      </c>
    </row>
    <row r="109" spans="1:12" ht="14.25" thickTop="1" thickBot="1" x14ac:dyDescent="0.25">
      <c r="A109" s="1708" t="s">
        <v>248</v>
      </c>
      <c r="B109" s="1709" t="s">
        <v>570</v>
      </c>
      <c r="C109" s="1710">
        <f t="shared" ref="C109:K109" si="4">SUM(C12,C18,C40,C63,C67,C75,C82,C93,C108,)</f>
        <v>16076787</v>
      </c>
      <c r="D109" s="1710">
        <f t="shared" si="4"/>
        <v>1996226</v>
      </c>
      <c r="E109" s="1710">
        <f t="shared" si="4"/>
        <v>425728</v>
      </c>
      <c r="F109" s="1710">
        <f t="shared" si="4"/>
        <v>1086434</v>
      </c>
      <c r="G109" s="1710">
        <f t="shared" si="4"/>
        <v>831320</v>
      </c>
      <c r="H109" s="1710">
        <f t="shared" si="4"/>
        <v>0</v>
      </c>
      <c r="I109" s="1710">
        <f t="shared" si="4"/>
        <v>421370</v>
      </c>
      <c r="J109" s="1710">
        <f t="shared" si="4"/>
        <v>0</v>
      </c>
      <c r="K109" s="1697">
        <f t="shared" si="4"/>
        <v>303252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1" t="s">
        <v>806</v>
      </c>
      <c r="B114" s="1712" t="s">
        <v>569</v>
      </c>
      <c r="C114" s="1713">
        <f>SUM(C111:C113)</f>
        <v>0</v>
      </c>
      <c r="D114" s="1713">
        <f>SUM(D111:D113)</f>
        <v>0</v>
      </c>
      <c r="E114" s="561" t="s">
        <v>1169</v>
      </c>
      <c r="F114" s="1713">
        <f>SUM(F111:F113)</f>
        <v>0</v>
      </c>
      <c r="G114" s="1713">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10203346</v>
      </c>
      <c r="D117" s="481">
        <v>821339</v>
      </c>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4" t="s">
        <v>1930</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3" t="s">
        <v>488</v>
      </c>
      <c r="B122" s="1714"/>
      <c r="C122" s="1702">
        <f t="shared" ref="C122:H122" si="5">SUM(C117:C121)</f>
        <v>10203346</v>
      </c>
      <c r="D122" s="1702">
        <f t="shared" si="5"/>
        <v>821339</v>
      </c>
      <c r="E122" s="1702">
        <f t="shared" si="5"/>
        <v>0</v>
      </c>
      <c r="F122" s="1702">
        <f t="shared" si="5"/>
        <v>0</v>
      </c>
      <c r="G122" s="1702">
        <f t="shared" si="5"/>
        <v>0</v>
      </c>
      <c r="H122" s="1702">
        <f t="shared" si="5"/>
        <v>0</v>
      </c>
      <c r="I122" s="468"/>
      <c r="J122" s="1702">
        <f>SUM(J117:J121)</f>
        <v>0</v>
      </c>
      <c r="K122" s="1683">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349663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66047</v>
      </c>
      <c r="D128" s="561"/>
      <c r="E128" s="468"/>
      <c r="F128" s="466"/>
      <c r="G128" s="468"/>
      <c r="H128" s="468"/>
      <c r="I128" s="468"/>
      <c r="J128" s="468"/>
      <c r="K128" s="468"/>
    </row>
    <row r="129" spans="1:11" ht="12.75" customHeight="1" x14ac:dyDescent="0.2">
      <c r="A129" s="463" t="s">
        <v>1447</v>
      </c>
      <c r="B129" s="562">
        <v>3130</v>
      </c>
      <c r="C129" s="466">
        <v>4889</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3" t="s">
        <v>1032</v>
      </c>
      <c r="B132" s="1715"/>
      <c r="C132" s="1702">
        <f>SUM(C125:C131)</f>
        <v>420599</v>
      </c>
      <c r="D132" s="1702">
        <f>SUM(D125:D131)</f>
        <v>0</v>
      </c>
      <c r="E132" s="469" t="s">
        <v>1169</v>
      </c>
      <c r="F132" s="1702">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3" t="s">
        <v>603</v>
      </c>
      <c r="B141" s="1715"/>
      <c r="C141" s="1702">
        <f>SUM(C134:C140)</f>
        <v>0</v>
      </c>
      <c r="D141" s="1702">
        <f>SUM(D134:D140)</f>
        <v>0</v>
      </c>
      <c r="E141" s="561" t="s">
        <v>1169</v>
      </c>
      <c r="F141" s="477"/>
      <c r="G141" s="1702">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3" t="s">
        <v>396</v>
      </c>
      <c r="B145" s="1715"/>
      <c r="C145" s="1683">
        <f>SUM(C143:C144)</f>
        <v>0</v>
      </c>
      <c r="D145" s="468"/>
      <c r="E145" s="509"/>
      <c r="F145" s="468"/>
      <c r="G145" s="1716">
        <f>SUM(G143:G144)</f>
        <v>0</v>
      </c>
      <c r="H145" s="468"/>
      <c r="I145" s="468"/>
      <c r="J145" s="468"/>
      <c r="K145" s="468"/>
    </row>
    <row r="146" spans="1:11" s="202" customFormat="1" ht="12.75" customHeight="1" thickTop="1" x14ac:dyDescent="0.2">
      <c r="A146" s="1498" t="s">
        <v>1056</v>
      </c>
      <c r="B146" s="568">
        <v>3360</v>
      </c>
      <c r="C146" s="569">
        <v>36694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801281</v>
      </c>
      <c r="G152" s="467"/>
      <c r="H152" s="468"/>
      <c r="I152" s="468"/>
      <c r="J152" s="468"/>
      <c r="K152" s="468"/>
    </row>
    <row r="153" spans="1:11" ht="12.75" customHeight="1" x14ac:dyDescent="0.2">
      <c r="A153" s="463" t="s">
        <v>1057</v>
      </c>
      <c r="B153" s="562">
        <v>3510</v>
      </c>
      <c r="C153" s="551"/>
      <c r="D153" s="466"/>
      <c r="E153" s="561"/>
      <c r="F153" s="466">
        <v>879010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3" t="s">
        <v>94</v>
      </c>
      <c r="B155" s="1715"/>
      <c r="C155" s="1702">
        <f>SUM(C152:C154)</f>
        <v>0</v>
      </c>
      <c r="D155" s="1702">
        <f>SUM(D152:D154)</f>
        <v>0</v>
      </c>
      <c r="E155" s="561"/>
      <c r="F155" s="1702">
        <f>SUM(F152:F154)</f>
        <v>1680291</v>
      </c>
      <c r="G155" s="1702">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902792</v>
      </c>
      <c r="D159" s="578"/>
      <c r="E159" s="561"/>
      <c r="F159" s="576">
        <v>119096</v>
      </c>
      <c r="G159" s="576">
        <v>45615</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2" t="s">
        <v>398</v>
      </c>
      <c r="B169" s="2153"/>
      <c r="C169" s="1717">
        <f t="shared" ref="C169:K169" si="6">SUM(C132,C141,C145,C146:C150,C155,C156:C167,C168)</f>
        <v>1360085</v>
      </c>
      <c r="D169" s="1717">
        <f t="shared" si="6"/>
        <v>0</v>
      </c>
      <c r="E169" s="1717">
        <f t="shared" si="6"/>
        <v>0</v>
      </c>
      <c r="F169" s="1717">
        <f t="shared" si="6"/>
        <v>1799387</v>
      </c>
      <c r="G169" s="1717">
        <f t="shared" si="6"/>
        <v>45615</v>
      </c>
      <c r="H169" s="1717">
        <f t="shared" si="6"/>
        <v>0</v>
      </c>
      <c r="I169" s="1717">
        <f t="shared" si="6"/>
        <v>0</v>
      </c>
      <c r="J169" s="1717">
        <f t="shared" si="6"/>
        <v>0</v>
      </c>
      <c r="K169" s="1698">
        <f t="shared" si="6"/>
        <v>0</v>
      </c>
    </row>
    <row r="170" spans="1:11" ht="12.75" customHeight="1" thickTop="1" thickBot="1" x14ac:dyDescent="0.25">
      <c r="A170" s="1703" t="s">
        <v>399</v>
      </c>
      <c r="B170" s="1709" t="s">
        <v>575</v>
      </c>
      <c r="C170" s="1710">
        <f t="shared" ref="C170:K170" si="7">SUM(C122,C169)</f>
        <v>11563431</v>
      </c>
      <c r="D170" s="1710">
        <f t="shared" si="7"/>
        <v>821339</v>
      </c>
      <c r="E170" s="1710">
        <f t="shared" si="7"/>
        <v>0</v>
      </c>
      <c r="F170" s="1710">
        <f t="shared" si="7"/>
        <v>1799387</v>
      </c>
      <c r="G170" s="1710">
        <f t="shared" si="7"/>
        <v>45615</v>
      </c>
      <c r="H170" s="1710">
        <f t="shared" si="7"/>
        <v>0</v>
      </c>
      <c r="I170" s="1710">
        <f t="shared" si="7"/>
        <v>0</v>
      </c>
      <c r="J170" s="1710">
        <f t="shared" si="7"/>
        <v>0</v>
      </c>
      <c r="K170" s="1697">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1665</v>
      </c>
      <c r="B175" s="2159"/>
      <c r="C175" s="1702">
        <f>SUM(C173:C174)</f>
        <v>0</v>
      </c>
      <c r="D175" s="1702">
        <f t="shared" ref="D175:K175" si="8">SUM(D173:D174)</f>
        <v>0</v>
      </c>
      <c r="E175" s="1702">
        <f t="shared" si="8"/>
        <v>0</v>
      </c>
      <c r="F175" s="1702">
        <f t="shared" si="8"/>
        <v>0</v>
      </c>
      <c r="G175" s="1702">
        <f t="shared" si="8"/>
        <v>0</v>
      </c>
      <c r="H175" s="1702">
        <f t="shared" si="8"/>
        <v>0</v>
      </c>
      <c r="I175" s="1702">
        <f t="shared" si="8"/>
        <v>0</v>
      </c>
      <c r="J175" s="1702">
        <f t="shared" si="8"/>
        <v>0</v>
      </c>
      <c r="K175" s="1683">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2">
        <f>SUM(C177:C180)</f>
        <v>0</v>
      </c>
      <c r="D181" s="1702">
        <f>SUM(D177:D180)</f>
        <v>0</v>
      </c>
      <c r="E181" s="468"/>
      <c r="F181" s="1702">
        <f>SUM(F177:F180)</f>
        <v>0</v>
      </c>
      <c r="G181" s="1702">
        <f>SUM(G177:G180)</f>
        <v>0</v>
      </c>
      <c r="H181" s="1702">
        <f>SUM(H177:H180)</f>
        <v>0</v>
      </c>
      <c r="I181" s="468"/>
      <c r="J181" s="468"/>
      <c r="K181" s="1683">
        <f>SUM(K177:K180)</f>
        <v>0</v>
      </c>
    </row>
    <row r="182" spans="1:11" ht="22.5" customHeight="1" thickTop="1" x14ac:dyDescent="0.2">
      <c r="A182" s="2156" t="s">
        <v>1800</v>
      </c>
      <c r="B182" s="215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3" t="s">
        <v>1607</v>
      </c>
      <c r="B188" s="1704"/>
      <c r="C188" s="1702">
        <f>SUM(C184:C187)</f>
        <v>0</v>
      </c>
      <c r="D188" s="1702">
        <f>SUM(D184:D187)</f>
        <v>0</v>
      </c>
      <c r="E188" s="561"/>
      <c r="F188" s="1702">
        <f>SUM(F184:F187)</f>
        <v>0</v>
      </c>
      <c r="G188" s="1702">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1313647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451268</v>
      </c>
      <c r="D193" s="468"/>
      <c r="E193" s="561"/>
      <c r="F193" s="468"/>
      <c r="G193" s="585"/>
      <c r="H193" s="468"/>
      <c r="I193" s="468"/>
      <c r="J193" s="468"/>
      <c r="K193" s="468"/>
    </row>
    <row r="194" spans="1:11" ht="12.75" customHeight="1" x14ac:dyDescent="0.2">
      <c r="A194" s="463" t="s">
        <v>1451</v>
      </c>
      <c r="B194" s="470">
        <v>4225</v>
      </c>
      <c r="C194" s="551">
        <v>7407</v>
      </c>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3" t="s">
        <v>548</v>
      </c>
      <c r="B198" s="1704"/>
      <c r="C198" s="1683">
        <f>SUM(C190:C197)</f>
        <v>1772322</v>
      </c>
      <c r="D198" s="468"/>
      <c r="E198" s="468"/>
      <c r="F198" s="468"/>
      <c r="G198" s="1683">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819759</v>
      </c>
      <c r="D200" s="466"/>
      <c r="E200" s="468"/>
      <c r="F200" s="466"/>
      <c r="G200" s="466">
        <v>21950</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3" t="s">
        <v>400</v>
      </c>
      <c r="B204" s="1704"/>
      <c r="C204" s="1702">
        <f>SUM(C200:C203)</f>
        <v>819759</v>
      </c>
      <c r="D204" s="1702">
        <f>SUM(D200:D203)</f>
        <v>0</v>
      </c>
      <c r="E204" s="468"/>
      <c r="F204" s="1702">
        <f>SUM(F200:F203)</f>
        <v>0</v>
      </c>
      <c r="G204" s="1702">
        <f>SUM(G200:G203)</f>
        <v>21950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3" t="s">
        <v>889</v>
      </c>
      <c r="B209" s="1704"/>
      <c r="C209" s="1702">
        <f>SUM(C206:C208)</f>
        <v>0</v>
      </c>
      <c r="D209" s="1702">
        <f>SUM(D206:D208)</f>
        <v>0</v>
      </c>
      <c r="E209" s="468" t="s">
        <v>1169</v>
      </c>
      <c r="F209" s="1702">
        <f>SUM(F206:F208)</f>
        <v>0</v>
      </c>
      <c r="G209" s="1702">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93901</v>
      </c>
      <c r="D211" s="466"/>
      <c r="E211" s="468"/>
      <c r="F211" s="466"/>
      <c r="G211" s="466">
        <v>15700</v>
      </c>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430074</v>
      </c>
      <c r="D213" s="466"/>
      <c r="E213" s="468"/>
      <c r="F213" s="466"/>
      <c r="G213" s="466">
        <v>63984</v>
      </c>
      <c r="H213" s="468"/>
      <c r="I213" s="468"/>
      <c r="J213" s="468"/>
      <c r="K213" s="468"/>
    </row>
    <row r="214" spans="1:11" ht="12.75" customHeight="1" x14ac:dyDescent="0.2">
      <c r="A214" s="463" t="s">
        <v>1054</v>
      </c>
      <c r="B214" s="470">
        <v>4625</v>
      </c>
      <c r="C214" s="551">
        <v>7228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3" t="s">
        <v>447</v>
      </c>
      <c r="B217" s="1704"/>
      <c r="C217" s="1702">
        <f>SUM(C211:C216)</f>
        <v>531203</v>
      </c>
      <c r="D217" s="1702">
        <f>SUM(D211:D216)</f>
        <v>0</v>
      </c>
      <c r="E217" s="468"/>
      <c r="F217" s="1702">
        <f>SUM(F211:F216)</f>
        <v>0</v>
      </c>
      <c r="G217" s="1702">
        <f>SUM(G211:G216)</f>
        <v>79684</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8" t="s">
        <v>1085</v>
      </c>
      <c r="B221" s="1719"/>
      <c r="C221" s="1702">
        <f>SUM(C219:C220)</f>
        <v>0</v>
      </c>
      <c r="D221" s="1702">
        <f>SUM(D219:D220)</f>
        <v>0</v>
      </c>
      <c r="E221" s="468"/>
      <c r="F221" s="468"/>
      <c r="G221" s="1702">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v>77027</v>
      </c>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0" t="s">
        <v>774</v>
      </c>
      <c r="B252" s="1721"/>
      <c r="C252" s="1713">
        <f t="shared" ref="C252:H252" si="9">SUM(C223:C251)</f>
        <v>0</v>
      </c>
      <c r="D252" s="1702">
        <f t="shared" si="9"/>
        <v>0</v>
      </c>
      <c r="E252" s="1702">
        <f t="shared" si="9"/>
        <v>77027</v>
      </c>
      <c r="F252" s="1702">
        <f t="shared" si="9"/>
        <v>0</v>
      </c>
      <c r="G252" s="1702">
        <f t="shared" si="9"/>
        <v>0</v>
      </c>
      <c r="H252" s="1702">
        <f t="shared" si="9"/>
        <v>0</v>
      </c>
      <c r="I252" s="553"/>
      <c r="J252" s="1702">
        <f>SUM(J223:J251)</f>
        <v>0</v>
      </c>
      <c r="K252" s="1683">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129960</v>
      </c>
      <c r="D259" s="576"/>
      <c r="E259" s="468"/>
      <c r="F259" s="576"/>
      <c r="G259" s="576">
        <v>1292</v>
      </c>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4" t="s">
        <v>1931</v>
      </c>
      <c r="B261" s="470">
        <v>4981</v>
      </c>
      <c r="C261" s="575"/>
      <c r="D261" s="576"/>
      <c r="E261" s="468"/>
      <c r="F261" s="576"/>
      <c r="G261" s="576"/>
      <c r="H261" s="468"/>
      <c r="I261" s="468"/>
      <c r="J261" s="468"/>
      <c r="K261" s="468"/>
    </row>
    <row r="262" spans="1:11" ht="12.75" customHeight="1" thickTop="1" thickBot="1" x14ac:dyDescent="0.25">
      <c r="A262" s="1925" t="s">
        <v>1932</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131056</v>
      </c>
      <c r="D263" s="576"/>
      <c r="E263" s="468"/>
      <c r="F263" s="576"/>
      <c r="G263" s="576"/>
      <c r="H263" s="468"/>
      <c r="I263" s="468"/>
      <c r="J263" s="468"/>
      <c r="K263" s="468"/>
    </row>
    <row r="264" spans="1:11" ht="12.75" customHeight="1" thickTop="1" thickBot="1" x14ac:dyDescent="0.25">
      <c r="A264" s="463" t="s">
        <v>377</v>
      </c>
      <c r="B264" s="470">
        <v>4992</v>
      </c>
      <c r="C264" s="575">
        <v>337419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3" t="s">
        <v>1666</v>
      </c>
      <c r="B266" s="1722"/>
      <c r="C266" s="1710">
        <f t="shared" ref="C266:H266" si="10">SUM(C188,C198,C204,C209,C217,C221,C222,C252:C265)</f>
        <v>3721719</v>
      </c>
      <c r="D266" s="1710">
        <f t="shared" si="10"/>
        <v>0</v>
      </c>
      <c r="E266" s="1710">
        <f t="shared" si="10"/>
        <v>77027</v>
      </c>
      <c r="F266" s="1710">
        <f t="shared" si="10"/>
        <v>0</v>
      </c>
      <c r="G266" s="1710">
        <f t="shared" si="10"/>
        <v>102926</v>
      </c>
      <c r="H266" s="1710">
        <f t="shared" si="10"/>
        <v>0</v>
      </c>
      <c r="I266" s="468"/>
      <c r="J266" s="1710">
        <f>SUM(J188,J198,J204,J209,J217,J221,J222,J252:J265)</f>
        <v>0</v>
      </c>
      <c r="K266" s="1697">
        <f>SUM(K188,K198,K204,K209,K217,K221,K222,K252:K265)</f>
        <v>0</v>
      </c>
    </row>
    <row r="267" spans="1:11" ht="14.25" thickTop="1" thickBot="1" x14ac:dyDescent="0.25">
      <c r="A267" s="1723" t="s">
        <v>1086</v>
      </c>
      <c r="B267" s="1724" t="s">
        <v>860</v>
      </c>
      <c r="C267" s="1710">
        <f>SUM(C175,C181,C266)</f>
        <v>3721719</v>
      </c>
      <c r="D267" s="1710">
        <f>SUM(D175,D181,D266)</f>
        <v>0</v>
      </c>
      <c r="E267" s="1710">
        <f>SUM(E175,E266)</f>
        <v>77027</v>
      </c>
      <c r="F267" s="1710">
        <f t="shared" ref="F267:K267" si="11">SUM(F175,F181,F266)</f>
        <v>0</v>
      </c>
      <c r="G267" s="1710">
        <f t="shared" si="11"/>
        <v>102926</v>
      </c>
      <c r="H267" s="1710">
        <f t="shared" si="11"/>
        <v>0</v>
      </c>
      <c r="I267" s="1710">
        <f t="shared" si="11"/>
        <v>0</v>
      </c>
      <c r="J267" s="1710">
        <f t="shared" si="11"/>
        <v>0</v>
      </c>
      <c r="K267" s="1697">
        <f t="shared" si="11"/>
        <v>0</v>
      </c>
    </row>
    <row r="268" spans="1:11" ht="14.25" thickTop="1" thickBot="1" x14ac:dyDescent="0.25">
      <c r="A268" s="1725" t="s">
        <v>251</v>
      </c>
      <c r="B268" s="1726"/>
      <c r="C268" s="1710">
        <f t="shared" ref="C268:K268" si="12">SUM(C109,C114,C170,C267)</f>
        <v>31361937</v>
      </c>
      <c r="D268" s="1710">
        <f t="shared" si="12"/>
        <v>2817565</v>
      </c>
      <c r="E268" s="1710">
        <f t="shared" si="12"/>
        <v>502755</v>
      </c>
      <c r="F268" s="1710">
        <f t="shared" si="12"/>
        <v>2885821</v>
      </c>
      <c r="G268" s="1710">
        <f t="shared" si="12"/>
        <v>979861</v>
      </c>
      <c r="H268" s="1710">
        <f t="shared" si="12"/>
        <v>0</v>
      </c>
      <c r="I268" s="1710">
        <f t="shared" si="12"/>
        <v>421370</v>
      </c>
      <c r="J268" s="1710">
        <f t="shared" si="12"/>
        <v>0</v>
      </c>
      <c r="K268" s="1697">
        <f t="shared" si="12"/>
        <v>303252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6" activePane="bottomLeft" state="frozen"/>
      <selection activeCell="P16" sqref="P16"/>
      <selection pane="bottomLeft" activeCell="P16" sqref="P1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2" t="s">
        <v>297</v>
      </c>
      <c r="B3" s="217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10175373</v>
      </c>
      <c r="D5" s="466">
        <v>1218033</v>
      </c>
      <c r="E5" s="466">
        <v>134027</v>
      </c>
      <c r="F5" s="466">
        <v>555617</v>
      </c>
      <c r="G5" s="466">
        <v>610</v>
      </c>
      <c r="H5" s="466"/>
      <c r="I5" s="467"/>
      <c r="J5" s="467"/>
      <c r="K5" s="1666">
        <f>SUM(C5:J5)</f>
        <v>12083660</v>
      </c>
      <c r="L5" s="466">
        <v>14271737</v>
      </c>
    </row>
    <row r="6" spans="1:14" x14ac:dyDescent="0.2">
      <c r="A6" s="1504" t="s">
        <v>1433</v>
      </c>
      <c r="B6" s="614" t="s">
        <v>1431</v>
      </c>
      <c r="C6" s="477"/>
      <c r="D6" s="477"/>
      <c r="E6" s="466"/>
      <c r="F6" s="477"/>
      <c r="G6" s="477"/>
      <c r="H6" s="477"/>
      <c r="I6" s="477"/>
      <c r="J6" s="477"/>
      <c r="K6" s="1666">
        <f>SUM(C6,E6)</f>
        <v>0</v>
      </c>
      <c r="L6" s="466"/>
    </row>
    <row r="7" spans="1:14" x14ac:dyDescent="0.2">
      <c r="A7" s="1504" t="s">
        <v>163</v>
      </c>
      <c r="B7" s="614" t="s">
        <v>967</v>
      </c>
      <c r="C7" s="467">
        <v>397555</v>
      </c>
      <c r="D7" s="467">
        <v>96571</v>
      </c>
      <c r="E7" s="467"/>
      <c r="F7" s="467"/>
      <c r="G7" s="467"/>
      <c r="H7" s="467"/>
      <c r="I7" s="467"/>
      <c r="J7" s="467"/>
      <c r="K7" s="1666">
        <f t="shared" ref="K7:K32" si="0">SUM(C7:J7)</f>
        <v>494126</v>
      </c>
      <c r="L7" s="466">
        <v>513669</v>
      </c>
    </row>
    <row r="8" spans="1:14" x14ac:dyDescent="0.2">
      <c r="A8" s="1504" t="s">
        <v>164</v>
      </c>
      <c r="B8" s="614">
        <v>1200</v>
      </c>
      <c r="C8" s="466">
        <v>3307819</v>
      </c>
      <c r="D8" s="466">
        <v>606713</v>
      </c>
      <c r="E8" s="466">
        <v>795</v>
      </c>
      <c r="F8" s="466">
        <v>7021</v>
      </c>
      <c r="G8" s="466"/>
      <c r="H8" s="466"/>
      <c r="I8" s="467"/>
      <c r="J8" s="467"/>
      <c r="K8" s="1666">
        <f t="shared" si="0"/>
        <v>3922348</v>
      </c>
      <c r="L8" s="466">
        <v>3926754</v>
      </c>
    </row>
    <row r="9" spans="1:14" x14ac:dyDescent="0.2">
      <c r="A9" s="1504" t="s">
        <v>721</v>
      </c>
      <c r="B9" s="614" t="s">
        <v>968</v>
      </c>
      <c r="C9" s="467">
        <v>344567</v>
      </c>
      <c r="D9" s="467">
        <v>73930</v>
      </c>
      <c r="E9" s="467"/>
      <c r="F9" s="467"/>
      <c r="G9" s="467"/>
      <c r="H9" s="467"/>
      <c r="I9" s="467"/>
      <c r="J9" s="467"/>
      <c r="K9" s="1666">
        <f t="shared" si="0"/>
        <v>418497</v>
      </c>
      <c r="L9" s="466">
        <v>422856</v>
      </c>
    </row>
    <row r="10" spans="1:14" x14ac:dyDescent="0.2">
      <c r="A10" s="1504" t="s">
        <v>722</v>
      </c>
      <c r="B10" s="614">
        <v>1250</v>
      </c>
      <c r="C10" s="466">
        <v>438047</v>
      </c>
      <c r="D10" s="466">
        <v>120293</v>
      </c>
      <c r="E10" s="466"/>
      <c r="F10" s="466"/>
      <c r="G10" s="466"/>
      <c r="H10" s="466"/>
      <c r="I10" s="467"/>
      <c r="J10" s="467"/>
      <c r="K10" s="1666">
        <f t="shared" si="0"/>
        <v>558340</v>
      </c>
      <c r="L10" s="466"/>
    </row>
    <row r="11" spans="1:14" x14ac:dyDescent="0.2">
      <c r="A11" s="1504" t="s">
        <v>1130</v>
      </c>
      <c r="B11" s="614" t="s">
        <v>161</v>
      </c>
      <c r="C11" s="467"/>
      <c r="D11" s="467"/>
      <c r="E11" s="467"/>
      <c r="F11" s="467"/>
      <c r="G11" s="467"/>
      <c r="H11" s="467"/>
      <c r="I11" s="467"/>
      <c r="J11" s="467"/>
      <c r="K11" s="1666">
        <f t="shared" si="0"/>
        <v>0</v>
      </c>
      <c r="L11" s="466"/>
    </row>
    <row r="12" spans="1:14" x14ac:dyDescent="0.2">
      <c r="A12" s="1504" t="s">
        <v>962</v>
      </c>
      <c r="B12" s="614">
        <v>1300</v>
      </c>
      <c r="C12" s="466"/>
      <c r="D12" s="466"/>
      <c r="E12" s="466"/>
      <c r="F12" s="466"/>
      <c r="G12" s="466"/>
      <c r="H12" s="466"/>
      <c r="I12" s="467"/>
      <c r="J12" s="467"/>
      <c r="K12" s="1666">
        <f t="shared" si="0"/>
        <v>0</v>
      </c>
      <c r="L12" s="466"/>
    </row>
    <row r="13" spans="1:14" x14ac:dyDescent="0.2">
      <c r="A13" s="1504" t="s">
        <v>723</v>
      </c>
      <c r="B13" s="614">
        <v>1400</v>
      </c>
      <c r="C13" s="466"/>
      <c r="D13" s="466"/>
      <c r="E13" s="466"/>
      <c r="F13" s="466"/>
      <c r="G13" s="466"/>
      <c r="H13" s="466"/>
      <c r="I13" s="467"/>
      <c r="J13" s="467"/>
      <c r="K13" s="1666">
        <f t="shared" si="0"/>
        <v>0</v>
      </c>
      <c r="L13" s="466"/>
    </row>
    <row r="14" spans="1:14" x14ac:dyDescent="0.2">
      <c r="A14" s="1504" t="s">
        <v>963</v>
      </c>
      <c r="B14" s="614">
        <v>1500</v>
      </c>
      <c r="C14" s="466">
        <v>328772</v>
      </c>
      <c r="D14" s="466">
        <v>39259</v>
      </c>
      <c r="E14" s="466">
        <v>20714</v>
      </c>
      <c r="F14" s="466">
        <v>25325</v>
      </c>
      <c r="G14" s="466"/>
      <c r="H14" s="466"/>
      <c r="I14" s="467"/>
      <c r="J14" s="467"/>
      <c r="K14" s="1666">
        <f t="shared" si="0"/>
        <v>414070</v>
      </c>
      <c r="L14" s="466">
        <v>390723</v>
      </c>
    </row>
    <row r="15" spans="1:14" x14ac:dyDescent="0.2">
      <c r="A15" s="1504" t="s">
        <v>964</v>
      </c>
      <c r="B15" s="614">
        <v>1600</v>
      </c>
      <c r="C15" s="466"/>
      <c r="D15" s="466"/>
      <c r="E15" s="466"/>
      <c r="F15" s="466"/>
      <c r="G15" s="466"/>
      <c r="H15" s="466"/>
      <c r="I15" s="467"/>
      <c r="J15" s="467"/>
      <c r="K15" s="1666">
        <f t="shared" si="0"/>
        <v>0</v>
      </c>
      <c r="L15" s="466"/>
    </row>
    <row r="16" spans="1:14" x14ac:dyDescent="0.2">
      <c r="A16" s="1504" t="s">
        <v>987</v>
      </c>
      <c r="B16" s="614" t="s">
        <v>424</v>
      </c>
      <c r="C16" s="466"/>
      <c r="D16" s="466"/>
      <c r="E16" s="466"/>
      <c r="F16" s="466"/>
      <c r="G16" s="466"/>
      <c r="H16" s="466"/>
      <c r="I16" s="467"/>
      <c r="J16" s="467"/>
      <c r="K16" s="1666">
        <f t="shared" si="0"/>
        <v>0</v>
      </c>
      <c r="L16" s="466"/>
    </row>
    <row r="17" spans="1:12" x14ac:dyDescent="0.2">
      <c r="A17" s="1504" t="s">
        <v>724</v>
      </c>
      <c r="B17" s="614" t="s">
        <v>162</v>
      </c>
      <c r="C17" s="467"/>
      <c r="D17" s="467"/>
      <c r="E17" s="467"/>
      <c r="F17" s="467"/>
      <c r="G17" s="467"/>
      <c r="H17" s="467"/>
      <c r="I17" s="467"/>
      <c r="J17" s="467"/>
      <c r="K17" s="1666">
        <f t="shared" si="0"/>
        <v>0</v>
      </c>
      <c r="L17" s="466"/>
    </row>
    <row r="18" spans="1:12" x14ac:dyDescent="0.2">
      <c r="A18" s="1504" t="s">
        <v>1087</v>
      </c>
      <c r="B18" s="614">
        <v>1800</v>
      </c>
      <c r="C18" s="466"/>
      <c r="D18" s="466"/>
      <c r="E18" s="466"/>
      <c r="F18" s="466"/>
      <c r="G18" s="466"/>
      <c r="H18" s="466"/>
      <c r="I18" s="467"/>
      <c r="J18" s="467"/>
      <c r="K18" s="1666">
        <f t="shared" si="0"/>
        <v>0</v>
      </c>
      <c r="L18" s="466"/>
    </row>
    <row r="19" spans="1:12" x14ac:dyDescent="0.2">
      <c r="A19" s="1504" t="s">
        <v>134</v>
      </c>
      <c r="B19" s="614">
        <v>1900</v>
      </c>
      <c r="C19" s="466"/>
      <c r="D19" s="466"/>
      <c r="E19" s="466"/>
      <c r="F19" s="466"/>
      <c r="G19" s="466"/>
      <c r="H19" s="466"/>
      <c r="I19" s="467"/>
      <c r="J19" s="467"/>
      <c r="K19" s="1666">
        <f t="shared" si="0"/>
        <v>0</v>
      </c>
      <c r="L19" s="466"/>
    </row>
    <row r="20" spans="1:12" x14ac:dyDescent="0.2">
      <c r="A20" s="1505" t="s">
        <v>738</v>
      </c>
      <c r="B20" s="602" t="s">
        <v>725</v>
      </c>
      <c r="C20" s="477"/>
      <c r="D20" s="477"/>
      <c r="E20" s="477"/>
      <c r="F20" s="477"/>
      <c r="G20" s="477"/>
      <c r="H20" s="474"/>
      <c r="I20" s="616"/>
      <c r="J20" s="475"/>
      <c r="K20" s="1666">
        <f t="shared" si="0"/>
        <v>0</v>
      </c>
      <c r="L20" s="471"/>
    </row>
    <row r="21" spans="1:12" x14ac:dyDescent="0.2">
      <c r="A21" s="1505" t="s">
        <v>739</v>
      </c>
      <c r="B21" s="602" t="s">
        <v>726</v>
      </c>
      <c r="C21" s="477"/>
      <c r="D21" s="477"/>
      <c r="E21" s="477"/>
      <c r="F21" s="477"/>
      <c r="G21" s="477"/>
      <c r="H21" s="474"/>
      <c r="I21" s="616"/>
      <c r="J21" s="477"/>
      <c r="K21" s="1666">
        <f t="shared" si="0"/>
        <v>0</v>
      </c>
      <c r="L21" s="471"/>
    </row>
    <row r="22" spans="1:12" x14ac:dyDescent="0.2">
      <c r="A22" s="1505" t="s">
        <v>740</v>
      </c>
      <c r="B22" s="602" t="s">
        <v>727</v>
      </c>
      <c r="C22" s="477"/>
      <c r="D22" s="477"/>
      <c r="E22" s="477"/>
      <c r="F22" s="477"/>
      <c r="G22" s="477"/>
      <c r="H22" s="474">
        <v>1108559</v>
      </c>
      <c r="I22" s="616"/>
      <c r="J22" s="477"/>
      <c r="K22" s="1666">
        <f t="shared" si="0"/>
        <v>1108559</v>
      </c>
      <c r="L22" s="471">
        <v>600000</v>
      </c>
    </row>
    <row r="23" spans="1:12" x14ac:dyDescent="0.2">
      <c r="A23" s="1505" t="s">
        <v>741</v>
      </c>
      <c r="B23" s="602" t="s">
        <v>728</v>
      </c>
      <c r="C23" s="477"/>
      <c r="D23" s="477"/>
      <c r="E23" s="477"/>
      <c r="F23" s="477"/>
      <c r="G23" s="477"/>
      <c r="H23" s="474"/>
      <c r="I23" s="616"/>
      <c r="J23" s="477"/>
      <c r="K23" s="1666">
        <f t="shared" si="0"/>
        <v>0</v>
      </c>
      <c r="L23" s="471"/>
    </row>
    <row r="24" spans="1:12" ht="12.75" customHeight="1" x14ac:dyDescent="0.2">
      <c r="A24" s="1505" t="s">
        <v>742</v>
      </c>
      <c r="B24" s="602" t="s">
        <v>729</v>
      </c>
      <c r="C24" s="477"/>
      <c r="D24" s="477"/>
      <c r="E24" s="477"/>
      <c r="F24" s="477"/>
      <c r="G24" s="477"/>
      <c r="H24" s="474"/>
      <c r="I24" s="616"/>
      <c r="J24" s="477"/>
      <c r="K24" s="1666">
        <f t="shared" si="0"/>
        <v>0</v>
      </c>
      <c r="L24" s="471"/>
    </row>
    <row r="25" spans="1:12" ht="12.75" customHeight="1" x14ac:dyDescent="0.2">
      <c r="A25" s="1505" t="s">
        <v>802</v>
      </c>
      <c r="B25" s="602" t="s">
        <v>730</v>
      </c>
      <c r="C25" s="477"/>
      <c r="D25" s="477"/>
      <c r="E25" s="477"/>
      <c r="F25" s="477"/>
      <c r="G25" s="477"/>
      <c r="H25" s="474"/>
      <c r="I25" s="616"/>
      <c r="J25" s="477"/>
      <c r="K25" s="1666">
        <f t="shared" si="0"/>
        <v>0</v>
      </c>
      <c r="L25" s="471"/>
    </row>
    <row r="26" spans="1:12" x14ac:dyDescent="0.2">
      <c r="A26" s="1505" t="s">
        <v>622</v>
      </c>
      <c r="B26" s="602" t="s">
        <v>731</v>
      </c>
      <c r="C26" s="477"/>
      <c r="D26" s="477"/>
      <c r="E26" s="477"/>
      <c r="F26" s="477"/>
      <c r="G26" s="477"/>
      <c r="H26" s="474"/>
      <c r="I26" s="616"/>
      <c r="J26" s="477"/>
      <c r="K26" s="1666">
        <f t="shared" si="0"/>
        <v>0</v>
      </c>
      <c r="L26" s="471"/>
    </row>
    <row r="27" spans="1:12" x14ac:dyDescent="0.2">
      <c r="A27" s="1505" t="s">
        <v>623</v>
      </c>
      <c r="B27" s="602" t="s">
        <v>732</v>
      </c>
      <c r="C27" s="477"/>
      <c r="D27" s="477"/>
      <c r="E27" s="477"/>
      <c r="F27" s="477"/>
      <c r="G27" s="477"/>
      <c r="H27" s="474"/>
      <c r="I27" s="616"/>
      <c r="J27" s="477"/>
      <c r="K27" s="1666">
        <f t="shared" si="0"/>
        <v>0</v>
      </c>
      <c r="L27" s="471"/>
    </row>
    <row r="28" spans="1:12" x14ac:dyDescent="0.2">
      <c r="A28" s="1505" t="s">
        <v>150</v>
      </c>
      <c r="B28" s="602" t="s">
        <v>733</v>
      </c>
      <c r="C28" s="477"/>
      <c r="D28" s="477"/>
      <c r="E28" s="477"/>
      <c r="F28" s="477"/>
      <c r="G28" s="477"/>
      <c r="H28" s="474"/>
      <c r="I28" s="616"/>
      <c r="J28" s="477"/>
      <c r="K28" s="1666">
        <f t="shared" si="0"/>
        <v>0</v>
      </c>
      <c r="L28" s="471"/>
    </row>
    <row r="29" spans="1:12" x14ac:dyDescent="0.2">
      <c r="A29" s="1505" t="s">
        <v>151</v>
      </c>
      <c r="B29" s="602" t="s">
        <v>734</v>
      </c>
      <c r="C29" s="477"/>
      <c r="D29" s="477"/>
      <c r="E29" s="477"/>
      <c r="F29" s="477"/>
      <c r="G29" s="477"/>
      <c r="H29" s="474"/>
      <c r="I29" s="616"/>
      <c r="J29" s="477"/>
      <c r="K29" s="1666">
        <f t="shared" si="0"/>
        <v>0</v>
      </c>
      <c r="L29" s="471"/>
    </row>
    <row r="30" spans="1:12" x14ac:dyDescent="0.2">
      <c r="A30" s="1505" t="s">
        <v>152</v>
      </c>
      <c r="B30" s="602" t="s">
        <v>735</v>
      </c>
      <c r="C30" s="477"/>
      <c r="D30" s="477"/>
      <c r="E30" s="477"/>
      <c r="F30" s="477"/>
      <c r="G30" s="477"/>
      <c r="H30" s="474"/>
      <c r="I30" s="616"/>
      <c r="J30" s="477"/>
      <c r="K30" s="1666">
        <f t="shared" si="0"/>
        <v>0</v>
      </c>
      <c r="L30" s="471"/>
    </row>
    <row r="31" spans="1:12" x14ac:dyDescent="0.2">
      <c r="A31" s="1505" t="s">
        <v>153</v>
      </c>
      <c r="B31" s="602" t="s">
        <v>736</v>
      </c>
      <c r="C31" s="477"/>
      <c r="D31" s="477"/>
      <c r="E31" s="477"/>
      <c r="F31" s="477"/>
      <c r="G31" s="477"/>
      <c r="H31" s="474"/>
      <c r="I31" s="616"/>
      <c r="J31" s="477"/>
      <c r="K31" s="1666">
        <f t="shared" si="0"/>
        <v>0</v>
      </c>
      <c r="L31" s="471"/>
    </row>
    <row r="32" spans="1:12" x14ac:dyDescent="0.2">
      <c r="A32" s="1506" t="s">
        <v>1129</v>
      </c>
      <c r="B32" s="614" t="s">
        <v>737</v>
      </c>
      <c r="C32" s="477"/>
      <c r="D32" s="477"/>
      <c r="E32" s="477"/>
      <c r="F32" s="477"/>
      <c r="G32" s="477"/>
      <c r="H32" s="474"/>
      <c r="I32" s="616"/>
      <c r="J32" s="480"/>
      <c r="K32" s="1666">
        <f t="shared" si="0"/>
        <v>0</v>
      </c>
      <c r="L32" s="471"/>
    </row>
    <row r="33" spans="1:14" ht="12.75" customHeight="1" thickBot="1" x14ac:dyDescent="0.25">
      <c r="A33" s="1663" t="s">
        <v>1668</v>
      </c>
      <c r="B33" s="1664" t="s">
        <v>570</v>
      </c>
      <c r="C33" s="1665">
        <f>SUM(C5:C32)</f>
        <v>14992133</v>
      </c>
      <c r="D33" s="1665">
        <f t="shared" ref="D33:L33" si="1">SUM(D5:D32)</f>
        <v>2154799</v>
      </c>
      <c r="E33" s="1665">
        <f t="shared" si="1"/>
        <v>155536</v>
      </c>
      <c r="F33" s="1665">
        <f t="shared" si="1"/>
        <v>587963</v>
      </c>
      <c r="G33" s="1665">
        <f t="shared" si="1"/>
        <v>610</v>
      </c>
      <c r="H33" s="1665">
        <f t="shared" si="1"/>
        <v>1108559</v>
      </c>
      <c r="I33" s="1665">
        <f t="shared" si="1"/>
        <v>0</v>
      </c>
      <c r="J33" s="1665">
        <f t="shared" si="1"/>
        <v>0</v>
      </c>
      <c r="K33" s="1665">
        <f t="shared" si="1"/>
        <v>18999600</v>
      </c>
      <c r="L33" s="1665">
        <f t="shared" si="1"/>
        <v>20125739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194850</v>
      </c>
      <c r="D36" s="481">
        <v>45123</v>
      </c>
      <c r="E36" s="481"/>
      <c r="F36" s="481">
        <v>2244</v>
      </c>
      <c r="G36" s="481"/>
      <c r="H36" s="481"/>
      <c r="I36" s="467"/>
      <c r="J36" s="467"/>
      <c r="K36" s="1666">
        <f t="shared" ref="K36:K41" si="2">SUM(C36:J36)</f>
        <v>242217</v>
      </c>
      <c r="L36" s="466">
        <v>251742</v>
      </c>
    </row>
    <row r="37" spans="1:14" x14ac:dyDescent="0.2">
      <c r="A37" s="1504" t="s">
        <v>1090</v>
      </c>
      <c r="B37" s="614">
        <v>2120</v>
      </c>
      <c r="C37" s="466">
        <v>383301</v>
      </c>
      <c r="D37" s="466">
        <v>64618</v>
      </c>
      <c r="E37" s="466">
        <v>189</v>
      </c>
      <c r="F37" s="466"/>
      <c r="G37" s="466"/>
      <c r="H37" s="466"/>
      <c r="I37" s="467"/>
      <c r="J37" s="467"/>
      <c r="K37" s="1666">
        <f t="shared" si="2"/>
        <v>448108</v>
      </c>
      <c r="L37" s="466">
        <v>452290</v>
      </c>
    </row>
    <row r="38" spans="1:14" x14ac:dyDescent="0.2">
      <c r="A38" s="1504" t="s">
        <v>198</v>
      </c>
      <c r="B38" s="614">
        <v>2130</v>
      </c>
      <c r="C38" s="466">
        <v>167662</v>
      </c>
      <c r="D38" s="466">
        <v>40931</v>
      </c>
      <c r="E38" s="466">
        <v>294780</v>
      </c>
      <c r="F38" s="466">
        <v>2526</v>
      </c>
      <c r="G38" s="466"/>
      <c r="H38" s="466"/>
      <c r="I38" s="467"/>
      <c r="J38" s="467"/>
      <c r="K38" s="1666">
        <f t="shared" si="2"/>
        <v>505899</v>
      </c>
      <c r="L38" s="466">
        <v>489395</v>
      </c>
    </row>
    <row r="39" spans="1:14" x14ac:dyDescent="0.2">
      <c r="A39" s="1504" t="s">
        <v>199</v>
      </c>
      <c r="B39" s="614">
        <v>2140</v>
      </c>
      <c r="C39" s="466">
        <v>145790</v>
      </c>
      <c r="D39" s="466">
        <v>23013</v>
      </c>
      <c r="E39" s="466"/>
      <c r="F39" s="466">
        <v>5428</v>
      </c>
      <c r="G39" s="466"/>
      <c r="H39" s="466"/>
      <c r="I39" s="467"/>
      <c r="J39" s="467"/>
      <c r="K39" s="1666">
        <f t="shared" si="2"/>
        <v>174231</v>
      </c>
      <c r="L39" s="466">
        <v>177862</v>
      </c>
    </row>
    <row r="40" spans="1:14" x14ac:dyDescent="0.2">
      <c r="A40" s="1504" t="s">
        <v>200</v>
      </c>
      <c r="B40" s="614">
        <v>2150</v>
      </c>
      <c r="C40" s="466">
        <v>679812</v>
      </c>
      <c r="D40" s="466">
        <v>116486</v>
      </c>
      <c r="E40" s="466">
        <v>545</v>
      </c>
      <c r="F40" s="466">
        <v>4394</v>
      </c>
      <c r="G40" s="466"/>
      <c r="H40" s="466"/>
      <c r="I40" s="467"/>
      <c r="J40" s="467"/>
      <c r="K40" s="1666">
        <f t="shared" si="2"/>
        <v>801237</v>
      </c>
      <c r="L40" s="466">
        <v>804982</v>
      </c>
    </row>
    <row r="41" spans="1:14" x14ac:dyDescent="0.2">
      <c r="A41" s="1504" t="s">
        <v>1669</v>
      </c>
      <c r="B41" s="614">
        <v>2190</v>
      </c>
      <c r="C41" s="466"/>
      <c r="D41" s="466"/>
      <c r="E41" s="466"/>
      <c r="F41" s="466">
        <v>1942</v>
      </c>
      <c r="G41" s="466"/>
      <c r="H41" s="466"/>
      <c r="I41" s="467"/>
      <c r="J41" s="467"/>
      <c r="K41" s="1666">
        <f t="shared" si="2"/>
        <v>1942</v>
      </c>
      <c r="L41" s="466">
        <v>3000</v>
      </c>
    </row>
    <row r="42" spans="1:14" ht="12.75" customHeight="1" thickBot="1" x14ac:dyDescent="0.25">
      <c r="A42" s="1663" t="s">
        <v>560</v>
      </c>
      <c r="B42" s="1664" t="s">
        <v>716</v>
      </c>
      <c r="C42" s="1665">
        <f>SUM(C36:C41)</f>
        <v>1571415</v>
      </c>
      <c r="D42" s="1665">
        <f t="shared" ref="D42:L42" si="3">SUM(D36:D41)</f>
        <v>290171</v>
      </c>
      <c r="E42" s="1665">
        <f t="shared" si="3"/>
        <v>295514</v>
      </c>
      <c r="F42" s="1665">
        <f t="shared" si="3"/>
        <v>16534</v>
      </c>
      <c r="G42" s="1665">
        <f t="shared" si="3"/>
        <v>0</v>
      </c>
      <c r="H42" s="1665">
        <f t="shared" si="3"/>
        <v>0</v>
      </c>
      <c r="I42" s="1665">
        <f t="shared" si="3"/>
        <v>0</v>
      </c>
      <c r="J42" s="1665">
        <f t="shared" si="3"/>
        <v>0</v>
      </c>
      <c r="K42" s="1665">
        <f t="shared" si="3"/>
        <v>2173634</v>
      </c>
      <c r="L42" s="1665">
        <f t="shared" si="3"/>
        <v>2179271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411412</v>
      </c>
      <c r="D44" s="481">
        <v>62966</v>
      </c>
      <c r="E44" s="481">
        <v>107701</v>
      </c>
      <c r="F44" s="481">
        <v>28801</v>
      </c>
      <c r="G44" s="481"/>
      <c r="H44" s="481">
        <v>821</v>
      </c>
      <c r="I44" s="467"/>
      <c r="J44" s="467"/>
      <c r="K44" s="1667">
        <f>SUM(C44:J44)</f>
        <v>611701</v>
      </c>
      <c r="L44" s="481">
        <v>704244</v>
      </c>
    </row>
    <row r="45" spans="1:14" x14ac:dyDescent="0.2">
      <c r="A45" s="1504" t="s">
        <v>815</v>
      </c>
      <c r="B45" s="614">
        <v>2220</v>
      </c>
      <c r="C45" s="466">
        <v>220983</v>
      </c>
      <c r="D45" s="466">
        <v>43904</v>
      </c>
      <c r="E45" s="466"/>
      <c r="F45" s="466"/>
      <c r="G45" s="466"/>
      <c r="H45" s="466"/>
      <c r="I45" s="467"/>
      <c r="J45" s="467"/>
      <c r="K45" s="1667">
        <f>SUM(C45:J45)</f>
        <v>264887</v>
      </c>
      <c r="L45" s="466">
        <v>266682</v>
      </c>
    </row>
    <row r="46" spans="1:14" x14ac:dyDescent="0.2">
      <c r="A46" s="1504" t="s">
        <v>816</v>
      </c>
      <c r="B46" s="614">
        <v>2230</v>
      </c>
      <c r="C46" s="466">
        <v>30737</v>
      </c>
      <c r="D46" s="466">
        <v>449</v>
      </c>
      <c r="E46" s="466">
        <v>58223</v>
      </c>
      <c r="F46" s="466">
        <v>310</v>
      </c>
      <c r="G46" s="466"/>
      <c r="H46" s="466"/>
      <c r="I46" s="467"/>
      <c r="J46" s="467"/>
      <c r="K46" s="1667">
        <f>SUM(C46:J46)</f>
        <v>89719</v>
      </c>
      <c r="L46" s="466">
        <v>93040</v>
      </c>
    </row>
    <row r="47" spans="1:14" ht="12.75" customHeight="1" thickBot="1" x14ac:dyDescent="0.25">
      <c r="A47" s="1663" t="s">
        <v>561</v>
      </c>
      <c r="B47" s="1664" t="s">
        <v>32</v>
      </c>
      <c r="C47" s="1665">
        <f>SUM(C44:C46)</f>
        <v>663132</v>
      </c>
      <c r="D47" s="1665">
        <f t="shared" ref="D47:K47" si="4">SUM(D44:D46)</f>
        <v>107319</v>
      </c>
      <c r="E47" s="1665">
        <f t="shared" si="4"/>
        <v>165924</v>
      </c>
      <c r="F47" s="1665">
        <f t="shared" si="4"/>
        <v>29111</v>
      </c>
      <c r="G47" s="1665">
        <f t="shared" si="4"/>
        <v>0</v>
      </c>
      <c r="H47" s="1665">
        <f t="shared" si="4"/>
        <v>821</v>
      </c>
      <c r="I47" s="1665">
        <f t="shared" si="4"/>
        <v>0</v>
      </c>
      <c r="J47" s="1665">
        <f t="shared" si="4"/>
        <v>0</v>
      </c>
      <c r="K47" s="1665">
        <f t="shared" si="4"/>
        <v>966307</v>
      </c>
      <c r="L47" s="1665">
        <f>SUM(L44:L46)</f>
        <v>1063966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5000</v>
      </c>
      <c r="D49" s="481">
        <v>236</v>
      </c>
      <c r="E49" s="481">
        <v>32852</v>
      </c>
      <c r="F49" s="481">
        <v>1734</v>
      </c>
      <c r="G49" s="481"/>
      <c r="H49" s="481">
        <v>32085</v>
      </c>
      <c r="I49" s="467"/>
      <c r="J49" s="467"/>
      <c r="K49" s="1667">
        <f>SUM(C49:J49)</f>
        <v>71907</v>
      </c>
      <c r="L49" s="481">
        <v>105366</v>
      </c>
    </row>
    <row r="50" spans="1:14" x14ac:dyDescent="0.2">
      <c r="A50" s="1504" t="s">
        <v>818</v>
      </c>
      <c r="B50" s="614">
        <v>2320</v>
      </c>
      <c r="C50" s="466">
        <v>451830</v>
      </c>
      <c r="D50" s="466">
        <v>92765</v>
      </c>
      <c r="E50" s="466">
        <v>21197</v>
      </c>
      <c r="F50" s="466">
        <v>1084</v>
      </c>
      <c r="G50" s="466"/>
      <c r="H50" s="466">
        <v>3554</v>
      </c>
      <c r="I50" s="467"/>
      <c r="J50" s="467"/>
      <c r="K50" s="1667">
        <f>SUM(C50:J50)</f>
        <v>570430</v>
      </c>
      <c r="L50" s="466">
        <v>584342</v>
      </c>
    </row>
    <row r="51" spans="1:14" x14ac:dyDescent="0.2">
      <c r="A51" s="1504" t="s">
        <v>42</v>
      </c>
      <c r="B51" s="614">
        <v>2330</v>
      </c>
      <c r="C51" s="466">
        <v>318322</v>
      </c>
      <c r="D51" s="466">
        <v>44968</v>
      </c>
      <c r="E51" s="466">
        <v>136196</v>
      </c>
      <c r="F51" s="466">
        <v>12103</v>
      </c>
      <c r="G51" s="466"/>
      <c r="H51" s="466">
        <v>1000</v>
      </c>
      <c r="I51" s="467"/>
      <c r="J51" s="467"/>
      <c r="K51" s="1667">
        <f>SUM(C51:J51)</f>
        <v>512589</v>
      </c>
      <c r="L51" s="466">
        <v>428256</v>
      </c>
    </row>
    <row r="52" spans="1:14" ht="22.5" x14ac:dyDescent="0.2">
      <c r="A52" s="1505" t="s">
        <v>298</v>
      </c>
      <c r="B52" s="627" t="s">
        <v>366</v>
      </c>
      <c r="C52" s="474"/>
      <c r="D52" s="474"/>
      <c r="E52" s="474"/>
      <c r="F52" s="474"/>
      <c r="G52" s="474"/>
      <c r="H52" s="474"/>
      <c r="I52" s="474"/>
      <c r="J52" s="474"/>
      <c r="K52" s="1667">
        <f>SUM(C52:J52)</f>
        <v>0</v>
      </c>
      <c r="L52" s="474"/>
    </row>
    <row r="53" spans="1:14" ht="12.75" customHeight="1" thickBot="1" x14ac:dyDescent="0.25">
      <c r="A53" s="1663" t="s">
        <v>717</v>
      </c>
      <c r="B53" s="1664" t="s">
        <v>33</v>
      </c>
      <c r="C53" s="1665">
        <f>SUM(C49:C52)</f>
        <v>775152</v>
      </c>
      <c r="D53" s="1665">
        <f t="shared" ref="D53:L53" si="5">SUM(D49:D52)</f>
        <v>137969</v>
      </c>
      <c r="E53" s="1665">
        <f t="shared" si="5"/>
        <v>190245</v>
      </c>
      <c r="F53" s="1665">
        <f t="shared" si="5"/>
        <v>14921</v>
      </c>
      <c r="G53" s="1665">
        <f t="shared" si="5"/>
        <v>0</v>
      </c>
      <c r="H53" s="1665">
        <f t="shared" si="5"/>
        <v>36639</v>
      </c>
      <c r="I53" s="1665">
        <f t="shared" si="5"/>
        <v>0</v>
      </c>
      <c r="J53" s="1665">
        <f t="shared" si="5"/>
        <v>0</v>
      </c>
      <c r="K53" s="1665">
        <f t="shared" si="5"/>
        <v>1154926</v>
      </c>
      <c r="L53" s="1665">
        <f t="shared" si="5"/>
        <v>1117964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2145853</v>
      </c>
      <c r="D55" s="481">
        <v>371019</v>
      </c>
      <c r="E55" s="481">
        <v>283109</v>
      </c>
      <c r="F55" s="481">
        <v>9227</v>
      </c>
      <c r="G55" s="481"/>
      <c r="H55" s="481"/>
      <c r="I55" s="467"/>
      <c r="J55" s="467"/>
      <c r="K55" s="1667">
        <f>SUM(C55:J55)</f>
        <v>2809208</v>
      </c>
      <c r="L55" s="481">
        <v>2823046</v>
      </c>
    </row>
    <row r="56" spans="1:14" ht="12.75" customHeight="1" x14ac:dyDescent="0.2">
      <c r="A56" s="1508" t="s">
        <v>376</v>
      </c>
      <c r="B56" s="628">
        <v>2490</v>
      </c>
      <c r="C56" s="466"/>
      <c r="D56" s="466"/>
      <c r="E56" s="466"/>
      <c r="F56" s="466"/>
      <c r="G56" s="466"/>
      <c r="H56" s="466"/>
      <c r="I56" s="467"/>
      <c r="J56" s="467"/>
      <c r="K56" s="1667">
        <f>SUM(C56:J56)</f>
        <v>0</v>
      </c>
      <c r="L56" s="466"/>
    </row>
    <row r="57" spans="1:14" s="343" customFormat="1" ht="12.75" customHeight="1" thickBot="1" x14ac:dyDescent="0.25">
      <c r="A57" s="1663" t="s">
        <v>263</v>
      </c>
      <c r="B57" s="1668" t="s">
        <v>34</v>
      </c>
      <c r="C57" s="1669">
        <f>SUM(C55:C56)</f>
        <v>2145853</v>
      </c>
      <c r="D57" s="1669">
        <f t="shared" ref="D57:K57" si="6">SUM(D55:D56)</f>
        <v>371019</v>
      </c>
      <c r="E57" s="1669">
        <f t="shared" si="6"/>
        <v>283109</v>
      </c>
      <c r="F57" s="1669">
        <f t="shared" si="6"/>
        <v>9227</v>
      </c>
      <c r="G57" s="1669">
        <f t="shared" si="6"/>
        <v>0</v>
      </c>
      <c r="H57" s="1669">
        <f t="shared" si="6"/>
        <v>0</v>
      </c>
      <c r="I57" s="1669">
        <f t="shared" si="6"/>
        <v>0</v>
      </c>
      <c r="J57" s="1669">
        <f t="shared" si="6"/>
        <v>0</v>
      </c>
      <c r="K57" s="1669">
        <f t="shared" si="6"/>
        <v>2809208</v>
      </c>
      <c r="L57" s="1665">
        <f>SUM(L55:L56)</f>
        <v>2823046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106056</v>
      </c>
      <c r="D59" s="481">
        <v>14078</v>
      </c>
      <c r="E59" s="481">
        <v>11075</v>
      </c>
      <c r="F59" s="481">
        <v>7185</v>
      </c>
      <c r="G59" s="481"/>
      <c r="H59" s="481">
        <v>3024</v>
      </c>
      <c r="I59" s="467"/>
      <c r="J59" s="467"/>
      <c r="K59" s="1667">
        <f t="shared" ref="K59:K64" si="7">SUM(C59:J59)</f>
        <v>141418</v>
      </c>
      <c r="L59" s="481">
        <v>146128</v>
      </c>
      <c r="M59" s="609"/>
      <c r="N59" s="609"/>
    </row>
    <row r="60" spans="1:14" s="343" customFormat="1" x14ac:dyDescent="0.2">
      <c r="A60" s="1504" t="s">
        <v>463</v>
      </c>
      <c r="B60" s="614">
        <v>2520</v>
      </c>
      <c r="C60" s="466">
        <v>158831</v>
      </c>
      <c r="D60" s="466">
        <v>30217</v>
      </c>
      <c r="E60" s="466">
        <v>24943</v>
      </c>
      <c r="F60" s="466"/>
      <c r="G60" s="466"/>
      <c r="H60" s="466">
        <v>340</v>
      </c>
      <c r="I60" s="467"/>
      <c r="J60" s="467"/>
      <c r="K60" s="1667">
        <f t="shared" si="7"/>
        <v>214331</v>
      </c>
      <c r="L60" s="466">
        <v>243597</v>
      </c>
      <c r="M60" s="609"/>
      <c r="N60" s="609"/>
    </row>
    <row r="61" spans="1:14" s="343" customFormat="1" x14ac:dyDescent="0.2">
      <c r="A61" s="1504" t="s">
        <v>197</v>
      </c>
      <c r="B61" s="614">
        <v>2540</v>
      </c>
      <c r="C61" s="466"/>
      <c r="D61" s="466"/>
      <c r="E61" s="466">
        <v>122777</v>
      </c>
      <c r="F61" s="466"/>
      <c r="G61" s="466"/>
      <c r="H61" s="466"/>
      <c r="I61" s="467"/>
      <c r="J61" s="467"/>
      <c r="K61" s="1667">
        <f t="shared" si="7"/>
        <v>122777</v>
      </c>
      <c r="L61" s="466">
        <v>111000</v>
      </c>
      <c r="M61" s="609"/>
      <c r="N61" s="609"/>
    </row>
    <row r="62" spans="1:14" s="343" customFormat="1" x14ac:dyDescent="0.2">
      <c r="A62" s="1504" t="s">
        <v>953</v>
      </c>
      <c r="B62" s="614">
        <v>2550</v>
      </c>
      <c r="C62" s="466"/>
      <c r="D62" s="466"/>
      <c r="E62" s="466"/>
      <c r="F62" s="466"/>
      <c r="G62" s="466"/>
      <c r="H62" s="466"/>
      <c r="I62" s="467"/>
      <c r="J62" s="467"/>
      <c r="K62" s="1667">
        <f t="shared" si="7"/>
        <v>0</v>
      </c>
      <c r="L62" s="466"/>
      <c r="M62" s="609"/>
      <c r="N62" s="609"/>
    </row>
    <row r="63" spans="1:14" s="609" customFormat="1" x14ac:dyDescent="0.2">
      <c r="A63" s="1504" t="s">
        <v>100</v>
      </c>
      <c r="B63" s="614">
        <v>2560</v>
      </c>
      <c r="C63" s="466"/>
      <c r="D63" s="466"/>
      <c r="E63" s="466">
        <v>1409579</v>
      </c>
      <c r="F63" s="466">
        <v>3787</v>
      </c>
      <c r="G63" s="466"/>
      <c r="H63" s="466"/>
      <c r="I63" s="467"/>
      <c r="J63" s="467"/>
      <c r="K63" s="1667">
        <f t="shared" si="7"/>
        <v>1413366</v>
      </c>
      <c r="L63" s="466">
        <v>1451600</v>
      </c>
    </row>
    <row r="64" spans="1:14" s="609" customFormat="1" x14ac:dyDescent="0.2">
      <c r="A64" s="1509" t="s">
        <v>101</v>
      </c>
      <c r="B64" s="630">
        <v>2570</v>
      </c>
      <c r="C64" s="481"/>
      <c r="D64" s="481"/>
      <c r="E64" s="481">
        <v>65688</v>
      </c>
      <c r="F64" s="481">
        <v>18595</v>
      </c>
      <c r="G64" s="481"/>
      <c r="H64" s="481"/>
      <c r="I64" s="467"/>
      <c r="J64" s="467"/>
      <c r="K64" s="1667">
        <f t="shared" si="7"/>
        <v>84283</v>
      </c>
      <c r="L64" s="481">
        <v>80000</v>
      </c>
    </row>
    <row r="65" spans="1:14" s="343" customFormat="1" ht="12.75" customHeight="1" thickBot="1" x14ac:dyDescent="0.25">
      <c r="A65" s="1663" t="s">
        <v>719</v>
      </c>
      <c r="B65" s="1664" t="s">
        <v>35</v>
      </c>
      <c r="C65" s="1665">
        <f>SUM(C59:C64)</f>
        <v>264887</v>
      </c>
      <c r="D65" s="1665">
        <f t="shared" ref="D65:L65" si="8">SUM(D59:D64)</f>
        <v>44295</v>
      </c>
      <c r="E65" s="1665">
        <f t="shared" si="8"/>
        <v>1634062</v>
      </c>
      <c r="F65" s="1665">
        <f t="shared" si="8"/>
        <v>29567</v>
      </c>
      <c r="G65" s="1665">
        <f t="shared" si="8"/>
        <v>0</v>
      </c>
      <c r="H65" s="1665">
        <f t="shared" si="8"/>
        <v>3364</v>
      </c>
      <c r="I65" s="1665">
        <f t="shared" si="8"/>
        <v>0</v>
      </c>
      <c r="J65" s="1665">
        <f t="shared" si="8"/>
        <v>0</v>
      </c>
      <c r="K65" s="1665">
        <f t="shared" si="8"/>
        <v>1976175</v>
      </c>
      <c r="L65" s="1665">
        <f t="shared" si="8"/>
        <v>2032325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67">
        <f>SUM(C67:J67)</f>
        <v>0</v>
      </c>
      <c r="L67" s="481"/>
      <c r="M67" s="609"/>
      <c r="N67" s="609"/>
    </row>
    <row r="68" spans="1:14" s="343" customFormat="1" x14ac:dyDescent="0.2">
      <c r="A68" s="1504" t="s">
        <v>607</v>
      </c>
      <c r="B68" s="614">
        <v>2620</v>
      </c>
      <c r="C68" s="466"/>
      <c r="D68" s="466"/>
      <c r="E68" s="466"/>
      <c r="F68" s="466"/>
      <c r="G68" s="466"/>
      <c r="H68" s="466"/>
      <c r="I68" s="467"/>
      <c r="J68" s="467"/>
      <c r="K68" s="1667">
        <f>SUM(C68:J68)</f>
        <v>0</v>
      </c>
      <c r="L68" s="466"/>
      <c r="M68" s="609"/>
      <c r="N68" s="609"/>
    </row>
    <row r="69" spans="1:14" s="343" customFormat="1" x14ac:dyDescent="0.2">
      <c r="A69" s="1504" t="s">
        <v>1061</v>
      </c>
      <c r="B69" s="614">
        <v>2630</v>
      </c>
      <c r="C69" s="466"/>
      <c r="D69" s="466"/>
      <c r="E69" s="466"/>
      <c r="F69" s="466"/>
      <c r="G69" s="466"/>
      <c r="H69" s="466"/>
      <c r="I69" s="467"/>
      <c r="J69" s="467"/>
      <c r="K69" s="1667">
        <f>SUM(C69:J69)</f>
        <v>0</v>
      </c>
      <c r="L69" s="466"/>
      <c r="M69" s="609"/>
      <c r="N69" s="609"/>
    </row>
    <row r="70" spans="1:14" s="343" customFormat="1" x14ac:dyDescent="0.2">
      <c r="A70" s="1504" t="s">
        <v>403</v>
      </c>
      <c r="B70" s="614">
        <v>2640</v>
      </c>
      <c r="C70" s="466">
        <v>182179</v>
      </c>
      <c r="D70" s="466">
        <v>34421</v>
      </c>
      <c r="E70" s="466"/>
      <c r="F70" s="466"/>
      <c r="G70" s="466"/>
      <c r="H70" s="466"/>
      <c r="I70" s="467"/>
      <c r="J70" s="467">
        <v>13477</v>
      </c>
      <c r="K70" s="1667">
        <f>SUM(C70:J70)</f>
        <v>230077</v>
      </c>
      <c r="L70" s="466">
        <v>233202</v>
      </c>
      <c r="M70" s="609"/>
      <c r="N70" s="609"/>
    </row>
    <row r="71" spans="1:14" s="343" customFormat="1" x14ac:dyDescent="0.2">
      <c r="A71" s="1504" t="s">
        <v>404</v>
      </c>
      <c r="B71" s="614">
        <v>2660</v>
      </c>
      <c r="C71" s="466">
        <v>358811</v>
      </c>
      <c r="D71" s="466">
        <v>64470</v>
      </c>
      <c r="E71" s="466">
        <v>433462</v>
      </c>
      <c r="F71" s="466">
        <v>142506</v>
      </c>
      <c r="G71" s="466">
        <v>127827</v>
      </c>
      <c r="H71" s="466"/>
      <c r="I71" s="467"/>
      <c r="J71" s="467"/>
      <c r="K71" s="1667">
        <f>SUM(C71:J71)</f>
        <v>1127076</v>
      </c>
      <c r="L71" s="466">
        <v>1068296</v>
      </c>
      <c r="M71" s="609"/>
      <c r="N71" s="609"/>
    </row>
    <row r="72" spans="1:14" s="343" customFormat="1" ht="12.75" customHeight="1" thickBot="1" x14ac:dyDescent="0.25">
      <c r="A72" s="1663" t="s">
        <v>37</v>
      </c>
      <c r="B72" s="1670" t="s">
        <v>36</v>
      </c>
      <c r="C72" s="1665">
        <f>SUM(C67:C71)</f>
        <v>540990</v>
      </c>
      <c r="D72" s="1665">
        <f t="shared" ref="D72:K72" si="9">SUM(D67:D71)</f>
        <v>98891</v>
      </c>
      <c r="E72" s="1665">
        <f t="shared" si="9"/>
        <v>433462</v>
      </c>
      <c r="F72" s="1665">
        <f t="shared" si="9"/>
        <v>142506</v>
      </c>
      <c r="G72" s="1665">
        <f t="shared" si="9"/>
        <v>127827</v>
      </c>
      <c r="H72" s="1665">
        <f t="shared" si="9"/>
        <v>0</v>
      </c>
      <c r="I72" s="1665">
        <f t="shared" si="9"/>
        <v>0</v>
      </c>
      <c r="J72" s="1665">
        <f t="shared" si="9"/>
        <v>13477</v>
      </c>
      <c r="K72" s="1665">
        <f t="shared" si="9"/>
        <v>1357153</v>
      </c>
      <c r="L72" s="1665">
        <f>SUM(L67:L71)</f>
        <v>1301498</v>
      </c>
      <c r="M72" s="609"/>
      <c r="N72" s="609"/>
    </row>
    <row r="73" spans="1:14" s="343" customFormat="1" ht="14.25" thickTop="1" thickBot="1" x14ac:dyDescent="0.25">
      <c r="A73" s="1510" t="s">
        <v>980</v>
      </c>
      <c r="B73" s="632" t="s">
        <v>574</v>
      </c>
      <c r="C73" s="573">
        <v>34793</v>
      </c>
      <c r="D73" s="573">
        <v>8986</v>
      </c>
      <c r="E73" s="573"/>
      <c r="F73" s="573"/>
      <c r="G73" s="573"/>
      <c r="H73" s="573"/>
      <c r="I73" s="531"/>
      <c r="J73" s="531"/>
      <c r="K73" s="1665">
        <f>SUM(C73:J73)</f>
        <v>43779</v>
      </c>
      <c r="L73" s="576">
        <v>44581</v>
      </c>
      <c r="M73" s="609"/>
      <c r="N73" s="609"/>
    </row>
    <row r="74" spans="1:14" ht="12.75" customHeight="1" thickTop="1" thickBot="1" x14ac:dyDescent="0.25">
      <c r="A74" s="1663" t="s">
        <v>811</v>
      </c>
      <c r="B74" s="1671">
        <v>2000</v>
      </c>
      <c r="C74" s="1672">
        <f>SUM(C42,C47,C53,C57,C65,C72,C73)</f>
        <v>5996222</v>
      </c>
      <c r="D74" s="1672">
        <f t="shared" ref="D74:K74" si="10">SUM(D42,D47,D53,D57,D65,D72,D73)</f>
        <v>1058650</v>
      </c>
      <c r="E74" s="1672">
        <f t="shared" si="10"/>
        <v>3002316</v>
      </c>
      <c r="F74" s="1672">
        <f t="shared" si="10"/>
        <v>241866</v>
      </c>
      <c r="G74" s="1672">
        <f t="shared" si="10"/>
        <v>127827</v>
      </c>
      <c r="H74" s="1672">
        <f t="shared" si="10"/>
        <v>40824</v>
      </c>
      <c r="I74" s="1672">
        <f t="shared" si="10"/>
        <v>0</v>
      </c>
      <c r="J74" s="1672">
        <f t="shared" si="10"/>
        <v>13477</v>
      </c>
      <c r="K74" s="1672">
        <f t="shared" si="10"/>
        <v>10481182</v>
      </c>
      <c r="L74" s="1672">
        <f>SUM(L42,L47,L53,L57,L65,L72,L73)</f>
        <v>10562651</v>
      </c>
    </row>
    <row r="75" spans="1:14" s="259" customFormat="1" ht="15.75" customHeight="1" thickTop="1" thickBot="1" x14ac:dyDescent="0.25">
      <c r="A75" s="1610" t="s">
        <v>47</v>
      </c>
      <c r="B75" s="1611" t="s">
        <v>575</v>
      </c>
      <c r="C75" s="573">
        <v>174002</v>
      </c>
      <c r="D75" s="573">
        <v>48426</v>
      </c>
      <c r="E75" s="573">
        <v>29688</v>
      </c>
      <c r="F75" s="573">
        <v>22811</v>
      </c>
      <c r="G75" s="573">
        <v>3833</v>
      </c>
      <c r="H75" s="573"/>
      <c r="I75" s="531"/>
      <c r="J75" s="531"/>
      <c r="K75" s="1665">
        <f>SUM(C75:J75)</f>
        <v>278760</v>
      </c>
      <c r="L75" s="576">
        <v>245502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18305</v>
      </c>
      <c r="F78" s="616"/>
      <c r="G78" s="616"/>
      <c r="H78" s="634"/>
      <c r="I78" s="477"/>
      <c r="J78" s="477"/>
      <c r="K78" s="1666">
        <f t="shared" ref="K78:K83" si="11">SUM(C78:J78)</f>
        <v>18305</v>
      </c>
      <c r="L78" s="481">
        <v>0</v>
      </c>
    </row>
    <row r="79" spans="1:14" x14ac:dyDescent="0.2">
      <c r="A79" s="1504" t="s">
        <v>304</v>
      </c>
      <c r="B79" s="614">
        <v>4120</v>
      </c>
      <c r="C79" s="616"/>
      <c r="D79" s="616"/>
      <c r="E79" s="466"/>
      <c r="F79" s="616"/>
      <c r="G79" s="616"/>
      <c r="H79" s="466">
        <v>298473</v>
      </c>
      <c r="I79" s="477"/>
      <c r="J79" s="477"/>
      <c r="K79" s="1666">
        <f t="shared" si="11"/>
        <v>298473</v>
      </c>
      <c r="L79" s="466">
        <v>291500</v>
      </c>
    </row>
    <row r="80" spans="1:14" x14ac:dyDescent="0.2">
      <c r="A80" s="1504" t="s">
        <v>305</v>
      </c>
      <c r="B80" s="614">
        <v>4130</v>
      </c>
      <c r="C80" s="616"/>
      <c r="D80" s="616"/>
      <c r="E80" s="466"/>
      <c r="F80" s="616"/>
      <c r="G80" s="616"/>
      <c r="H80" s="466"/>
      <c r="I80" s="477"/>
      <c r="J80" s="477"/>
      <c r="K80" s="1666">
        <f t="shared" si="11"/>
        <v>0</v>
      </c>
      <c r="L80" s="466"/>
    </row>
    <row r="81" spans="1:12" x14ac:dyDescent="0.2">
      <c r="A81" s="1504" t="s">
        <v>697</v>
      </c>
      <c r="B81" s="614">
        <v>4140</v>
      </c>
      <c r="C81" s="616"/>
      <c r="D81" s="616"/>
      <c r="E81" s="466"/>
      <c r="F81" s="616"/>
      <c r="G81" s="616"/>
      <c r="H81" s="466"/>
      <c r="I81" s="477"/>
      <c r="J81" s="477"/>
      <c r="K81" s="1666">
        <f t="shared" si="11"/>
        <v>0</v>
      </c>
      <c r="L81" s="466"/>
    </row>
    <row r="82" spans="1:12" x14ac:dyDescent="0.2">
      <c r="A82" s="1504" t="s">
        <v>86</v>
      </c>
      <c r="B82" s="614">
        <v>4170</v>
      </c>
      <c r="C82" s="616"/>
      <c r="D82" s="616"/>
      <c r="E82" s="466"/>
      <c r="F82" s="616"/>
      <c r="G82" s="616"/>
      <c r="H82" s="466"/>
      <c r="I82" s="477"/>
      <c r="J82" s="477"/>
      <c r="K82" s="1666">
        <f t="shared" si="11"/>
        <v>0</v>
      </c>
      <c r="L82" s="466"/>
    </row>
    <row r="83" spans="1:12" x14ac:dyDescent="0.2">
      <c r="A83" s="1508" t="s">
        <v>698</v>
      </c>
      <c r="B83" s="628">
        <v>4190</v>
      </c>
      <c r="C83" s="616"/>
      <c r="D83" s="616"/>
      <c r="E83" s="466">
        <v>35720</v>
      </c>
      <c r="F83" s="616"/>
      <c r="G83" s="616"/>
      <c r="H83" s="466"/>
      <c r="I83" s="477"/>
      <c r="J83" s="477"/>
      <c r="K83" s="1666">
        <f t="shared" si="11"/>
        <v>35720</v>
      </c>
      <c r="L83" s="466">
        <v>62510</v>
      </c>
    </row>
    <row r="84" spans="1:12" ht="13.5" thickBot="1" x14ac:dyDescent="0.25">
      <c r="A84" s="1663" t="s">
        <v>1485</v>
      </c>
      <c r="B84" s="1673">
        <v>4100</v>
      </c>
      <c r="C84" s="616"/>
      <c r="D84" s="616"/>
      <c r="E84" s="1665">
        <f>SUM(E78:E83)</f>
        <v>54025</v>
      </c>
      <c r="F84" s="616"/>
      <c r="G84" s="616"/>
      <c r="H84" s="1665">
        <f>SUM(H78:H83)</f>
        <v>298473</v>
      </c>
      <c r="I84" s="477"/>
      <c r="J84" s="477"/>
      <c r="K84" s="1665">
        <f>SUM(K78:K83)</f>
        <v>352498</v>
      </c>
      <c r="L84" s="1665">
        <f>SUM(L78:L83)</f>
        <v>354010</v>
      </c>
    </row>
    <row r="85" spans="1:12" ht="12.75" customHeight="1" thickTop="1" thickBot="1" x14ac:dyDescent="0.25">
      <c r="A85" s="1511" t="s">
        <v>255</v>
      </c>
      <c r="B85" s="635">
        <v>4210</v>
      </c>
      <c r="C85" s="616"/>
      <c r="D85" s="616"/>
      <c r="E85" s="636"/>
      <c r="F85" s="616"/>
      <c r="G85" s="616"/>
      <c r="H85" s="535"/>
      <c r="I85" s="477"/>
      <c r="J85" s="477"/>
      <c r="K85" s="1672">
        <f>H85</f>
        <v>0</v>
      </c>
      <c r="L85" s="530"/>
    </row>
    <row r="86" spans="1:12" ht="12.75" customHeight="1" thickTop="1" thickBot="1" x14ac:dyDescent="0.25">
      <c r="A86" s="1512" t="s">
        <v>699</v>
      </c>
      <c r="B86" s="637">
        <v>4220</v>
      </c>
      <c r="C86" s="616"/>
      <c r="D86" s="616"/>
      <c r="E86" s="638"/>
      <c r="F86" s="616"/>
      <c r="G86" s="616"/>
      <c r="H86" s="467">
        <v>337703</v>
      </c>
      <c r="I86" s="477"/>
      <c r="J86" s="477"/>
      <c r="K86" s="1672">
        <f t="shared" ref="K86:K98" si="12">H86</f>
        <v>337703</v>
      </c>
      <c r="L86" s="530">
        <v>350000</v>
      </c>
    </row>
    <row r="87" spans="1:12" ht="14.25" thickTop="1" thickBot="1" x14ac:dyDescent="0.25">
      <c r="A87" s="1513" t="s">
        <v>700</v>
      </c>
      <c r="B87" s="639">
        <v>4230</v>
      </c>
      <c r="C87" s="616"/>
      <c r="D87" s="616"/>
      <c r="E87" s="638"/>
      <c r="F87" s="616"/>
      <c r="G87" s="616"/>
      <c r="H87" s="467"/>
      <c r="I87" s="477"/>
      <c r="J87" s="477"/>
      <c r="K87" s="1672">
        <f t="shared" si="12"/>
        <v>0</v>
      </c>
      <c r="L87" s="530"/>
    </row>
    <row r="88" spans="1:12" ht="12.75" customHeight="1" thickTop="1" thickBot="1" x14ac:dyDescent="0.25">
      <c r="A88" s="1513" t="s">
        <v>765</v>
      </c>
      <c r="B88" s="639">
        <v>4240</v>
      </c>
      <c r="C88" s="616"/>
      <c r="D88" s="616"/>
      <c r="E88" s="638"/>
      <c r="F88" s="616"/>
      <c r="G88" s="616"/>
      <c r="H88" s="467"/>
      <c r="I88" s="477"/>
      <c r="J88" s="477"/>
      <c r="K88" s="1672">
        <f t="shared" si="12"/>
        <v>0</v>
      </c>
      <c r="L88" s="530"/>
    </row>
    <row r="89" spans="1:12" ht="12.75" customHeight="1" thickTop="1" thickBot="1" x14ac:dyDescent="0.25">
      <c r="A89" s="1513" t="s">
        <v>701</v>
      </c>
      <c r="B89" s="639">
        <v>4270</v>
      </c>
      <c r="C89" s="616"/>
      <c r="D89" s="616"/>
      <c r="E89" s="638"/>
      <c r="F89" s="616"/>
      <c r="G89" s="616"/>
      <c r="H89" s="467"/>
      <c r="I89" s="477"/>
      <c r="J89" s="477"/>
      <c r="K89" s="1672">
        <f t="shared" si="12"/>
        <v>0</v>
      </c>
      <c r="L89" s="530"/>
    </row>
    <row r="90" spans="1:12" ht="12.75" customHeight="1" thickTop="1" thickBot="1" x14ac:dyDescent="0.25">
      <c r="A90" s="1513" t="s">
        <v>686</v>
      </c>
      <c r="B90" s="639">
        <v>4280</v>
      </c>
      <c r="C90" s="616"/>
      <c r="D90" s="616"/>
      <c r="E90" s="638"/>
      <c r="F90" s="616"/>
      <c r="G90" s="616"/>
      <c r="H90" s="467"/>
      <c r="I90" s="477"/>
      <c r="J90" s="477"/>
      <c r="K90" s="1672">
        <f t="shared" si="12"/>
        <v>0</v>
      </c>
      <c r="L90" s="530"/>
    </row>
    <row r="91" spans="1:12" ht="12.75" customHeight="1" thickTop="1" thickBot="1" x14ac:dyDescent="0.25">
      <c r="A91" s="1513" t="s">
        <v>687</v>
      </c>
      <c r="B91" s="639">
        <v>4290</v>
      </c>
      <c r="C91" s="616"/>
      <c r="D91" s="616"/>
      <c r="E91" s="638"/>
      <c r="F91" s="616"/>
      <c r="G91" s="616"/>
      <c r="H91" s="467"/>
      <c r="I91" s="477"/>
      <c r="J91" s="477"/>
      <c r="K91" s="1672">
        <f t="shared" si="12"/>
        <v>0</v>
      </c>
      <c r="L91" s="530"/>
    </row>
    <row r="92" spans="1:12" ht="14.25" thickTop="1" thickBot="1" x14ac:dyDescent="0.25">
      <c r="A92" s="1675" t="s">
        <v>1560</v>
      </c>
      <c r="B92" s="1673">
        <v>4200</v>
      </c>
      <c r="C92" s="616"/>
      <c r="D92" s="616"/>
      <c r="E92" s="638"/>
      <c r="F92" s="616"/>
      <c r="G92" s="616"/>
      <c r="H92" s="1665">
        <f>SUM(H85:H91)</f>
        <v>337703</v>
      </c>
      <c r="I92" s="477"/>
      <c r="J92" s="477"/>
      <c r="K92" s="1672">
        <f t="shared" si="12"/>
        <v>337703</v>
      </c>
      <c r="L92" s="1665">
        <f>SUM(L85:L91)</f>
        <v>350000</v>
      </c>
    </row>
    <row r="93" spans="1:12" ht="14.25" thickTop="1" thickBot="1" x14ac:dyDescent="0.25">
      <c r="A93" s="1512" t="s">
        <v>688</v>
      </c>
      <c r="B93" s="640">
        <v>4310</v>
      </c>
      <c r="C93" s="616"/>
      <c r="D93" s="616"/>
      <c r="E93" s="638"/>
      <c r="F93" s="616"/>
      <c r="G93" s="616"/>
      <c r="H93" s="641"/>
      <c r="I93" s="477"/>
      <c r="J93" s="477"/>
      <c r="K93" s="1672">
        <f t="shared" si="12"/>
        <v>0</v>
      </c>
      <c r="L93" s="532"/>
    </row>
    <row r="94" spans="1:12" ht="12.75" customHeight="1" thickTop="1" thickBot="1" x14ac:dyDescent="0.25">
      <c r="A94" s="1513" t="s">
        <v>689</v>
      </c>
      <c r="B94" s="639">
        <v>4320</v>
      </c>
      <c r="C94" s="616"/>
      <c r="D94" s="616"/>
      <c r="E94" s="638"/>
      <c r="F94" s="616"/>
      <c r="G94" s="616"/>
      <c r="H94" s="467"/>
      <c r="I94" s="477"/>
      <c r="J94" s="477"/>
      <c r="K94" s="1672">
        <f t="shared" si="12"/>
        <v>0</v>
      </c>
      <c r="L94" s="530"/>
    </row>
    <row r="95" spans="1:12" ht="15" customHeight="1" thickTop="1" thickBot="1" x14ac:dyDescent="0.25">
      <c r="A95" s="1513" t="s">
        <v>1488</v>
      </c>
      <c r="B95" s="639">
        <v>4330</v>
      </c>
      <c r="C95" s="616"/>
      <c r="D95" s="616"/>
      <c r="E95" s="638"/>
      <c r="F95" s="616"/>
      <c r="G95" s="616"/>
      <c r="H95" s="467"/>
      <c r="I95" s="477"/>
      <c r="J95" s="477"/>
      <c r="K95" s="1672">
        <f t="shared" si="12"/>
        <v>0</v>
      </c>
      <c r="L95" s="530"/>
    </row>
    <row r="96" spans="1:12" ht="14.25" thickTop="1" thickBot="1" x14ac:dyDescent="0.25">
      <c r="A96" s="1513" t="s">
        <v>690</v>
      </c>
      <c r="B96" s="639">
        <v>4340</v>
      </c>
      <c r="C96" s="616"/>
      <c r="D96" s="616"/>
      <c r="E96" s="638"/>
      <c r="F96" s="616"/>
      <c r="G96" s="616"/>
      <c r="H96" s="467"/>
      <c r="I96" s="477"/>
      <c r="J96" s="477"/>
      <c r="K96" s="1672">
        <f t="shared" si="12"/>
        <v>0</v>
      </c>
      <c r="L96" s="530"/>
    </row>
    <row r="97" spans="1:14" ht="12.75" customHeight="1" thickTop="1" thickBot="1" x14ac:dyDescent="0.25">
      <c r="A97" s="1513" t="s">
        <v>763</v>
      </c>
      <c r="B97" s="639">
        <v>4370</v>
      </c>
      <c r="C97" s="616"/>
      <c r="D97" s="616"/>
      <c r="E97" s="638"/>
      <c r="F97" s="616"/>
      <c r="G97" s="616"/>
      <c r="H97" s="467"/>
      <c r="I97" s="477"/>
      <c r="J97" s="477"/>
      <c r="K97" s="1672">
        <f t="shared" si="12"/>
        <v>0</v>
      </c>
      <c r="L97" s="530"/>
    </row>
    <row r="98" spans="1:14" ht="14.25" thickTop="1" thickBot="1" x14ac:dyDescent="0.25">
      <c r="A98" s="1513" t="s">
        <v>764</v>
      </c>
      <c r="B98" s="639">
        <v>4380</v>
      </c>
      <c r="C98" s="616"/>
      <c r="D98" s="616"/>
      <c r="E98" s="642"/>
      <c r="F98" s="616"/>
      <c r="G98" s="616"/>
      <c r="H98" s="467"/>
      <c r="I98" s="477"/>
      <c r="J98" s="477"/>
      <c r="K98" s="1672">
        <f t="shared" si="12"/>
        <v>0</v>
      </c>
      <c r="L98" s="530"/>
    </row>
    <row r="99" spans="1:14" ht="14.25" thickTop="1" thickBot="1" x14ac:dyDescent="0.25">
      <c r="A99" s="1513" t="s">
        <v>367</v>
      </c>
      <c r="B99" s="639">
        <v>4390</v>
      </c>
      <c r="C99" s="616"/>
      <c r="D99" s="616"/>
      <c r="E99" s="532"/>
      <c r="F99" s="616"/>
      <c r="G99" s="616"/>
      <c r="H99" s="467"/>
      <c r="I99" s="477"/>
      <c r="J99" s="477"/>
      <c r="K99" s="1672">
        <f>SUM(E99,H99)</f>
        <v>0</v>
      </c>
      <c r="L99" s="530"/>
    </row>
    <row r="100" spans="1:14" ht="14.25" thickTop="1" thickBot="1" x14ac:dyDescent="0.25">
      <c r="A100" s="1675" t="s">
        <v>1486</v>
      </c>
      <c r="B100" s="1676">
        <v>4300</v>
      </c>
      <c r="C100" s="616"/>
      <c r="D100" s="616"/>
      <c r="E100" s="1672">
        <f>SUM(E93:E99)</f>
        <v>0</v>
      </c>
      <c r="F100" s="616"/>
      <c r="G100" s="616"/>
      <c r="H100" s="1672">
        <f>SUM(H93:H99)</f>
        <v>0</v>
      </c>
      <c r="I100" s="477"/>
      <c r="J100" s="477"/>
      <c r="K100" s="1672">
        <f>SUM(K93:K99)</f>
        <v>0</v>
      </c>
      <c r="L100" s="1672">
        <f>SUM(L93:L99)</f>
        <v>0</v>
      </c>
    </row>
    <row r="101" spans="1:14" ht="12.75" customHeight="1" thickTop="1" thickBot="1" x14ac:dyDescent="0.25">
      <c r="A101" s="1510" t="s">
        <v>1489</v>
      </c>
      <c r="B101" s="643" t="s">
        <v>931</v>
      </c>
      <c r="C101" s="616"/>
      <c r="D101" s="616"/>
      <c r="E101" s="531"/>
      <c r="F101" s="616"/>
      <c r="G101" s="616"/>
      <c r="H101" s="531"/>
      <c r="I101" s="477"/>
      <c r="J101" s="477"/>
      <c r="K101" s="1674">
        <f>SUM(C101:J101)</f>
        <v>0</v>
      </c>
      <c r="L101" s="530"/>
    </row>
    <row r="102" spans="1:14" ht="12.75" customHeight="1" thickTop="1" thickBot="1" x14ac:dyDescent="0.25">
      <c r="A102" s="1663" t="s">
        <v>1487</v>
      </c>
      <c r="B102" s="1673">
        <v>4000</v>
      </c>
      <c r="C102" s="616"/>
      <c r="D102" s="616"/>
      <c r="E102" s="1672">
        <f>SUM(E84,E92,E100,E101)</f>
        <v>54025</v>
      </c>
      <c r="F102" s="616"/>
      <c r="G102" s="616"/>
      <c r="H102" s="1672">
        <f>SUM(H84,H92,H100,H101)</f>
        <v>636176</v>
      </c>
      <c r="I102" s="477"/>
      <c r="J102" s="477"/>
      <c r="K102" s="1672">
        <f>SUM(K84,K92,K100,K101)</f>
        <v>690201</v>
      </c>
      <c r="L102" s="1672">
        <f>SUM(L84,L92,L100,L101)</f>
        <v>704010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6">
        <f>H105</f>
        <v>0</v>
      </c>
      <c r="L105" s="481"/>
      <c r="M105" s="210"/>
      <c r="N105" s="210"/>
    </row>
    <row r="106" spans="1:14" s="597" customFormat="1" x14ac:dyDescent="0.2">
      <c r="A106" s="1504" t="s">
        <v>88</v>
      </c>
      <c r="B106" s="614">
        <v>5120</v>
      </c>
      <c r="C106" s="616"/>
      <c r="D106" s="616"/>
      <c r="E106" s="616"/>
      <c r="F106" s="616"/>
      <c r="G106" s="616"/>
      <c r="H106" s="466"/>
      <c r="I106" s="468"/>
      <c r="J106" s="468"/>
      <c r="K106" s="1666">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6">
        <f>H107</f>
        <v>0</v>
      </c>
      <c r="L107" s="466"/>
      <c r="M107" s="210"/>
      <c r="N107" s="210"/>
    </row>
    <row r="108" spans="1:14" s="597" customFormat="1" x14ac:dyDescent="0.2">
      <c r="A108" s="1504" t="s">
        <v>89</v>
      </c>
      <c r="B108" s="614" t="s">
        <v>589</v>
      </c>
      <c r="C108" s="616"/>
      <c r="D108" s="616"/>
      <c r="E108" s="616"/>
      <c r="F108" s="616"/>
      <c r="G108" s="616"/>
      <c r="H108" s="466"/>
      <c r="I108" s="468"/>
      <c r="J108" s="468"/>
      <c r="K108" s="1666">
        <f>H108</f>
        <v>0</v>
      </c>
      <c r="L108" s="466"/>
      <c r="M108" s="210"/>
      <c r="N108" s="210"/>
    </row>
    <row r="109" spans="1:14" s="597" customFormat="1" x14ac:dyDescent="0.2">
      <c r="A109" s="1504" t="s">
        <v>254</v>
      </c>
      <c r="B109" s="628">
        <v>5150</v>
      </c>
      <c r="C109" s="616"/>
      <c r="D109" s="616"/>
      <c r="E109" s="616"/>
      <c r="F109" s="616"/>
      <c r="G109" s="616"/>
      <c r="H109" s="466"/>
      <c r="I109" s="468"/>
      <c r="J109" s="468"/>
      <c r="K109" s="1666">
        <f>H109</f>
        <v>0</v>
      </c>
      <c r="L109" s="466"/>
      <c r="M109" s="210"/>
      <c r="N109" s="210"/>
    </row>
    <row r="110" spans="1:14" s="597" customFormat="1" ht="12.75" customHeight="1" thickBot="1" x14ac:dyDescent="0.25">
      <c r="A110" s="1663" t="s">
        <v>1102</v>
      </c>
      <c r="B110" s="1670" t="s">
        <v>718</v>
      </c>
      <c r="C110" s="616"/>
      <c r="D110" s="616"/>
      <c r="E110" s="616"/>
      <c r="F110" s="616"/>
      <c r="G110" s="616"/>
      <c r="H110" s="1665">
        <f>SUM(H105:H109)</f>
        <v>0</v>
      </c>
      <c r="I110" s="468"/>
      <c r="J110" s="468"/>
      <c r="K110" s="1665">
        <f>SUM(K105:K109)</f>
        <v>0</v>
      </c>
      <c r="L110" s="1665">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78">
        <f>H111</f>
        <v>0</v>
      </c>
      <c r="L111" s="532"/>
      <c r="M111" s="210"/>
      <c r="N111" s="210"/>
    </row>
    <row r="112" spans="1:14" s="597" customFormat="1" ht="12.75" customHeight="1" thickTop="1" thickBot="1" x14ac:dyDescent="0.25">
      <c r="A112" s="1663" t="s">
        <v>638</v>
      </c>
      <c r="B112" s="1664" t="s">
        <v>492</v>
      </c>
      <c r="C112" s="616"/>
      <c r="D112" s="616"/>
      <c r="E112" s="616"/>
      <c r="F112" s="616"/>
      <c r="G112" s="616"/>
      <c r="H112" s="1665">
        <f>SUM(H110:H111)</f>
        <v>0</v>
      </c>
      <c r="I112" s="468"/>
      <c r="J112" s="468"/>
      <c r="K112" s="1665">
        <f>SUM(K110:K111)</f>
        <v>0</v>
      </c>
      <c r="L112" s="1672">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3" t="s">
        <v>48</v>
      </c>
      <c r="B114" s="1677"/>
      <c r="C114" s="1665">
        <f>SUM(C33,C74,C75,C102,C112,C113)</f>
        <v>21162357</v>
      </c>
      <c r="D114" s="1665">
        <f t="shared" ref="D114:K114" si="13">SUM(D33,D74,D75,D102,D112,D113)</f>
        <v>3261875</v>
      </c>
      <c r="E114" s="1665">
        <f t="shared" si="13"/>
        <v>3241565</v>
      </c>
      <c r="F114" s="1665">
        <f t="shared" si="13"/>
        <v>852640</v>
      </c>
      <c r="G114" s="1665">
        <f t="shared" si="13"/>
        <v>132270</v>
      </c>
      <c r="H114" s="1665">
        <f>SUM(H33,H74,H75,H102,H112,H113)</f>
        <v>1785559</v>
      </c>
      <c r="I114" s="1665">
        <f t="shared" si="13"/>
        <v>0</v>
      </c>
      <c r="J114" s="1665">
        <f t="shared" si="13"/>
        <v>13477</v>
      </c>
      <c r="K114" s="1665">
        <f t="shared" si="13"/>
        <v>30449743</v>
      </c>
      <c r="L114" s="1665">
        <f>SUM(L33,L74,L75,L102,L112,L113)</f>
        <v>31637902</v>
      </c>
    </row>
    <row r="115" spans="1:14" ht="13.5" thickTop="1" x14ac:dyDescent="0.2">
      <c r="A115" s="2164" t="s">
        <v>996</v>
      </c>
      <c r="B115" s="2165"/>
      <c r="C115" s="618"/>
      <c r="D115" s="618"/>
      <c r="E115" s="618"/>
      <c r="F115" s="618"/>
      <c r="G115" s="618"/>
      <c r="H115" s="618"/>
      <c r="I115" s="618"/>
      <c r="J115" s="618"/>
      <c r="K115" s="1679">
        <f>'Revenues 9-14'!C268-'Expenditures 15-22'!K114</f>
        <v>912194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9" t="s">
        <v>296</v>
      </c>
      <c r="B117" s="217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2053</v>
      </c>
      <c r="B120" s="628" t="s">
        <v>716</v>
      </c>
      <c r="C120" s="466"/>
      <c r="D120" s="466"/>
      <c r="E120" s="466"/>
      <c r="F120" s="466"/>
      <c r="G120" s="466"/>
      <c r="H120" s="466"/>
      <c r="I120" s="467"/>
      <c r="J120" s="467"/>
      <c r="K120" s="1666">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5">
        <f>SUM(C122:J122)</f>
        <v>0</v>
      </c>
      <c r="L122" s="466"/>
    </row>
    <row r="123" spans="1:14" ht="14.25" thickTop="1" thickBot="1" x14ac:dyDescent="0.25">
      <c r="A123" s="1504" t="s">
        <v>4</v>
      </c>
      <c r="B123" s="614">
        <v>2530</v>
      </c>
      <c r="C123" s="466"/>
      <c r="D123" s="466"/>
      <c r="E123" s="466"/>
      <c r="F123" s="466"/>
      <c r="G123" s="466"/>
      <c r="H123" s="466"/>
      <c r="I123" s="467"/>
      <c r="J123" s="467"/>
      <c r="K123" s="1665">
        <f>SUM(C123:J123)</f>
        <v>0</v>
      </c>
      <c r="L123" s="466"/>
    </row>
    <row r="124" spans="1:14" ht="14.25" thickTop="1" thickBot="1" x14ac:dyDescent="0.25">
      <c r="A124" s="1504" t="s">
        <v>197</v>
      </c>
      <c r="B124" s="614">
        <v>2540</v>
      </c>
      <c r="C124" s="466">
        <v>169074</v>
      </c>
      <c r="D124" s="466">
        <v>38183</v>
      </c>
      <c r="E124" s="466">
        <v>1504439</v>
      </c>
      <c r="F124" s="466">
        <v>673290</v>
      </c>
      <c r="G124" s="466">
        <v>306809</v>
      </c>
      <c r="H124" s="466"/>
      <c r="I124" s="467"/>
      <c r="J124" s="467"/>
      <c r="K124" s="1665">
        <f>SUM(C124:J124)</f>
        <v>2691795</v>
      </c>
      <c r="L124" s="466">
        <v>2642224</v>
      </c>
    </row>
    <row r="125" spans="1:14" ht="14.25" thickTop="1" thickBot="1" x14ac:dyDescent="0.25">
      <c r="A125" s="1504" t="s">
        <v>953</v>
      </c>
      <c r="B125" s="614">
        <v>2550</v>
      </c>
      <c r="C125" s="466"/>
      <c r="D125" s="466"/>
      <c r="E125" s="466"/>
      <c r="F125" s="466"/>
      <c r="G125" s="466"/>
      <c r="H125" s="466"/>
      <c r="I125" s="467"/>
      <c r="J125" s="467"/>
      <c r="K125" s="1665">
        <f>SUM(C125:J125)</f>
        <v>0</v>
      </c>
      <c r="L125" s="466"/>
    </row>
    <row r="126" spans="1:14" ht="14.25" thickTop="1" thickBot="1" x14ac:dyDescent="0.25">
      <c r="A126" s="1504" t="s">
        <v>100</v>
      </c>
      <c r="B126" s="614">
        <v>2560</v>
      </c>
      <c r="C126" s="654"/>
      <c r="D126" s="654"/>
      <c r="E126" s="654"/>
      <c r="F126" s="654"/>
      <c r="G126" s="466"/>
      <c r="H126" s="654"/>
      <c r="I126" s="474"/>
      <c r="J126" s="616"/>
      <c r="K126" s="1665">
        <f>SUM(C126:J126)</f>
        <v>0</v>
      </c>
      <c r="L126" s="466"/>
    </row>
    <row r="127" spans="1:14" ht="12.75" customHeight="1" thickTop="1" thickBot="1" x14ac:dyDescent="0.25">
      <c r="A127" s="1663" t="s">
        <v>719</v>
      </c>
      <c r="B127" s="1664" t="s">
        <v>35</v>
      </c>
      <c r="C127" s="1665">
        <f>SUM(C122:C126)</f>
        <v>169074</v>
      </c>
      <c r="D127" s="1665">
        <f t="shared" ref="D127:L127" si="14">SUM(D122:D126)</f>
        <v>38183</v>
      </c>
      <c r="E127" s="1665">
        <f t="shared" si="14"/>
        <v>1504439</v>
      </c>
      <c r="F127" s="1665">
        <f t="shared" si="14"/>
        <v>673290</v>
      </c>
      <c r="G127" s="1665">
        <f t="shared" si="14"/>
        <v>306809</v>
      </c>
      <c r="H127" s="1665">
        <f t="shared" si="14"/>
        <v>0</v>
      </c>
      <c r="I127" s="1665">
        <f t="shared" si="14"/>
        <v>0</v>
      </c>
      <c r="J127" s="1665">
        <f t="shared" si="14"/>
        <v>0</v>
      </c>
      <c r="K127" s="1665">
        <f t="shared" si="14"/>
        <v>2691795</v>
      </c>
      <c r="L127" s="1665">
        <f t="shared" si="14"/>
        <v>2642224</v>
      </c>
    </row>
    <row r="128" spans="1:14" ht="12.75" customHeight="1" thickTop="1" x14ac:dyDescent="0.2">
      <c r="A128" s="1511" t="s">
        <v>980</v>
      </c>
      <c r="B128" s="655" t="s">
        <v>574</v>
      </c>
      <c r="C128" s="656"/>
      <c r="D128" s="656"/>
      <c r="E128" s="656"/>
      <c r="F128" s="656"/>
      <c r="G128" s="656"/>
      <c r="H128" s="656"/>
      <c r="I128" s="535"/>
      <c r="J128" s="535"/>
      <c r="K128" s="1680">
        <f>SUM(C128:J128)</f>
        <v>0</v>
      </c>
      <c r="L128" s="656"/>
    </row>
    <row r="129" spans="1:14" ht="12.75" customHeight="1" thickBot="1" x14ac:dyDescent="0.25">
      <c r="A129" s="1681" t="s">
        <v>811</v>
      </c>
      <c r="B129" s="1682" t="s">
        <v>569</v>
      </c>
      <c r="C129" s="1672">
        <f>SUM(C120,C127,C128)</f>
        <v>169074</v>
      </c>
      <c r="D129" s="1672">
        <f t="shared" ref="D129:L129" si="15">SUM(D120,D127,D128)</f>
        <v>38183</v>
      </c>
      <c r="E129" s="1672">
        <f t="shared" si="15"/>
        <v>1504439</v>
      </c>
      <c r="F129" s="1672">
        <f t="shared" si="15"/>
        <v>673290</v>
      </c>
      <c r="G129" s="1672">
        <f t="shared" si="15"/>
        <v>306809</v>
      </c>
      <c r="H129" s="1672">
        <f t="shared" si="15"/>
        <v>0</v>
      </c>
      <c r="I129" s="1672">
        <f t="shared" si="15"/>
        <v>0</v>
      </c>
      <c r="J129" s="1672">
        <f t="shared" si="15"/>
        <v>0</v>
      </c>
      <c r="K129" s="1672">
        <f t="shared" si="15"/>
        <v>2691795</v>
      </c>
      <c r="L129" s="1672">
        <f t="shared" si="15"/>
        <v>2642224</v>
      </c>
    </row>
    <row r="130" spans="1:14" ht="15.75" customHeight="1" thickTop="1" thickBot="1" x14ac:dyDescent="0.25">
      <c r="A130" s="1610" t="s">
        <v>1036</v>
      </c>
      <c r="B130" s="1611" t="s">
        <v>575</v>
      </c>
      <c r="C130" s="576"/>
      <c r="D130" s="576"/>
      <c r="E130" s="576"/>
      <c r="F130" s="576"/>
      <c r="G130" s="576"/>
      <c r="H130" s="576"/>
      <c r="I130" s="531"/>
      <c r="J130" s="531"/>
      <c r="K130" s="1665">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5" t="s">
        <v>1840</v>
      </c>
      <c r="C133" s="468"/>
      <c r="D133" s="468"/>
      <c r="E133" s="641"/>
      <c r="F133" s="468"/>
      <c r="G133" s="468"/>
      <c r="H133" s="641"/>
      <c r="I133" s="468"/>
      <c r="J133" s="468"/>
      <c r="K133" s="1816">
        <f>SUM(E133,H133)</f>
        <v>0</v>
      </c>
      <c r="L133" s="641"/>
      <c r="M133" s="206"/>
      <c r="N133" s="206"/>
    </row>
    <row r="134" spans="1:14" x14ac:dyDescent="0.2">
      <c r="A134" s="1504" t="s">
        <v>304</v>
      </c>
      <c r="B134" s="614">
        <v>4120</v>
      </c>
      <c r="C134" s="616"/>
      <c r="D134" s="616"/>
      <c r="E134" s="478"/>
      <c r="F134" s="616"/>
      <c r="G134" s="616"/>
      <c r="H134" s="481"/>
      <c r="I134" s="477"/>
      <c r="J134" s="616"/>
      <c r="K134" s="1667">
        <f>SUM(E134,H134)</f>
        <v>0</v>
      </c>
      <c r="L134" s="481"/>
    </row>
    <row r="135" spans="1:14" x14ac:dyDescent="0.2">
      <c r="A135" s="1504" t="s">
        <v>697</v>
      </c>
      <c r="B135" s="614">
        <v>4140</v>
      </c>
      <c r="C135" s="616"/>
      <c r="D135" s="616"/>
      <c r="E135" s="467"/>
      <c r="F135" s="616"/>
      <c r="G135" s="616"/>
      <c r="H135" s="466"/>
      <c r="I135" s="477"/>
      <c r="J135" s="616"/>
      <c r="K135" s="1667">
        <f>SUM(E135,H135)</f>
        <v>0</v>
      </c>
      <c r="L135" s="466"/>
    </row>
    <row r="136" spans="1:14" x14ac:dyDescent="0.2">
      <c r="A136" s="1508" t="s">
        <v>698</v>
      </c>
      <c r="B136" s="628">
        <v>4190</v>
      </c>
      <c r="C136" s="616"/>
      <c r="D136" s="616"/>
      <c r="E136" s="467"/>
      <c r="F136" s="616"/>
      <c r="G136" s="616"/>
      <c r="H136" s="466"/>
      <c r="I136" s="477"/>
      <c r="J136" s="616"/>
      <c r="K136" s="1667">
        <f>SUM(E136,H136)</f>
        <v>0</v>
      </c>
      <c r="L136" s="466"/>
    </row>
    <row r="137" spans="1:14" ht="12.75" customHeight="1" thickBot="1" x14ac:dyDescent="0.25">
      <c r="A137" s="1663" t="s">
        <v>480</v>
      </c>
      <c r="B137" s="1673">
        <v>4100</v>
      </c>
      <c r="C137" s="616"/>
      <c r="D137" s="616"/>
      <c r="E137" s="1665">
        <f>SUM(E133:E136)</f>
        <v>0</v>
      </c>
      <c r="F137" s="616"/>
      <c r="G137" s="616"/>
      <c r="H137" s="1665">
        <f>SUM(H133:H136)</f>
        <v>0</v>
      </c>
      <c r="I137" s="477"/>
      <c r="J137" s="616"/>
      <c r="K137" s="1665">
        <f>SUM(K133:K136)</f>
        <v>0</v>
      </c>
      <c r="L137" s="1665">
        <f>SUM(L133:L136)</f>
        <v>0</v>
      </c>
    </row>
    <row r="138" spans="1:14" ht="12.75" customHeight="1" thickTop="1" thickBot="1" x14ac:dyDescent="0.25">
      <c r="A138" s="1510" t="s">
        <v>96</v>
      </c>
      <c r="B138" s="643" t="s">
        <v>931</v>
      </c>
      <c r="C138" s="616"/>
      <c r="D138" s="616"/>
      <c r="E138" s="479"/>
      <c r="F138" s="616"/>
      <c r="G138" s="616"/>
      <c r="H138" s="576"/>
      <c r="I138" s="477"/>
      <c r="J138" s="616"/>
      <c r="K138" s="1667">
        <f>SUM(E138,H138)</f>
        <v>0</v>
      </c>
      <c r="L138" s="576"/>
    </row>
    <row r="139" spans="1:14" ht="12.75" customHeight="1" thickTop="1" thickBot="1" x14ac:dyDescent="0.25">
      <c r="A139" s="1663" t="s">
        <v>1487</v>
      </c>
      <c r="B139" s="1673">
        <v>4000</v>
      </c>
      <c r="C139" s="616"/>
      <c r="D139" s="616"/>
      <c r="E139" s="1665">
        <f>SUM(E137,E138)</f>
        <v>0</v>
      </c>
      <c r="F139" s="616"/>
      <c r="G139" s="616"/>
      <c r="H139" s="1674">
        <f>SUM(H137:H138)</f>
        <v>0</v>
      </c>
      <c r="I139" s="477"/>
      <c r="J139" s="616"/>
      <c r="K139" s="1667">
        <f>SUM(K137,K138)</f>
        <v>0</v>
      </c>
      <c r="L139" s="1674">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67">
        <f>SUM(H142)</f>
        <v>0</v>
      </c>
      <c r="L142" s="481"/>
    </row>
    <row r="143" spans="1:14" x14ac:dyDescent="0.2">
      <c r="A143" s="1504" t="s">
        <v>88</v>
      </c>
      <c r="B143" s="614">
        <v>5120</v>
      </c>
      <c r="C143" s="616"/>
      <c r="D143" s="616"/>
      <c r="E143" s="616"/>
      <c r="F143" s="616"/>
      <c r="G143" s="616"/>
      <c r="H143" s="466"/>
      <c r="I143" s="468"/>
      <c r="J143" s="616"/>
      <c r="K143" s="1667">
        <f>SUM(H143)</f>
        <v>0</v>
      </c>
      <c r="L143" s="466"/>
    </row>
    <row r="144" spans="1:14" ht="12.75" customHeight="1" x14ac:dyDescent="0.2">
      <c r="A144" s="1504" t="s">
        <v>1170</v>
      </c>
      <c r="B144" s="628" t="s">
        <v>617</v>
      </c>
      <c r="C144" s="616"/>
      <c r="D144" s="616"/>
      <c r="E144" s="616"/>
      <c r="F144" s="616"/>
      <c r="G144" s="616"/>
      <c r="H144" s="466"/>
      <c r="I144" s="468"/>
      <c r="J144" s="616"/>
      <c r="K144" s="1667">
        <f>SUM(H144)</f>
        <v>0</v>
      </c>
      <c r="L144" s="466"/>
    </row>
    <row r="145" spans="1:14" x14ac:dyDescent="0.2">
      <c r="A145" s="1504" t="s">
        <v>89</v>
      </c>
      <c r="B145" s="614" t="s">
        <v>589</v>
      </c>
      <c r="C145" s="616"/>
      <c r="D145" s="616"/>
      <c r="E145" s="616"/>
      <c r="F145" s="616"/>
      <c r="G145" s="616"/>
      <c r="H145" s="466"/>
      <c r="I145" s="468"/>
      <c r="J145" s="616"/>
      <c r="K145" s="1667">
        <f>SUM(H145)</f>
        <v>0</v>
      </c>
      <c r="L145" s="466"/>
    </row>
    <row r="146" spans="1:14" ht="12.75" customHeight="1" x14ac:dyDescent="0.2">
      <c r="A146" s="1504" t="s">
        <v>619</v>
      </c>
      <c r="B146" s="614" t="s">
        <v>618</v>
      </c>
      <c r="C146" s="616"/>
      <c r="D146" s="616"/>
      <c r="E146" s="616"/>
      <c r="F146" s="616"/>
      <c r="G146" s="616"/>
      <c r="H146" s="466"/>
      <c r="I146" s="468"/>
      <c r="J146" s="616"/>
      <c r="K146" s="1667">
        <f>SUM(H146)</f>
        <v>0</v>
      </c>
      <c r="L146" s="466"/>
    </row>
    <row r="147" spans="1:14" ht="12.75" customHeight="1" thickBot="1" x14ac:dyDescent="0.25">
      <c r="A147" s="1515" t="s">
        <v>626</v>
      </c>
      <c r="B147" s="659" t="s">
        <v>718</v>
      </c>
      <c r="C147" s="616"/>
      <c r="D147" s="616"/>
      <c r="E147" s="616"/>
      <c r="F147" s="616"/>
      <c r="G147" s="616"/>
      <c r="H147" s="1683">
        <f>SUM(H142:H146)</f>
        <v>0</v>
      </c>
      <c r="I147" s="468"/>
      <c r="J147" s="616"/>
      <c r="K147" s="1665">
        <f>SUM(K142:K146)</f>
        <v>0</v>
      </c>
      <c r="L147" s="1683">
        <f>SUM(L142:L146)</f>
        <v>0</v>
      </c>
    </row>
    <row r="148" spans="1:14" ht="15.75" customHeight="1" thickTop="1" x14ac:dyDescent="0.2">
      <c r="A148" s="660" t="s">
        <v>1103</v>
      </c>
      <c r="B148" s="661" t="s">
        <v>38</v>
      </c>
      <c r="C148" s="616"/>
      <c r="D148" s="616"/>
      <c r="E148" s="616"/>
      <c r="F148" s="616"/>
      <c r="G148" s="616"/>
      <c r="H148" s="479"/>
      <c r="I148" s="468"/>
      <c r="J148" s="616"/>
      <c r="K148" s="1667">
        <f>SUM(H148)</f>
        <v>0</v>
      </c>
      <c r="L148" s="492"/>
    </row>
    <row r="149" spans="1:14" ht="12.75" customHeight="1" thickBot="1" x14ac:dyDescent="0.25">
      <c r="A149" s="1507" t="s">
        <v>638</v>
      </c>
      <c r="B149" s="617" t="s">
        <v>492</v>
      </c>
      <c r="C149" s="616"/>
      <c r="D149" s="616"/>
      <c r="E149" s="616"/>
      <c r="F149" s="616"/>
      <c r="G149" s="616"/>
      <c r="H149" s="1665">
        <f>SUM(H147,H148)</f>
        <v>0</v>
      </c>
      <c r="I149" s="468"/>
      <c r="J149" s="616"/>
      <c r="K149" s="1665">
        <f>SUM(K147:K148)</f>
        <v>0</v>
      </c>
      <c r="L149" s="1665">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1" t="s">
        <v>620</v>
      </c>
      <c r="B151" s="2161"/>
      <c r="C151" s="1665">
        <f>SUM(C129,C130,C139,C149,C150)</f>
        <v>169074</v>
      </c>
      <c r="D151" s="1665">
        <f t="shared" ref="D151:K151" si="16">SUM(D129,D130,D139,D149,D150)</f>
        <v>38183</v>
      </c>
      <c r="E151" s="1665">
        <f t="shared" si="16"/>
        <v>1504439</v>
      </c>
      <c r="F151" s="1665">
        <f t="shared" si="16"/>
        <v>673290</v>
      </c>
      <c r="G151" s="1665">
        <f t="shared" si="16"/>
        <v>306809</v>
      </c>
      <c r="H151" s="1665">
        <f t="shared" si="16"/>
        <v>0</v>
      </c>
      <c r="I151" s="1665">
        <f t="shared" si="16"/>
        <v>0</v>
      </c>
      <c r="J151" s="1665">
        <f t="shared" si="16"/>
        <v>0</v>
      </c>
      <c r="K151" s="1665">
        <f t="shared" si="16"/>
        <v>2691795</v>
      </c>
      <c r="L151" s="1665">
        <f>SUM(L129,L130,L139,L149,L150)</f>
        <v>2642224</v>
      </c>
    </row>
    <row r="152" spans="1:14" ht="12.75" customHeight="1" thickTop="1" x14ac:dyDescent="0.2">
      <c r="A152" s="2184" t="s">
        <v>1178</v>
      </c>
      <c r="B152" s="2185"/>
      <c r="C152" s="618"/>
      <c r="D152" s="618"/>
      <c r="E152" s="618"/>
      <c r="F152" s="618"/>
      <c r="G152" s="618"/>
      <c r="H152" s="618"/>
      <c r="I152" s="618"/>
      <c r="J152" s="616"/>
      <c r="K152" s="1679">
        <f>'Revenues 9-14'!D268-'Expenditures 15-22'!K151</f>
        <v>125770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9" t="s">
        <v>621</v>
      </c>
      <c r="B154" s="217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6"/>
      <c r="I155" s="616"/>
      <c r="J155" s="616"/>
      <c r="K155" s="1820"/>
      <c r="L155" s="1836"/>
      <c r="M155" s="619"/>
      <c r="N155" s="619"/>
    </row>
    <row r="156" spans="1:14" s="620" customFormat="1" ht="15.75" customHeight="1" thickTop="1" x14ac:dyDescent="0.2">
      <c r="A156" s="1817" t="s">
        <v>1841</v>
      </c>
      <c r="B156" s="1818"/>
      <c r="C156" s="616"/>
      <c r="D156" s="616"/>
      <c r="E156" s="616"/>
      <c r="F156" s="616"/>
      <c r="G156" s="616"/>
      <c r="H156" s="1837"/>
      <c r="I156" s="616"/>
      <c r="J156" s="616"/>
      <c r="K156" s="1819"/>
      <c r="L156" s="1837"/>
      <c r="M156" s="619"/>
      <c r="N156" s="619"/>
    </row>
    <row r="157" spans="1:14" s="620" customFormat="1" ht="12" x14ac:dyDescent="0.2">
      <c r="A157" s="1821" t="s">
        <v>496</v>
      </c>
      <c r="B157" s="1822" t="s">
        <v>1840</v>
      </c>
      <c r="C157" s="616"/>
      <c r="D157" s="616"/>
      <c r="E157" s="616"/>
      <c r="F157" s="616"/>
      <c r="G157" s="616"/>
      <c r="H157" s="641"/>
      <c r="I157" s="616"/>
      <c r="J157" s="616"/>
      <c r="K157" s="1666">
        <f>H157</f>
        <v>0</v>
      </c>
      <c r="L157" s="467"/>
      <c r="M157" s="619"/>
      <c r="N157" s="619"/>
    </row>
    <row r="158" spans="1:14" s="620" customFormat="1" ht="12" x14ac:dyDescent="0.2">
      <c r="A158" s="1821" t="s">
        <v>304</v>
      </c>
      <c r="B158" s="1822" t="s">
        <v>1842</v>
      </c>
      <c r="C158" s="616"/>
      <c r="D158" s="616"/>
      <c r="E158" s="616"/>
      <c r="F158" s="616"/>
      <c r="G158" s="616"/>
      <c r="H158" s="467"/>
      <c r="I158" s="616"/>
      <c r="J158" s="616"/>
      <c r="K158" s="1666">
        <f>H158</f>
        <v>0</v>
      </c>
      <c r="L158" s="467"/>
      <c r="M158" s="619"/>
      <c r="N158" s="619"/>
    </row>
    <row r="159" spans="1:14" s="620" customFormat="1" ht="12" x14ac:dyDescent="0.2">
      <c r="A159" s="1821" t="s">
        <v>1843</v>
      </c>
      <c r="B159" s="1822" t="s">
        <v>558</v>
      </c>
      <c r="C159" s="616"/>
      <c r="D159" s="616"/>
      <c r="E159" s="616"/>
      <c r="F159" s="616"/>
      <c r="G159" s="616"/>
      <c r="H159" s="467"/>
      <c r="I159" s="616"/>
      <c r="J159" s="616"/>
      <c r="K159" s="1666">
        <f>H159</f>
        <v>0</v>
      </c>
      <c r="L159" s="467"/>
      <c r="M159" s="619"/>
      <c r="N159" s="619"/>
    </row>
    <row r="160" spans="1:14" s="620" customFormat="1" ht="15.75" customHeight="1" thickBot="1" x14ac:dyDescent="0.25">
      <c r="A160" s="1823" t="s">
        <v>1844</v>
      </c>
      <c r="B160" s="1824" t="s">
        <v>860</v>
      </c>
      <c r="C160" s="616"/>
      <c r="D160" s="616"/>
      <c r="E160" s="616"/>
      <c r="F160" s="616"/>
      <c r="G160" s="616"/>
      <c r="H160" s="1683">
        <f>SUM(H157:H159)</f>
        <v>0</v>
      </c>
      <c r="I160" s="616"/>
      <c r="J160" s="616"/>
      <c r="K160" s="1665">
        <f>SUM(K157:K159)</f>
        <v>0</v>
      </c>
      <c r="L160" s="1683">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6">
        <f>SUM(C163:J163)</f>
        <v>0</v>
      </c>
      <c r="L163" s="466"/>
    </row>
    <row r="164" spans="1:14" x14ac:dyDescent="0.2">
      <c r="A164" s="1504" t="s">
        <v>88</v>
      </c>
      <c r="B164" s="614">
        <v>5120</v>
      </c>
      <c r="C164" s="616"/>
      <c r="D164" s="616"/>
      <c r="E164" s="616"/>
      <c r="F164" s="616"/>
      <c r="G164" s="616"/>
      <c r="H164" s="466"/>
      <c r="I164" s="616"/>
      <c r="J164" s="616"/>
      <c r="K164" s="1666">
        <f>SUM(C164:J164)</f>
        <v>0</v>
      </c>
      <c r="L164" s="466"/>
    </row>
    <row r="165" spans="1:14" ht="12.75" customHeight="1" x14ac:dyDescent="0.2">
      <c r="A165" s="1504" t="s">
        <v>1170</v>
      </c>
      <c r="B165" s="614" t="s">
        <v>617</v>
      </c>
      <c r="C165" s="616"/>
      <c r="D165" s="616"/>
      <c r="E165" s="616"/>
      <c r="F165" s="616"/>
      <c r="G165" s="616"/>
      <c r="H165" s="466"/>
      <c r="I165" s="616"/>
      <c r="J165" s="616"/>
      <c r="K165" s="1666">
        <f>SUM(C165:J165)</f>
        <v>0</v>
      </c>
      <c r="L165" s="466"/>
    </row>
    <row r="166" spans="1:14" x14ac:dyDescent="0.2">
      <c r="A166" s="1504" t="s">
        <v>89</v>
      </c>
      <c r="B166" s="628" t="s">
        <v>589</v>
      </c>
      <c r="C166" s="616"/>
      <c r="D166" s="616"/>
      <c r="E166" s="616"/>
      <c r="F166" s="616"/>
      <c r="G166" s="616"/>
      <c r="H166" s="466"/>
      <c r="I166" s="616"/>
      <c r="J166" s="616"/>
      <c r="K166" s="1666">
        <f>SUM(C166:J166)</f>
        <v>0</v>
      </c>
      <c r="L166" s="466"/>
    </row>
    <row r="167" spans="1:14" ht="12.75" customHeight="1" x14ac:dyDescent="0.2">
      <c r="A167" s="1504" t="s">
        <v>619</v>
      </c>
      <c r="B167" s="614" t="s">
        <v>618</v>
      </c>
      <c r="C167" s="616"/>
      <c r="D167" s="616"/>
      <c r="E167" s="616"/>
      <c r="F167" s="616"/>
      <c r="G167" s="616"/>
      <c r="H167" s="466"/>
      <c r="I167" s="616"/>
      <c r="J167" s="616"/>
      <c r="K167" s="1666">
        <f>SUM(C167:J167)</f>
        <v>0</v>
      </c>
      <c r="L167" s="466"/>
    </row>
    <row r="168" spans="1:14" ht="13.5" thickBot="1" x14ac:dyDescent="0.25">
      <c r="A168" s="1663" t="s">
        <v>276</v>
      </c>
      <c r="B168" s="1670" t="s">
        <v>718</v>
      </c>
      <c r="C168" s="616"/>
      <c r="D168" s="616"/>
      <c r="E168" s="616"/>
      <c r="F168" s="616"/>
      <c r="G168" s="616"/>
      <c r="H168" s="1665">
        <f>SUM(H163:H167)</f>
        <v>0</v>
      </c>
      <c r="I168" s="616"/>
      <c r="J168" s="616"/>
      <c r="K168" s="1665">
        <f>SUM(K163:K167)</f>
        <v>0</v>
      </c>
      <c r="L168" s="1665">
        <f>SUM(L163:L167)</f>
        <v>0</v>
      </c>
    </row>
    <row r="169" spans="1:14" ht="15.75" customHeight="1" thickTop="1" x14ac:dyDescent="0.2">
      <c r="A169" s="669" t="s">
        <v>83</v>
      </c>
      <c r="B169" s="670" t="s">
        <v>38</v>
      </c>
      <c r="C169" s="616"/>
      <c r="D169" s="616"/>
      <c r="E169" s="616"/>
      <c r="F169" s="616"/>
      <c r="G169" s="616"/>
      <c r="H169" s="656">
        <v>241890</v>
      </c>
      <c r="I169" s="616"/>
      <c r="J169" s="616"/>
      <c r="K169" s="1666">
        <f>SUM(C169:H169)</f>
        <v>241890</v>
      </c>
      <c r="L169" s="656">
        <v>241890</v>
      </c>
    </row>
    <row r="170" spans="1:14" ht="33.75" customHeight="1" x14ac:dyDescent="0.2">
      <c r="A170" s="669" t="s">
        <v>1670</v>
      </c>
      <c r="B170" s="671" t="s">
        <v>31</v>
      </c>
      <c r="C170" s="616"/>
      <c r="D170" s="616"/>
      <c r="E170" s="616"/>
      <c r="F170" s="616"/>
      <c r="G170" s="616"/>
      <c r="H170" s="569">
        <v>418738</v>
      </c>
      <c r="I170" s="616"/>
      <c r="J170" s="616"/>
      <c r="K170" s="1666">
        <f>SUM(C170:J170)</f>
        <v>418738</v>
      </c>
      <c r="L170" s="569">
        <v>418738</v>
      </c>
    </row>
    <row r="171" spans="1:14" ht="15.75" customHeight="1" x14ac:dyDescent="0.2">
      <c r="A171" s="621" t="s">
        <v>766</v>
      </c>
      <c r="B171" s="672" t="s">
        <v>84</v>
      </c>
      <c r="C171" s="616"/>
      <c r="D171" s="616"/>
      <c r="E171" s="466"/>
      <c r="F171" s="616"/>
      <c r="G171" s="616"/>
      <c r="H171" s="569">
        <v>550</v>
      </c>
      <c r="I171" s="477"/>
      <c r="J171" s="616"/>
      <c r="K171" s="1666">
        <f>SUM(C171:J171)</f>
        <v>550</v>
      </c>
      <c r="L171" s="569">
        <v>450</v>
      </c>
    </row>
    <row r="172" spans="1:14" ht="12.75" customHeight="1" thickBot="1" x14ac:dyDescent="0.25">
      <c r="A172" s="1663" t="s">
        <v>638</v>
      </c>
      <c r="B172" s="1664" t="s">
        <v>492</v>
      </c>
      <c r="C172" s="616"/>
      <c r="D172" s="616"/>
      <c r="E172" s="1672">
        <f>SUM(E168,E169,E170,E171)</f>
        <v>0</v>
      </c>
      <c r="F172" s="616"/>
      <c r="G172" s="616"/>
      <c r="H172" s="1672">
        <f>SUM(H168,H169,H170,H171)</f>
        <v>661178</v>
      </c>
      <c r="I172" s="638"/>
      <c r="J172" s="616"/>
      <c r="K172" s="1672">
        <f>SUM(K168,K169,K170,K171)</f>
        <v>661178</v>
      </c>
      <c r="L172" s="1672">
        <f>SUM(L168,L169,L170,L171)</f>
        <v>661078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4" t="s">
        <v>90</v>
      </c>
      <c r="B174" s="1685"/>
      <c r="C174" s="616"/>
      <c r="D174" s="616"/>
      <c r="E174" s="1672">
        <f>SUM(E172,E173)</f>
        <v>0</v>
      </c>
      <c r="F174" s="616"/>
      <c r="G174" s="616"/>
      <c r="H174" s="1672">
        <f>SUM(H160,H172,H173)</f>
        <v>661178</v>
      </c>
      <c r="I174" s="638"/>
      <c r="J174" s="616"/>
      <c r="K174" s="1672">
        <f>SUM(K160,K172,K173)</f>
        <v>661178</v>
      </c>
      <c r="L174" s="1672">
        <f>SUM(L160,L172,L173)</f>
        <v>661078</v>
      </c>
    </row>
    <row r="175" spans="1:14" ht="13.5" thickTop="1" x14ac:dyDescent="0.2">
      <c r="A175" s="2164" t="s">
        <v>996</v>
      </c>
      <c r="B175" s="2165"/>
      <c r="C175" s="616"/>
      <c r="D175" s="616"/>
      <c r="E175" s="616"/>
      <c r="F175" s="616"/>
      <c r="G175" s="616"/>
      <c r="H175" s="618"/>
      <c r="I175" s="616"/>
      <c r="J175" s="616"/>
      <c r="K175" s="1679">
        <f>'Revenues 9-14'!E268-'Expenditures 15-22'!K174</f>
        <v>-158423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2053</v>
      </c>
      <c r="B180" s="614" t="s">
        <v>716</v>
      </c>
      <c r="C180" s="466"/>
      <c r="D180" s="466"/>
      <c r="E180" s="466"/>
      <c r="F180" s="466"/>
      <c r="G180" s="466"/>
      <c r="H180" s="466"/>
      <c r="I180" s="467"/>
      <c r="J180" s="467"/>
      <c r="K180" s="1666">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34472</v>
      </c>
      <c r="D182" s="466">
        <v>4946</v>
      </c>
      <c r="E182" s="466">
        <v>2802912</v>
      </c>
      <c r="F182" s="466">
        <v>146384</v>
      </c>
      <c r="G182" s="466"/>
      <c r="H182" s="466"/>
      <c r="I182" s="467"/>
      <c r="J182" s="467"/>
      <c r="K182" s="1666">
        <f>SUM(C182:J182)</f>
        <v>2988714</v>
      </c>
      <c r="L182" s="466">
        <v>2992338</v>
      </c>
    </row>
    <row r="183" spans="1:14" ht="12.75" customHeight="1" thickBot="1" x14ac:dyDescent="0.25">
      <c r="A183" s="1509" t="s">
        <v>980</v>
      </c>
      <c r="B183" s="677">
        <v>2900</v>
      </c>
      <c r="C183" s="573"/>
      <c r="D183" s="573"/>
      <c r="E183" s="573"/>
      <c r="F183" s="573"/>
      <c r="G183" s="573"/>
      <c r="H183" s="573"/>
      <c r="I183" s="532"/>
      <c r="J183" s="532"/>
      <c r="K183" s="1672">
        <f>SUM(C183:J183)</f>
        <v>0</v>
      </c>
      <c r="L183" s="573"/>
    </row>
    <row r="184" spans="1:14" ht="12.75" customHeight="1" thickTop="1" thickBot="1" x14ac:dyDescent="0.25">
      <c r="A184" s="1686" t="s">
        <v>811</v>
      </c>
      <c r="B184" s="1664" t="s">
        <v>569</v>
      </c>
      <c r="C184" s="1672">
        <f>SUM(C180,C182,C183)</f>
        <v>34472</v>
      </c>
      <c r="D184" s="1672">
        <f t="shared" ref="D184:J184" si="17">SUM(D180,D182,D183)</f>
        <v>4946</v>
      </c>
      <c r="E184" s="1672">
        <f t="shared" si="17"/>
        <v>2802912</v>
      </c>
      <c r="F184" s="1672">
        <f t="shared" si="17"/>
        <v>146384</v>
      </c>
      <c r="G184" s="1672">
        <f t="shared" si="17"/>
        <v>0</v>
      </c>
      <c r="H184" s="1672">
        <f t="shared" si="17"/>
        <v>0</v>
      </c>
      <c r="I184" s="1672">
        <f t="shared" si="17"/>
        <v>0</v>
      </c>
      <c r="J184" s="1672">
        <f t="shared" si="17"/>
        <v>0</v>
      </c>
      <c r="K184" s="1672">
        <f>SUM(K180,K182,K183)</f>
        <v>2988714</v>
      </c>
      <c r="L184" s="1672">
        <f>SUM(L180, L182:L183)</f>
        <v>2992338</v>
      </c>
    </row>
    <row r="185" spans="1:14" ht="15.75" customHeight="1" thickTop="1" thickBot="1" x14ac:dyDescent="0.25">
      <c r="A185" s="1622" t="s">
        <v>939</v>
      </c>
      <c r="B185" s="1611">
        <v>3000</v>
      </c>
      <c r="C185" s="576"/>
      <c r="D185" s="576"/>
      <c r="E185" s="576"/>
      <c r="F185" s="576"/>
      <c r="G185" s="576"/>
      <c r="H185" s="576"/>
      <c r="I185" s="531"/>
      <c r="J185" s="531"/>
      <c r="K185" s="1665">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6">
        <f t="shared" ref="K188:K193" si="18">SUM(E188,H188)</f>
        <v>0</v>
      </c>
      <c r="L188" s="466"/>
    </row>
    <row r="189" spans="1:14" x14ac:dyDescent="0.2">
      <c r="A189" s="1504" t="s">
        <v>304</v>
      </c>
      <c r="B189" s="614">
        <v>4120</v>
      </c>
      <c r="C189" s="616"/>
      <c r="D189" s="616"/>
      <c r="E189" s="466"/>
      <c r="F189" s="616"/>
      <c r="G189" s="616"/>
      <c r="H189" s="466"/>
      <c r="I189" s="477"/>
      <c r="J189" s="616"/>
      <c r="K189" s="1666">
        <f t="shared" si="18"/>
        <v>0</v>
      </c>
      <c r="L189" s="466"/>
    </row>
    <row r="190" spans="1:14" x14ac:dyDescent="0.2">
      <c r="A190" s="1504" t="s">
        <v>305</v>
      </c>
      <c r="B190" s="628">
        <v>4130</v>
      </c>
      <c r="C190" s="616"/>
      <c r="D190" s="616"/>
      <c r="E190" s="466"/>
      <c r="F190" s="616"/>
      <c r="G190" s="616"/>
      <c r="H190" s="466"/>
      <c r="I190" s="477"/>
      <c r="J190" s="616"/>
      <c r="K190" s="1666">
        <f t="shared" si="18"/>
        <v>0</v>
      </c>
      <c r="L190" s="466"/>
    </row>
    <row r="191" spans="1:14" x14ac:dyDescent="0.2">
      <c r="A191" s="1504" t="s">
        <v>697</v>
      </c>
      <c r="B191" s="614">
        <v>4140</v>
      </c>
      <c r="C191" s="616"/>
      <c r="D191" s="616"/>
      <c r="E191" s="466"/>
      <c r="F191" s="616"/>
      <c r="G191" s="616"/>
      <c r="H191" s="466"/>
      <c r="I191" s="477"/>
      <c r="J191" s="616"/>
      <c r="K191" s="1666">
        <f t="shared" si="18"/>
        <v>0</v>
      </c>
      <c r="L191" s="466"/>
    </row>
    <row r="192" spans="1:14" x14ac:dyDescent="0.2">
      <c r="A192" s="1504" t="s">
        <v>86</v>
      </c>
      <c r="B192" s="614">
        <v>4170</v>
      </c>
      <c r="C192" s="616"/>
      <c r="D192" s="616"/>
      <c r="E192" s="466"/>
      <c r="F192" s="616"/>
      <c r="G192" s="616"/>
      <c r="H192" s="466"/>
      <c r="I192" s="477"/>
      <c r="J192" s="616"/>
      <c r="K192" s="1666">
        <f t="shared" si="18"/>
        <v>0</v>
      </c>
      <c r="L192" s="466"/>
    </row>
    <row r="193" spans="1:14" x14ac:dyDescent="0.2">
      <c r="A193" s="1508" t="s">
        <v>698</v>
      </c>
      <c r="B193" s="628">
        <v>4190</v>
      </c>
      <c r="C193" s="616"/>
      <c r="D193" s="616"/>
      <c r="E193" s="466"/>
      <c r="F193" s="616"/>
      <c r="G193" s="616"/>
      <c r="H193" s="466"/>
      <c r="I193" s="477"/>
      <c r="J193" s="616"/>
      <c r="K193" s="1666">
        <f t="shared" si="18"/>
        <v>0</v>
      </c>
      <c r="L193" s="466"/>
    </row>
    <row r="194" spans="1:14" ht="12.75" customHeight="1" thickBot="1" x14ac:dyDescent="0.25">
      <c r="A194" s="1663" t="s">
        <v>1140</v>
      </c>
      <c r="B194" s="1664" t="s">
        <v>559</v>
      </c>
      <c r="C194" s="616"/>
      <c r="D194" s="616"/>
      <c r="E194" s="1665">
        <f>SUM(E188:E193)</f>
        <v>0</v>
      </c>
      <c r="F194" s="616"/>
      <c r="G194" s="616"/>
      <c r="H194" s="1665">
        <f>SUM(H188:H193)</f>
        <v>0</v>
      </c>
      <c r="I194" s="477"/>
      <c r="J194" s="616"/>
      <c r="K194" s="1665">
        <f>SUM(K188:K193)</f>
        <v>0</v>
      </c>
      <c r="L194" s="1665">
        <f>SUM(L188:L193)</f>
        <v>0</v>
      </c>
    </row>
    <row r="195" spans="1:14" ht="15.75" customHeight="1" thickTop="1" x14ac:dyDescent="0.2">
      <c r="A195" s="669" t="s">
        <v>92</v>
      </c>
      <c r="B195" s="678" t="s">
        <v>931</v>
      </c>
      <c r="C195" s="616"/>
      <c r="D195" s="616"/>
      <c r="E195" s="656"/>
      <c r="F195" s="616"/>
      <c r="G195" s="616"/>
      <c r="H195" s="656"/>
      <c r="I195" s="477"/>
      <c r="J195" s="616"/>
      <c r="K195" s="1680">
        <f>SUM(E195,H195)</f>
        <v>0</v>
      </c>
      <c r="L195" s="656"/>
    </row>
    <row r="196" spans="1:14" ht="12.75" customHeight="1" thickBot="1" x14ac:dyDescent="0.25">
      <c r="A196" s="1663" t="s">
        <v>1487</v>
      </c>
      <c r="B196" s="1664" t="s">
        <v>860</v>
      </c>
      <c r="C196" s="616"/>
      <c r="D196" s="616"/>
      <c r="E196" s="1672">
        <f>SUM(E194,E195)</f>
        <v>0</v>
      </c>
      <c r="F196" s="616"/>
      <c r="G196" s="616"/>
      <c r="H196" s="1672">
        <f>SUM(H194,H195)</f>
        <v>0</v>
      </c>
      <c r="I196" s="477"/>
      <c r="J196" s="616"/>
      <c r="K196" s="1672">
        <f>SUM(K194,K195)</f>
        <v>0</v>
      </c>
      <c r="L196" s="1672">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6">
        <f>SUM(H199)</f>
        <v>0</v>
      </c>
      <c r="L199" s="466"/>
    </row>
    <row r="200" spans="1:14" x14ac:dyDescent="0.2">
      <c r="A200" s="1504" t="s">
        <v>88</v>
      </c>
      <c r="B200" s="614">
        <v>5120</v>
      </c>
      <c r="C200" s="616"/>
      <c r="D200" s="616"/>
      <c r="E200" s="616"/>
      <c r="F200" s="616"/>
      <c r="G200" s="616"/>
      <c r="H200" s="466"/>
      <c r="I200" s="616"/>
      <c r="J200" s="616"/>
      <c r="K200" s="1666">
        <f>SUM(H200)</f>
        <v>0</v>
      </c>
      <c r="L200" s="466"/>
    </row>
    <row r="201" spans="1:14" ht="12.75" customHeight="1" x14ac:dyDescent="0.2">
      <c r="A201" s="1504" t="s">
        <v>1170</v>
      </c>
      <c r="B201" s="628" t="s">
        <v>617</v>
      </c>
      <c r="C201" s="616"/>
      <c r="D201" s="616"/>
      <c r="E201" s="616"/>
      <c r="F201" s="616"/>
      <c r="G201" s="616"/>
      <c r="H201" s="466"/>
      <c r="I201" s="616"/>
      <c r="J201" s="616"/>
      <c r="K201" s="1666">
        <f>SUM(H201)</f>
        <v>0</v>
      </c>
      <c r="L201" s="466"/>
    </row>
    <row r="202" spans="1:14" x14ac:dyDescent="0.2">
      <c r="A202" s="1504" t="s">
        <v>89</v>
      </c>
      <c r="B202" s="614" t="s">
        <v>589</v>
      </c>
      <c r="C202" s="616"/>
      <c r="D202" s="616"/>
      <c r="E202" s="616"/>
      <c r="F202" s="616"/>
      <c r="G202" s="616"/>
      <c r="H202" s="466"/>
      <c r="I202" s="616"/>
      <c r="J202" s="616"/>
      <c r="K202" s="1666">
        <f>SUM(H202)</f>
        <v>0</v>
      </c>
      <c r="L202" s="466"/>
    </row>
    <row r="203" spans="1:14" x14ac:dyDescent="0.2">
      <c r="A203" s="1516" t="s">
        <v>619</v>
      </c>
      <c r="B203" s="614" t="s">
        <v>618</v>
      </c>
      <c r="C203" s="616"/>
      <c r="D203" s="616"/>
      <c r="E203" s="616"/>
      <c r="F203" s="616"/>
      <c r="G203" s="616"/>
      <c r="H203" s="471"/>
      <c r="I203" s="616"/>
      <c r="J203" s="616"/>
      <c r="K203" s="1666">
        <f>SUM(H203)</f>
        <v>0</v>
      </c>
      <c r="L203" s="471"/>
    </row>
    <row r="204" spans="1:14" ht="13.5" thickBot="1" x14ac:dyDescent="0.25">
      <c r="A204" s="1663" t="s">
        <v>276</v>
      </c>
      <c r="B204" s="1664" t="s">
        <v>718</v>
      </c>
      <c r="C204" s="616"/>
      <c r="D204" s="616"/>
      <c r="E204" s="616"/>
      <c r="F204" s="616"/>
      <c r="G204" s="616"/>
      <c r="H204" s="1665">
        <f>SUM(H199:H203)</f>
        <v>0</v>
      </c>
      <c r="I204" s="616"/>
      <c r="J204" s="616"/>
      <c r="K204" s="1665">
        <f>SUM(K199:K203)</f>
        <v>0</v>
      </c>
      <c r="L204" s="1665">
        <f>SUM(L199:L203)</f>
        <v>0</v>
      </c>
    </row>
    <row r="205" spans="1:14" ht="15.75" customHeight="1" thickTop="1" x14ac:dyDescent="0.2">
      <c r="A205" s="679" t="s">
        <v>83</v>
      </c>
      <c r="B205" s="680" t="s">
        <v>38</v>
      </c>
      <c r="C205" s="616"/>
      <c r="D205" s="616"/>
      <c r="E205" s="616"/>
      <c r="F205" s="616"/>
      <c r="G205" s="616"/>
      <c r="H205" s="535"/>
      <c r="I205" s="616"/>
      <c r="J205" s="616"/>
      <c r="K205" s="1680">
        <f>SUM(H205)</f>
        <v>0</v>
      </c>
      <c r="L205" s="535"/>
    </row>
    <row r="206" spans="1:14" ht="30" customHeight="1" x14ac:dyDescent="0.2">
      <c r="A206" s="681" t="s">
        <v>1671</v>
      </c>
      <c r="B206" s="672" t="s">
        <v>31</v>
      </c>
      <c r="C206" s="616"/>
      <c r="D206" s="616"/>
      <c r="E206" s="616"/>
      <c r="F206" s="616"/>
      <c r="G206" s="616"/>
      <c r="H206" s="466"/>
      <c r="I206" s="616"/>
      <c r="J206" s="616"/>
      <c r="K206" s="1666">
        <f>SUM(H206)</f>
        <v>0</v>
      </c>
      <c r="L206" s="466"/>
    </row>
    <row r="207" spans="1:14" ht="15.75" customHeight="1" x14ac:dyDescent="0.2">
      <c r="A207" s="621" t="s">
        <v>766</v>
      </c>
      <c r="B207" s="672" t="s">
        <v>84</v>
      </c>
      <c r="C207" s="616"/>
      <c r="D207" s="616"/>
      <c r="E207" s="616"/>
      <c r="F207" s="616"/>
      <c r="G207" s="616"/>
      <c r="H207" s="467"/>
      <c r="I207" s="616"/>
      <c r="J207" s="616"/>
      <c r="K207" s="1666">
        <f>H207</f>
        <v>0</v>
      </c>
      <c r="L207" s="466"/>
    </row>
    <row r="208" spans="1:14" ht="12.75" customHeight="1" thickBot="1" x14ac:dyDescent="0.25">
      <c r="A208" s="1681" t="s">
        <v>638</v>
      </c>
      <c r="B208" s="1682" t="s">
        <v>492</v>
      </c>
      <c r="C208" s="616"/>
      <c r="D208" s="616"/>
      <c r="E208" s="616"/>
      <c r="F208" s="616"/>
      <c r="G208" s="616"/>
      <c r="H208" s="1672">
        <f>SUM(H204,H205,H206,H207)</f>
        <v>0</v>
      </c>
      <c r="I208" s="616"/>
      <c r="J208" s="616"/>
      <c r="K208" s="1672">
        <f>SUM(K204,K205,K206,K207)</f>
        <v>0</v>
      </c>
      <c r="L208" s="1672">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87" t="s">
        <v>277</v>
      </c>
      <c r="B210" s="1688"/>
      <c r="C210" s="1665">
        <f>SUM(C184,C185)</f>
        <v>34472</v>
      </c>
      <c r="D210" s="1665">
        <f>SUM(D184,D185)</f>
        <v>4946</v>
      </c>
      <c r="E210" s="1665">
        <f>SUM(E184,E185,E196)</f>
        <v>2802912</v>
      </c>
      <c r="F210" s="1665">
        <f>SUM(F184,F185)</f>
        <v>146384</v>
      </c>
      <c r="G210" s="1665">
        <f>SUM(G184,G185)</f>
        <v>0</v>
      </c>
      <c r="H210" s="1665">
        <f>SUM(H184,H185,H196,H208,H209)</f>
        <v>0</v>
      </c>
      <c r="I210" s="1665">
        <f>SUM(I184,I185)</f>
        <v>0</v>
      </c>
      <c r="J210" s="1665">
        <f>SUM(J184,J185)</f>
        <v>0</v>
      </c>
      <c r="K210" s="1666">
        <f>SUM(K184,K185,K196,K208,K209)</f>
        <v>2988714</v>
      </c>
      <c r="L210" s="1665">
        <f>SUM(L184,L185,L196,L208,L209)</f>
        <v>2992338</v>
      </c>
    </row>
    <row r="211" spans="1:14" ht="13.5" thickTop="1" x14ac:dyDescent="0.2">
      <c r="A211" s="2164" t="s">
        <v>996</v>
      </c>
      <c r="B211" s="2165"/>
      <c r="C211" s="618"/>
      <c r="D211" s="618"/>
      <c r="E211" s="618"/>
      <c r="F211" s="618"/>
      <c r="G211" s="618"/>
      <c r="H211" s="618"/>
      <c r="I211" s="616"/>
      <c r="J211" s="616"/>
      <c r="K211" s="1679">
        <f>'Revenues 9-14'!F268-'Expenditures 15-22'!K210</f>
        <v>-102893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6" t="s">
        <v>965</v>
      </c>
      <c r="B213" s="218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151310</v>
      </c>
      <c r="E215" s="616"/>
      <c r="F215" s="616"/>
      <c r="G215" s="616"/>
      <c r="H215" s="616"/>
      <c r="I215" s="616"/>
      <c r="J215" s="616"/>
      <c r="K215" s="1666">
        <f>D215</f>
        <v>151310</v>
      </c>
      <c r="L215" s="466">
        <v>158752</v>
      </c>
    </row>
    <row r="216" spans="1:14" x14ac:dyDescent="0.2">
      <c r="A216" s="1504" t="s">
        <v>163</v>
      </c>
      <c r="B216" s="614" t="s">
        <v>967</v>
      </c>
      <c r="C216" s="616"/>
      <c r="D216" s="467">
        <v>27616</v>
      </c>
      <c r="E216" s="616"/>
      <c r="F216" s="616"/>
      <c r="G216" s="616"/>
      <c r="H216" s="616"/>
      <c r="I216" s="616"/>
      <c r="J216" s="616"/>
      <c r="K216" s="1666">
        <f t="shared" ref="K216:K228" si="19">D216</f>
        <v>27616</v>
      </c>
      <c r="L216" s="466">
        <v>30287</v>
      </c>
    </row>
    <row r="217" spans="1:14" x14ac:dyDescent="0.2">
      <c r="A217" s="1504" t="s">
        <v>164</v>
      </c>
      <c r="B217" s="614">
        <v>1200</v>
      </c>
      <c r="C217" s="616"/>
      <c r="D217" s="466">
        <v>217527</v>
      </c>
      <c r="E217" s="616"/>
      <c r="F217" s="616"/>
      <c r="G217" s="616"/>
      <c r="H217" s="616"/>
      <c r="I217" s="616"/>
      <c r="J217" s="616"/>
      <c r="K217" s="1666">
        <f t="shared" si="19"/>
        <v>217527</v>
      </c>
      <c r="L217" s="466">
        <v>225753</v>
      </c>
    </row>
    <row r="218" spans="1:14" x14ac:dyDescent="0.2">
      <c r="A218" s="1504" t="s">
        <v>278</v>
      </c>
      <c r="B218" s="614" t="s">
        <v>968</v>
      </c>
      <c r="C218" s="616"/>
      <c r="D218" s="467">
        <v>26839</v>
      </c>
      <c r="E218" s="616"/>
      <c r="F218" s="616"/>
      <c r="G218" s="616"/>
      <c r="H218" s="616"/>
      <c r="I218" s="616"/>
      <c r="J218" s="616"/>
      <c r="K218" s="1666">
        <f t="shared" si="19"/>
        <v>26839</v>
      </c>
      <c r="L218" s="466">
        <v>28956</v>
      </c>
    </row>
    <row r="219" spans="1:14" x14ac:dyDescent="0.2">
      <c r="A219" s="1504" t="s">
        <v>279</v>
      </c>
      <c r="B219" s="614">
        <v>1250</v>
      </c>
      <c r="C219" s="616"/>
      <c r="D219" s="466">
        <v>5971</v>
      </c>
      <c r="E219" s="616"/>
      <c r="F219" s="616"/>
      <c r="G219" s="616"/>
      <c r="H219" s="616"/>
      <c r="I219" s="616"/>
      <c r="J219" s="616"/>
      <c r="K219" s="1666">
        <f t="shared" si="19"/>
        <v>5971</v>
      </c>
      <c r="L219" s="466"/>
    </row>
    <row r="220" spans="1:14" x14ac:dyDescent="0.2">
      <c r="A220" s="1504" t="s">
        <v>280</v>
      </c>
      <c r="B220" s="614" t="s">
        <v>161</v>
      </c>
      <c r="C220" s="616"/>
      <c r="D220" s="467"/>
      <c r="E220" s="616"/>
      <c r="F220" s="616"/>
      <c r="G220" s="616"/>
      <c r="H220" s="616"/>
      <c r="I220" s="616"/>
      <c r="J220" s="616"/>
      <c r="K220" s="1666">
        <f t="shared" si="19"/>
        <v>0</v>
      </c>
      <c r="L220" s="466"/>
    </row>
    <row r="221" spans="1:14" x14ac:dyDescent="0.2">
      <c r="A221" s="1504" t="s">
        <v>962</v>
      </c>
      <c r="B221" s="614">
        <v>1300</v>
      </c>
      <c r="C221" s="616"/>
      <c r="D221" s="466"/>
      <c r="E221" s="616"/>
      <c r="F221" s="616"/>
      <c r="G221" s="616"/>
      <c r="H221" s="616"/>
      <c r="I221" s="616"/>
      <c r="J221" s="616"/>
      <c r="K221" s="1666">
        <f t="shared" si="19"/>
        <v>0</v>
      </c>
      <c r="L221" s="466"/>
    </row>
    <row r="222" spans="1:14" x14ac:dyDescent="0.2">
      <c r="A222" s="1504" t="s">
        <v>723</v>
      </c>
      <c r="B222" s="614">
        <v>1400</v>
      </c>
      <c r="C222" s="616"/>
      <c r="D222" s="466"/>
      <c r="E222" s="616"/>
      <c r="F222" s="616"/>
      <c r="G222" s="616"/>
      <c r="H222" s="616"/>
      <c r="I222" s="616"/>
      <c r="J222" s="616"/>
      <c r="K222" s="1666">
        <f t="shared" si="19"/>
        <v>0</v>
      </c>
      <c r="L222" s="466"/>
    </row>
    <row r="223" spans="1:14" x14ac:dyDescent="0.2">
      <c r="A223" s="1504" t="s">
        <v>963</v>
      </c>
      <c r="B223" s="614">
        <v>1500</v>
      </c>
      <c r="C223" s="616"/>
      <c r="D223" s="466">
        <v>5989</v>
      </c>
      <c r="E223" s="616"/>
      <c r="F223" s="616"/>
      <c r="G223" s="616"/>
      <c r="H223" s="616"/>
      <c r="I223" s="616"/>
      <c r="J223" s="616"/>
      <c r="K223" s="1666">
        <f t="shared" si="19"/>
        <v>5989</v>
      </c>
      <c r="L223" s="466">
        <v>5263</v>
      </c>
    </row>
    <row r="224" spans="1:14" x14ac:dyDescent="0.2">
      <c r="A224" s="1504" t="s">
        <v>964</v>
      </c>
      <c r="B224" s="614">
        <v>1600</v>
      </c>
      <c r="C224" s="616"/>
      <c r="D224" s="466"/>
      <c r="E224" s="616"/>
      <c r="F224" s="616"/>
      <c r="G224" s="616"/>
      <c r="H224" s="616"/>
      <c r="I224" s="616"/>
      <c r="J224" s="616"/>
      <c r="K224" s="1666">
        <f t="shared" si="19"/>
        <v>0</v>
      </c>
      <c r="L224" s="466"/>
    </row>
    <row r="225" spans="1:12" x14ac:dyDescent="0.2">
      <c r="A225" s="1504" t="s">
        <v>987</v>
      </c>
      <c r="B225" s="614">
        <v>1650</v>
      </c>
      <c r="C225" s="616"/>
      <c r="D225" s="466"/>
      <c r="E225" s="616"/>
      <c r="F225" s="616"/>
      <c r="G225" s="616"/>
      <c r="H225" s="616"/>
      <c r="I225" s="616"/>
      <c r="J225" s="616"/>
      <c r="K225" s="1666">
        <f t="shared" si="19"/>
        <v>0</v>
      </c>
      <c r="L225" s="466"/>
    </row>
    <row r="226" spans="1:12" x14ac:dyDescent="0.2">
      <c r="A226" s="1504" t="s">
        <v>724</v>
      </c>
      <c r="B226" s="614" t="s">
        <v>162</v>
      </c>
      <c r="C226" s="616"/>
      <c r="D226" s="467"/>
      <c r="E226" s="616"/>
      <c r="F226" s="616"/>
      <c r="G226" s="616"/>
      <c r="H226" s="616"/>
      <c r="I226" s="616"/>
      <c r="J226" s="616"/>
      <c r="K226" s="1666">
        <f t="shared" si="19"/>
        <v>0</v>
      </c>
      <c r="L226" s="466"/>
    </row>
    <row r="227" spans="1:12" x14ac:dyDescent="0.2">
      <c r="A227" s="1504" t="s">
        <v>1087</v>
      </c>
      <c r="B227" s="614">
        <v>1800</v>
      </c>
      <c r="C227" s="616"/>
      <c r="D227" s="466"/>
      <c r="E227" s="616"/>
      <c r="F227" s="616"/>
      <c r="G227" s="616"/>
      <c r="H227" s="616"/>
      <c r="I227" s="616"/>
      <c r="J227" s="616"/>
      <c r="K227" s="1666">
        <f t="shared" si="19"/>
        <v>0</v>
      </c>
      <c r="L227" s="466"/>
    </row>
    <row r="228" spans="1:12" x14ac:dyDescent="0.2">
      <c r="A228" s="1504" t="s">
        <v>1088</v>
      </c>
      <c r="B228" s="614">
        <v>1900</v>
      </c>
      <c r="C228" s="616"/>
      <c r="D228" s="466"/>
      <c r="E228" s="616"/>
      <c r="F228" s="616"/>
      <c r="G228" s="616"/>
      <c r="H228" s="616"/>
      <c r="I228" s="616"/>
      <c r="J228" s="616"/>
      <c r="K228" s="1666">
        <f t="shared" si="19"/>
        <v>0</v>
      </c>
      <c r="L228" s="466"/>
    </row>
    <row r="229" spans="1:12" ht="12.75" customHeight="1" thickBot="1" x14ac:dyDescent="0.25">
      <c r="A229" s="1663" t="s">
        <v>715</v>
      </c>
      <c r="B229" s="1670" t="s">
        <v>570</v>
      </c>
      <c r="C229" s="616"/>
      <c r="D229" s="1665">
        <f>SUM(D215:D228)</f>
        <v>435252</v>
      </c>
      <c r="E229" s="616"/>
      <c r="F229" s="616"/>
      <c r="G229" s="616"/>
      <c r="H229" s="616"/>
      <c r="I229" s="616"/>
      <c r="J229" s="616"/>
      <c r="K229" s="1665">
        <f>SUM(K215:K228)</f>
        <v>435252</v>
      </c>
      <c r="L229" s="1665">
        <f>SUM(L215:L228)</f>
        <v>449011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2644</v>
      </c>
      <c r="E232" s="616"/>
      <c r="F232" s="616"/>
      <c r="G232" s="616"/>
      <c r="H232" s="616"/>
      <c r="I232" s="616"/>
      <c r="J232" s="616"/>
      <c r="K232" s="1666">
        <f t="shared" ref="K232:K237" si="20">D232</f>
        <v>2644</v>
      </c>
      <c r="L232" s="466">
        <v>2917</v>
      </c>
    </row>
    <row r="233" spans="1:12" x14ac:dyDescent="0.2">
      <c r="A233" s="1504" t="s">
        <v>1090</v>
      </c>
      <c r="B233" s="614">
        <v>2120</v>
      </c>
      <c r="C233" s="616"/>
      <c r="D233" s="466">
        <v>5269</v>
      </c>
      <c r="E233" s="616"/>
      <c r="F233" s="616"/>
      <c r="G233" s="616"/>
      <c r="H233" s="616"/>
      <c r="I233" s="616"/>
      <c r="J233" s="616"/>
      <c r="K233" s="1666">
        <f t="shared" si="20"/>
        <v>5269</v>
      </c>
      <c r="L233" s="466">
        <v>5565</v>
      </c>
    </row>
    <row r="234" spans="1:12" x14ac:dyDescent="0.2">
      <c r="A234" s="1504" t="s">
        <v>198</v>
      </c>
      <c r="B234" s="614">
        <v>2130</v>
      </c>
      <c r="C234" s="616"/>
      <c r="D234" s="466">
        <v>31939</v>
      </c>
      <c r="E234" s="616"/>
      <c r="F234" s="616"/>
      <c r="G234" s="616"/>
      <c r="H234" s="616"/>
      <c r="I234" s="616"/>
      <c r="J234" s="616"/>
      <c r="K234" s="1666">
        <f t="shared" si="20"/>
        <v>31939</v>
      </c>
      <c r="L234" s="466">
        <v>32886</v>
      </c>
    </row>
    <row r="235" spans="1:12" x14ac:dyDescent="0.2">
      <c r="A235" s="1504" t="s">
        <v>199</v>
      </c>
      <c r="B235" s="614">
        <v>2140</v>
      </c>
      <c r="C235" s="616"/>
      <c r="D235" s="466">
        <v>2100</v>
      </c>
      <c r="E235" s="616"/>
      <c r="F235" s="616"/>
      <c r="G235" s="616"/>
      <c r="H235" s="616"/>
      <c r="I235" s="616"/>
      <c r="J235" s="616"/>
      <c r="K235" s="1666">
        <f t="shared" si="20"/>
        <v>2100</v>
      </c>
      <c r="L235" s="466">
        <v>2128</v>
      </c>
    </row>
    <row r="236" spans="1:12" x14ac:dyDescent="0.2">
      <c r="A236" s="1504" t="s">
        <v>200</v>
      </c>
      <c r="B236" s="614">
        <v>2150</v>
      </c>
      <c r="C236" s="616"/>
      <c r="D236" s="466">
        <v>8038</v>
      </c>
      <c r="E236" s="616"/>
      <c r="F236" s="616"/>
      <c r="G236" s="616"/>
      <c r="H236" s="616"/>
      <c r="I236" s="616"/>
      <c r="J236" s="616"/>
      <c r="K236" s="1666">
        <f t="shared" si="20"/>
        <v>8038</v>
      </c>
      <c r="L236" s="466">
        <v>8639</v>
      </c>
    </row>
    <row r="237" spans="1:12" x14ac:dyDescent="0.2">
      <c r="A237" s="1504" t="s">
        <v>165</v>
      </c>
      <c r="B237" s="614">
        <v>2190</v>
      </c>
      <c r="C237" s="616"/>
      <c r="D237" s="466"/>
      <c r="E237" s="616"/>
      <c r="F237" s="616"/>
      <c r="G237" s="616"/>
      <c r="H237" s="616"/>
      <c r="I237" s="616"/>
      <c r="J237" s="616"/>
      <c r="K237" s="1666">
        <f t="shared" si="20"/>
        <v>0</v>
      </c>
      <c r="L237" s="466"/>
    </row>
    <row r="238" spans="1:12" ht="12.75" customHeight="1" thickBot="1" x14ac:dyDescent="0.25">
      <c r="A238" s="1663" t="s">
        <v>560</v>
      </c>
      <c r="B238" s="1670" t="s">
        <v>716</v>
      </c>
      <c r="C238" s="616"/>
      <c r="D238" s="1665">
        <f>SUM(D232:D237)</f>
        <v>49990</v>
      </c>
      <c r="E238" s="616"/>
      <c r="F238" s="616"/>
      <c r="G238" s="616"/>
      <c r="H238" s="616"/>
      <c r="I238" s="616"/>
      <c r="J238" s="616"/>
      <c r="K238" s="1665">
        <f>SUM(K232:K237)</f>
        <v>49990</v>
      </c>
      <c r="L238" s="1665">
        <f>SUM(L232:L237)</f>
        <v>52135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6022</v>
      </c>
      <c r="E240" s="616"/>
      <c r="F240" s="616"/>
      <c r="G240" s="616"/>
      <c r="H240" s="616"/>
      <c r="I240" s="616"/>
      <c r="J240" s="616"/>
      <c r="K240" s="1667">
        <f>D240</f>
        <v>6022</v>
      </c>
      <c r="L240" s="481">
        <v>5005</v>
      </c>
    </row>
    <row r="241" spans="1:12" x14ac:dyDescent="0.2">
      <c r="A241" s="1504" t="s">
        <v>815</v>
      </c>
      <c r="B241" s="614">
        <v>2220</v>
      </c>
      <c r="C241" s="616"/>
      <c r="D241" s="466">
        <v>46248</v>
      </c>
      <c r="E241" s="616"/>
      <c r="F241" s="616"/>
      <c r="G241" s="616"/>
      <c r="H241" s="616"/>
      <c r="I241" s="616"/>
      <c r="J241" s="616"/>
      <c r="K241" s="1667">
        <f>D241</f>
        <v>46248</v>
      </c>
      <c r="L241" s="466">
        <v>48835</v>
      </c>
    </row>
    <row r="242" spans="1:12" x14ac:dyDescent="0.2">
      <c r="A242" s="1504" t="s">
        <v>816</v>
      </c>
      <c r="B242" s="614">
        <v>2230</v>
      </c>
      <c r="C242" s="616"/>
      <c r="D242" s="466">
        <v>493</v>
      </c>
      <c r="E242" s="616"/>
      <c r="F242" s="616"/>
      <c r="G242" s="616"/>
      <c r="H242" s="616"/>
      <c r="I242" s="616"/>
      <c r="J242" s="616"/>
      <c r="K242" s="1667">
        <f>D242</f>
        <v>493</v>
      </c>
      <c r="L242" s="466" t="s">
        <v>2085</v>
      </c>
    </row>
    <row r="243" spans="1:12" ht="12.75" customHeight="1" thickBot="1" x14ac:dyDescent="0.25">
      <c r="A243" s="1689" t="s">
        <v>561</v>
      </c>
      <c r="B243" s="1690">
        <v>2200</v>
      </c>
      <c r="C243" s="616"/>
      <c r="D243" s="1665">
        <f>SUM(D240:D242)</f>
        <v>52763</v>
      </c>
      <c r="E243" s="616"/>
      <c r="F243" s="616"/>
      <c r="G243" s="616"/>
      <c r="H243" s="616"/>
      <c r="I243" s="616"/>
      <c r="J243" s="616"/>
      <c r="K243" s="1665">
        <f>SUM(K240:K242)</f>
        <v>52763</v>
      </c>
      <c r="L243" s="1665">
        <f>SUM(L240:L242)</f>
        <v>53840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1033</v>
      </c>
      <c r="E245" s="616"/>
      <c r="F245" s="616"/>
      <c r="G245" s="616"/>
      <c r="H245" s="616"/>
      <c r="I245" s="616"/>
      <c r="J245" s="616"/>
      <c r="K245" s="1667">
        <f>D245</f>
        <v>1033</v>
      </c>
      <c r="L245" s="481">
        <v>1094</v>
      </c>
    </row>
    <row r="246" spans="1:12" x14ac:dyDescent="0.2">
      <c r="A246" s="1504" t="s">
        <v>818</v>
      </c>
      <c r="B246" s="614">
        <v>2320</v>
      </c>
      <c r="C246" s="616"/>
      <c r="D246" s="466">
        <v>26106</v>
      </c>
      <c r="E246" s="616"/>
      <c r="F246" s="616"/>
      <c r="G246" s="616"/>
      <c r="H246" s="616"/>
      <c r="I246" s="616"/>
      <c r="J246" s="616"/>
      <c r="K246" s="1667">
        <f t="shared" ref="K246:K256" si="21">D246</f>
        <v>26106</v>
      </c>
      <c r="L246" s="466">
        <v>27561</v>
      </c>
    </row>
    <row r="247" spans="1:12" x14ac:dyDescent="0.2">
      <c r="A247" s="1504" t="s">
        <v>819</v>
      </c>
      <c r="B247" s="614">
        <v>2330</v>
      </c>
      <c r="C247" s="616"/>
      <c r="D247" s="466">
        <v>18916</v>
      </c>
      <c r="E247" s="616"/>
      <c r="F247" s="616"/>
      <c r="G247" s="616"/>
      <c r="H247" s="616"/>
      <c r="I247" s="616"/>
      <c r="J247" s="616"/>
      <c r="K247" s="1667">
        <f t="shared" si="21"/>
        <v>18916</v>
      </c>
      <c r="L247" s="466">
        <v>16929</v>
      </c>
    </row>
    <row r="248" spans="1:12" x14ac:dyDescent="0.2">
      <c r="A248" s="1505" t="s">
        <v>299</v>
      </c>
      <c r="B248" s="602" t="s">
        <v>281</v>
      </c>
      <c r="C248" s="616"/>
      <c r="D248" s="474"/>
      <c r="E248" s="616"/>
      <c r="F248" s="616"/>
      <c r="G248" s="616"/>
      <c r="H248" s="616"/>
      <c r="I248" s="616"/>
      <c r="J248" s="616"/>
      <c r="K248" s="1667">
        <f t="shared" si="21"/>
        <v>0</v>
      </c>
      <c r="L248" s="466"/>
    </row>
    <row r="249" spans="1:12" x14ac:dyDescent="0.2">
      <c r="A249" s="1506" t="s">
        <v>1802</v>
      </c>
      <c r="B249" s="683" t="s">
        <v>282</v>
      </c>
      <c r="C249" s="616"/>
      <c r="D249" s="474"/>
      <c r="E249" s="616"/>
      <c r="F249" s="616"/>
      <c r="G249" s="616"/>
      <c r="H249" s="616"/>
      <c r="I249" s="616"/>
      <c r="J249" s="616"/>
      <c r="K249" s="1667">
        <f t="shared" si="21"/>
        <v>0</v>
      </c>
      <c r="L249" s="466"/>
    </row>
    <row r="250" spans="1:12" x14ac:dyDescent="0.2">
      <c r="A250" s="1505" t="s">
        <v>1803</v>
      </c>
      <c r="B250" s="602" t="s">
        <v>283</v>
      </c>
      <c r="C250" s="616"/>
      <c r="D250" s="474"/>
      <c r="E250" s="616"/>
      <c r="F250" s="616"/>
      <c r="G250" s="616"/>
      <c r="H250" s="616"/>
      <c r="I250" s="616"/>
      <c r="J250" s="616"/>
      <c r="K250" s="1667">
        <f t="shared" si="21"/>
        <v>0</v>
      </c>
      <c r="L250" s="466"/>
    </row>
    <row r="251" spans="1:12" x14ac:dyDescent="0.2">
      <c r="A251" s="1505" t="s">
        <v>238</v>
      </c>
      <c r="B251" s="602" t="s">
        <v>284</v>
      </c>
      <c r="C251" s="616"/>
      <c r="D251" s="474"/>
      <c r="E251" s="616"/>
      <c r="F251" s="616"/>
      <c r="G251" s="616"/>
      <c r="H251" s="616"/>
      <c r="I251" s="616"/>
      <c r="J251" s="616"/>
      <c r="K251" s="1667">
        <f t="shared" si="21"/>
        <v>0</v>
      </c>
      <c r="L251" s="466"/>
    </row>
    <row r="252" spans="1:12" x14ac:dyDescent="0.2">
      <c r="A252" s="1505" t="s">
        <v>702</v>
      </c>
      <c r="B252" s="602" t="s">
        <v>285</v>
      </c>
      <c r="C252" s="616"/>
      <c r="D252" s="474"/>
      <c r="E252" s="616"/>
      <c r="F252" s="616"/>
      <c r="G252" s="616"/>
      <c r="H252" s="616"/>
      <c r="I252" s="616"/>
      <c r="J252" s="616"/>
      <c r="K252" s="1667">
        <f t="shared" si="21"/>
        <v>0</v>
      </c>
      <c r="L252" s="466"/>
    </row>
    <row r="253" spans="1:12" x14ac:dyDescent="0.2">
      <c r="A253" s="1505" t="s">
        <v>239</v>
      </c>
      <c r="B253" s="602" t="s">
        <v>286</v>
      </c>
      <c r="C253" s="616"/>
      <c r="D253" s="474"/>
      <c r="E253" s="616"/>
      <c r="F253" s="616"/>
      <c r="G253" s="616"/>
      <c r="H253" s="616"/>
      <c r="I253" s="616"/>
      <c r="J253" s="616"/>
      <c r="K253" s="1667">
        <f t="shared" si="21"/>
        <v>0</v>
      </c>
      <c r="L253" s="466"/>
    </row>
    <row r="254" spans="1:12" ht="22.5" x14ac:dyDescent="0.2">
      <c r="A254" s="1505" t="s">
        <v>1029</v>
      </c>
      <c r="B254" s="683" t="s">
        <v>287</v>
      </c>
      <c r="C254" s="616"/>
      <c r="D254" s="474"/>
      <c r="E254" s="616"/>
      <c r="F254" s="616"/>
      <c r="G254" s="616"/>
      <c r="H254" s="616"/>
      <c r="I254" s="616"/>
      <c r="J254" s="616"/>
      <c r="K254" s="1667">
        <f t="shared" si="21"/>
        <v>0</v>
      </c>
      <c r="L254" s="466"/>
    </row>
    <row r="255" spans="1:12" x14ac:dyDescent="0.2">
      <c r="A255" s="1505" t="s">
        <v>1030</v>
      </c>
      <c r="B255" s="602" t="s">
        <v>288</v>
      </c>
      <c r="C255" s="616"/>
      <c r="D255" s="474"/>
      <c r="E255" s="616"/>
      <c r="F255" s="616"/>
      <c r="G255" s="616"/>
      <c r="H255" s="616"/>
      <c r="I255" s="616"/>
      <c r="J255" s="616"/>
      <c r="K255" s="1667">
        <f t="shared" si="21"/>
        <v>0</v>
      </c>
      <c r="L255" s="466"/>
    </row>
    <row r="256" spans="1:12" x14ac:dyDescent="0.2">
      <c r="A256" s="1505" t="s">
        <v>971</v>
      </c>
      <c r="B256" s="614" t="s">
        <v>289</v>
      </c>
      <c r="C256" s="616"/>
      <c r="D256" s="474"/>
      <c r="E256" s="616"/>
      <c r="F256" s="616"/>
      <c r="G256" s="616"/>
      <c r="H256" s="616"/>
      <c r="I256" s="616"/>
      <c r="J256" s="616"/>
      <c r="K256" s="1667">
        <f t="shared" si="21"/>
        <v>0</v>
      </c>
      <c r="L256" s="466"/>
    </row>
    <row r="257" spans="1:14" ht="12.75" customHeight="1" thickBot="1" x14ac:dyDescent="0.25">
      <c r="A257" s="1663" t="s">
        <v>717</v>
      </c>
      <c r="B257" s="1691">
        <v>2300</v>
      </c>
      <c r="C257" s="616"/>
      <c r="D257" s="1665">
        <f>SUM(D245:D256)</f>
        <v>46055</v>
      </c>
      <c r="E257" s="616"/>
      <c r="F257" s="616"/>
      <c r="G257" s="616"/>
      <c r="H257" s="616"/>
      <c r="I257" s="616"/>
      <c r="J257" s="616"/>
      <c r="K257" s="1665">
        <f>SUM(K245:K256)</f>
        <v>46055</v>
      </c>
      <c r="L257" s="1665">
        <f>SUM(L245:L256)</f>
        <v>45584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94646</v>
      </c>
      <c r="E259" s="616"/>
      <c r="F259" s="616"/>
      <c r="G259" s="616"/>
      <c r="H259" s="616"/>
      <c r="I259" s="616"/>
      <c r="J259" s="616"/>
      <c r="K259" s="1667">
        <f>D259</f>
        <v>94646</v>
      </c>
      <c r="L259" s="481">
        <v>94395</v>
      </c>
    </row>
    <row r="260" spans="1:14" s="597" customFormat="1" x14ac:dyDescent="0.2">
      <c r="A260" s="1522" t="s">
        <v>1801</v>
      </c>
      <c r="B260" s="628">
        <v>2490</v>
      </c>
      <c r="C260" s="616"/>
      <c r="D260" s="466"/>
      <c r="E260" s="616"/>
      <c r="F260" s="616"/>
      <c r="G260" s="616"/>
      <c r="H260" s="616"/>
      <c r="I260" s="616"/>
      <c r="J260" s="616"/>
      <c r="K260" s="1667">
        <f>D260</f>
        <v>0</v>
      </c>
      <c r="L260" s="466"/>
      <c r="M260" s="210"/>
      <c r="N260" s="210"/>
    </row>
    <row r="261" spans="1:14" ht="12.75" customHeight="1" thickBot="1" x14ac:dyDescent="0.25">
      <c r="A261" s="1687" t="s">
        <v>263</v>
      </c>
      <c r="B261" s="1692" t="s">
        <v>34</v>
      </c>
      <c r="C261" s="616"/>
      <c r="D261" s="1665">
        <f>SUM(D259:D260)</f>
        <v>94646</v>
      </c>
      <c r="E261" s="616"/>
      <c r="F261" s="616"/>
      <c r="G261" s="616"/>
      <c r="H261" s="616"/>
      <c r="I261" s="616"/>
      <c r="J261" s="616"/>
      <c r="K261" s="1665">
        <f>SUM(K259:K260)</f>
        <v>94646</v>
      </c>
      <c r="L261" s="1665">
        <f>SUM(L259:L260)</f>
        <v>94395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1665</v>
      </c>
      <c r="E263" s="616"/>
      <c r="F263" s="616"/>
      <c r="G263" s="616"/>
      <c r="H263" s="616"/>
      <c r="I263" s="616"/>
      <c r="J263" s="616"/>
      <c r="K263" s="1667">
        <f>D263</f>
        <v>1665</v>
      </c>
      <c r="L263" s="481">
        <v>1500</v>
      </c>
    </row>
    <row r="264" spans="1:14" x14ac:dyDescent="0.2">
      <c r="A264" s="1504" t="s">
        <v>463</v>
      </c>
      <c r="B264" s="685">
        <v>2520</v>
      </c>
      <c r="C264" s="616"/>
      <c r="D264" s="466">
        <v>32750</v>
      </c>
      <c r="E264" s="616"/>
      <c r="F264" s="616"/>
      <c r="G264" s="616"/>
      <c r="H264" s="616"/>
      <c r="I264" s="616"/>
      <c r="J264" s="616"/>
      <c r="K264" s="1667">
        <f t="shared" ref="K264:K269" si="22">D264</f>
        <v>32750</v>
      </c>
      <c r="L264" s="466">
        <v>34792</v>
      </c>
    </row>
    <row r="265" spans="1:14" x14ac:dyDescent="0.2">
      <c r="A265" s="1504" t="s">
        <v>4</v>
      </c>
      <c r="B265" s="614">
        <v>2530</v>
      </c>
      <c r="C265" s="616"/>
      <c r="D265" s="466"/>
      <c r="E265" s="616"/>
      <c r="F265" s="616"/>
      <c r="G265" s="616"/>
      <c r="H265" s="616"/>
      <c r="I265" s="616"/>
      <c r="J265" s="616"/>
      <c r="K265" s="1667">
        <f t="shared" si="22"/>
        <v>0</v>
      </c>
      <c r="L265" s="466"/>
    </row>
    <row r="266" spans="1:14" x14ac:dyDescent="0.2">
      <c r="A266" s="1504" t="s">
        <v>197</v>
      </c>
      <c r="B266" s="614">
        <v>2540</v>
      </c>
      <c r="C266" s="616"/>
      <c r="D266" s="466">
        <v>35487</v>
      </c>
      <c r="E266" s="616"/>
      <c r="F266" s="616"/>
      <c r="G266" s="616"/>
      <c r="H266" s="616"/>
      <c r="I266" s="616"/>
      <c r="J266" s="616"/>
      <c r="K266" s="1667">
        <f t="shared" si="22"/>
        <v>35487</v>
      </c>
      <c r="L266" s="466">
        <v>33902</v>
      </c>
    </row>
    <row r="267" spans="1:14" x14ac:dyDescent="0.2">
      <c r="A267" s="1504" t="s">
        <v>953</v>
      </c>
      <c r="B267" s="614">
        <v>2550</v>
      </c>
      <c r="C267" s="616"/>
      <c r="D267" s="466">
        <v>487</v>
      </c>
      <c r="E267" s="616"/>
      <c r="F267" s="616"/>
      <c r="G267" s="616"/>
      <c r="H267" s="616"/>
      <c r="I267" s="616"/>
      <c r="J267" s="616"/>
      <c r="K267" s="1667">
        <f t="shared" si="22"/>
        <v>487</v>
      </c>
      <c r="L267" s="466">
        <v>500</v>
      </c>
    </row>
    <row r="268" spans="1:14" x14ac:dyDescent="0.2">
      <c r="A268" s="1504" t="s">
        <v>100</v>
      </c>
      <c r="B268" s="614">
        <v>2560</v>
      </c>
      <c r="C268" s="616"/>
      <c r="D268" s="466"/>
      <c r="E268" s="616"/>
      <c r="F268" s="616"/>
      <c r="G268" s="616"/>
      <c r="H268" s="616"/>
      <c r="I268" s="616"/>
      <c r="J268" s="616"/>
      <c r="K268" s="1667">
        <f t="shared" si="22"/>
        <v>0</v>
      </c>
      <c r="L268" s="466"/>
    </row>
    <row r="269" spans="1:14" x14ac:dyDescent="0.2">
      <c r="A269" s="1504" t="s">
        <v>101</v>
      </c>
      <c r="B269" s="614">
        <v>2570</v>
      </c>
      <c r="C269" s="616"/>
      <c r="D269" s="466"/>
      <c r="E269" s="616"/>
      <c r="F269" s="616"/>
      <c r="G269" s="616"/>
      <c r="H269" s="616"/>
      <c r="I269" s="616"/>
      <c r="J269" s="616"/>
      <c r="K269" s="1667">
        <f t="shared" si="22"/>
        <v>0</v>
      </c>
      <c r="L269" s="466"/>
    </row>
    <row r="270" spans="1:14" ht="12.75" customHeight="1" thickBot="1" x14ac:dyDescent="0.25">
      <c r="A270" s="1663" t="s">
        <v>719</v>
      </c>
      <c r="B270" s="1670" t="s">
        <v>35</v>
      </c>
      <c r="C270" s="616"/>
      <c r="D270" s="1665">
        <f>SUM(D263:D269)</f>
        <v>70389</v>
      </c>
      <c r="E270" s="616"/>
      <c r="F270" s="616"/>
      <c r="G270" s="616"/>
      <c r="H270" s="616"/>
      <c r="I270" s="616"/>
      <c r="J270" s="616"/>
      <c r="K270" s="1665">
        <f>SUM(K263:K269)</f>
        <v>70389</v>
      </c>
      <c r="L270" s="1665">
        <f>SUM(L263:L269)</f>
        <v>70694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67">
        <f>D272</f>
        <v>0</v>
      </c>
      <c r="L272" s="481"/>
    </row>
    <row r="273" spans="1:12" x14ac:dyDescent="0.2">
      <c r="A273" s="1504" t="s">
        <v>607</v>
      </c>
      <c r="B273" s="628">
        <v>2620</v>
      </c>
      <c r="C273" s="616"/>
      <c r="D273" s="466"/>
      <c r="E273" s="616"/>
      <c r="F273" s="616"/>
      <c r="G273" s="616"/>
      <c r="H273" s="616"/>
      <c r="I273" s="616"/>
      <c r="J273" s="616"/>
      <c r="K273" s="1667">
        <f>D273</f>
        <v>0</v>
      </c>
      <c r="L273" s="466"/>
    </row>
    <row r="274" spans="1:12" ht="12" customHeight="1" x14ac:dyDescent="0.2">
      <c r="A274" s="1504" t="s">
        <v>1061</v>
      </c>
      <c r="B274" s="614">
        <v>2630</v>
      </c>
      <c r="C274" s="616"/>
      <c r="D274" s="466"/>
      <c r="E274" s="616"/>
      <c r="F274" s="616"/>
      <c r="G274" s="616"/>
      <c r="H274" s="616"/>
      <c r="I274" s="616"/>
      <c r="J274" s="616"/>
      <c r="K274" s="1667">
        <f>D274</f>
        <v>0</v>
      </c>
      <c r="L274" s="466"/>
    </row>
    <row r="275" spans="1:12" x14ac:dyDescent="0.2">
      <c r="A275" s="1504" t="s">
        <v>403</v>
      </c>
      <c r="B275" s="614">
        <v>2640</v>
      </c>
      <c r="C275" s="616"/>
      <c r="D275" s="466">
        <v>9410</v>
      </c>
      <c r="E275" s="616"/>
      <c r="F275" s="616"/>
      <c r="G275" s="616"/>
      <c r="H275" s="616"/>
      <c r="I275" s="616"/>
      <c r="J275" s="616"/>
      <c r="K275" s="1667">
        <f>D275</f>
        <v>9410</v>
      </c>
      <c r="L275" s="466">
        <v>9554</v>
      </c>
    </row>
    <row r="276" spans="1:12" x14ac:dyDescent="0.2">
      <c r="A276" s="1504" t="s">
        <v>404</v>
      </c>
      <c r="B276" s="614">
        <v>2660</v>
      </c>
      <c r="C276" s="616"/>
      <c r="D276" s="466">
        <v>52185</v>
      </c>
      <c r="E276" s="616"/>
      <c r="F276" s="616"/>
      <c r="G276" s="616"/>
      <c r="H276" s="616"/>
      <c r="I276" s="616"/>
      <c r="J276" s="616"/>
      <c r="K276" s="1667">
        <f>D276</f>
        <v>52185</v>
      </c>
      <c r="L276" s="466">
        <v>52216</v>
      </c>
    </row>
    <row r="277" spans="1:12" ht="12.75" customHeight="1" thickBot="1" x14ac:dyDescent="0.25">
      <c r="A277" s="1686" t="s">
        <v>37</v>
      </c>
      <c r="B277" s="1664" t="s">
        <v>36</v>
      </c>
      <c r="C277" s="616"/>
      <c r="D277" s="1665">
        <f>SUM(D272:D276)</f>
        <v>61595</v>
      </c>
      <c r="E277" s="616"/>
      <c r="F277" s="616"/>
      <c r="G277" s="616"/>
      <c r="H277" s="616"/>
      <c r="I277" s="616"/>
      <c r="J277" s="616"/>
      <c r="K277" s="1665">
        <f>SUM(K272:K276)</f>
        <v>61595</v>
      </c>
      <c r="L277" s="1665">
        <f>SUM(L272:L276)</f>
        <v>61770</v>
      </c>
    </row>
    <row r="278" spans="1:12" ht="13.5" customHeight="1" thickTop="1" x14ac:dyDescent="0.2">
      <c r="A278" s="1510" t="s">
        <v>980</v>
      </c>
      <c r="B278" s="655" t="s">
        <v>574</v>
      </c>
      <c r="C278" s="616"/>
      <c r="D278" s="656">
        <v>7246</v>
      </c>
      <c r="E278" s="616"/>
      <c r="F278" s="616"/>
      <c r="G278" s="616"/>
      <c r="H278" s="616"/>
      <c r="I278" s="616"/>
      <c r="J278" s="616"/>
      <c r="K278" s="1680">
        <f>D278</f>
        <v>7246</v>
      </c>
      <c r="L278" s="656">
        <v>7577</v>
      </c>
    </row>
    <row r="279" spans="1:12" ht="12.75" customHeight="1" thickBot="1" x14ac:dyDescent="0.25">
      <c r="A279" s="1693" t="s">
        <v>811</v>
      </c>
      <c r="B279" s="1676">
        <v>2000</v>
      </c>
      <c r="C279" s="616"/>
      <c r="D279" s="1672">
        <f>SUM(D238,D243,D257,D261,D270,D277,D278)</f>
        <v>382684</v>
      </c>
      <c r="E279" s="616"/>
      <c r="F279" s="616"/>
      <c r="G279" s="616"/>
      <c r="H279" s="616"/>
      <c r="I279" s="616"/>
      <c r="J279" s="616"/>
      <c r="K279" s="1672">
        <f>SUM(K238,K243,K257,K261,K270,K277,K278)</f>
        <v>382684</v>
      </c>
      <c r="L279" s="1672">
        <f>SUM(L238,L243,L257,L261,L270,L277,L278)</f>
        <v>385995</v>
      </c>
    </row>
    <row r="280" spans="1:12" ht="15.75" customHeight="1" thickTop="1" thickBot="1" x14ac:dyDescent="0.25">
      <c r="A280" s="1624" t="s">
        <v>875</v>
      </c>
      <c r="B280" s="1613">
        <v>3000</v>
      </c>
      <c r="C280" s="616"/>
      <c r="D280" s="576">
        <v>35737</v>
      </c>
      <c r="E280" s="616"/>
      <c r="F280" s="616"/>
      <c r="G280" s="616"/>
      <c r="H280" s="616"/>
      <c r="I280" s="616"/>
      <c r="J280" s="616"/>
      <c r="K280" s="1674">
        <f>D280</f>
        <v>35737</v>
      </c>
      <c r="L280" s="576">
        <v>21473</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5" t="s">
        <v>496</v>
      </c>
      <c r="B282" s="690" t="s">
        <v>1840</v>
      </c>
      <c r="C282" s="616"/>
      <c r="D282" s="467"/>
      <c r="E282" s="616"/>
      <c r="F282" s="616"/>
      <c r="G282" s="616"/>
      <c r="H282" s="616"/>
      <c r="I282" s="616"/>
      <c r="J282" s="616"/>
      <c r="K282" s="1666">
        <f>D282</f>
        <v>0</v>
      </c>
      <c r="L282" s="467"/>
    </row>
    <row r="283" spans="1:12" x14ac:dyDescent="0.2">
      <c r="A283" s="1504" t="s">
        <v>304</v>
      </c>
      <c r="B283" s="614">
        <v>4120</v>
      </c>
      <c r="C283" s="616"/>
      <c r="D283" s="466"/>
      <c r="E283" s="616"/>
      <c r="F283" s="616"/>
      <c r="G283" s="616"/>
      <c r="H283" s="616"/>
      <c r="I283" s="616"/>
      <c r="J283" s="616"/>
      <c r="K283" s="1666">
        <f>D283</f>
        <v>0</v>
      </c>
      <c r="L283" s="466"/>
    </row>
    <row r="284" spans="1:12" x14ac:dyDescent="0.2">
      <c r="A284" s="1504" t="s">
        <v>697</v>
      </c>
      <c r="B284" s="614">
        <v>4140</v>
      </c>
      <c r="C284" s="616"/>
      <c r="D284" s="467"/>
      <c r="E284" s="616"/>
      <c r="F284" s="616"/>
      <c r="G284" s="616"/>
      <c r="H284" s="616"/>
      <c r="I284" s="616"/>
      <c r="J284" s="616"/>
      <c r="K284" s="1666">
        <f>D284</f>
        <v>0</v>
      </c>
      <c r="L284" s="466"/>
    </row>
    <row r="285" spans="1:12" ht="12.75" customHeight="1" thickBot="1" x14ac:dyDescent="0.25">
      <c r="A285" s="1663" t="s">
        <v>1487</v>
      </c>
      <c r="B285" s="1664" t="s">
        <v>860</v>
      </c>
      <c r="C285" s="616"/>
      <c r="D285" s="1665">
        <f>SUM(D282:D284)</f>
        <v>0</v>
      </c>
      <c r="E285" s="616"/>
      <c r="F285" s="616"/>
      <c r="G285" s="616"/>
      <c r="H285" s="616"/>
      <c r="I285" s="616"/>
      <c r="J285" s="616"/>
      <c r="K285" s="1665">
        <f>SUM(K282:K284)</f>
        <v>0</v>
      </c>
      <c r="L285" s="1665">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6">
        <f>H288</f>
        <v>0</v>
      </c>
      <c r="L288" s="466"/>
    </row>
    <row r="289" spans="1:14" x14ac:dyDescent="0.2">
      <c r="A289" s="1504" t="s">
        <v>88</v>
      </c>
      <c r="B289" s="614">
        <v>5120</v>
      </c>
      <c r="C289" s="616"/>
      <c r="D289" s="616"/>
      <c r="E289" s="616"/>
      <c r="F289" s="616"/>
      <c r="G289" s="616"/>
      <c r="H289" s="466"/>
      <c r="I289" s="616"/>
      <c r="J289" s="616"/>
      <c r="K289" s="1666">
        <f>H289</f>
        <v>0</v>
      </c>
      <c r="L289" s="466"/>
    </row>
    <row r="290" spans="1:14" ht="12.75" customHeight="1" x14ac:dyDescent="0.2">
      <c r="A290" s="1504" t="s">
        <v>1170</v>
      </c>
      <c r="B290" s="628" t="s">
        <v>617</v>
      </c>
      <c r="C290" s="616"/>
      <c r="D290" s="616"/>
      <c r="E290" s="616"/>
      <c r="F290" s="616"/>
      <c r="G290" s="616"/>
      <c r="H290" s="466"/>
      <c r="I290" s="616"/>
      <c r="J290" s="616"/>
      <c r="K290" s="1666">
        <f>H290</f>
        <v>0</v>
      </c>
      <c r="L290" s="466"/>
    </row>
    <row r="291" spans="1:14" x14ac:dyDescent="0.2">
      <c r="A291" s="1504" t="s">
        <v>89</v>
      </c>
      <c r="B291" s="614" t="s">
        <v>589</v>
      </c>
      <c r="C291" s="616"/>
      <c r="D291" s="616"/>
      <c r="E291" s="616"/>
      <c r="F291" s="616"/>
      <c r="G291" s="616"/>
      <c r="H291" s="466"/>
      <c r="I291" s="616"/>
      <c r="J291" s="616"/>
      <c r="K291" s="1666">
        <f>H291</f>
        <v>0</v>
      </c>
      <c r="L291" s="466"/>
    </row>
    <row r="292" spans="1:14" x14ac:dyDescent="0.2">
      <c r="A292" s="1504" t="s">
        <v>762</v>
      </c>
      <c r="B292" s="614" t="s">
        <v>618</v>
      </c>
      <c r="C292" s="616"/>
      <c r="D292" s="616"/>
      <c r="E292" s="616"/>
      <c r="F292" s="616"/>
      <c r="G292" s="616"/>
      <c r="H292" s="466"/>
      <c r="I292" s="616"/>
      <c r="J292" s="616"/>
      <c r="K292" s="1666">
        <f>H292</f>
        <v>0</v>
      </c>
      <c r="L292" s="466"/>
    </row>
    <row r="293" spans="1:14" ht="12.75" customHeight="1" thickBot="1" x14ac:dyDescent="0.25">
      <c r="A293" s="1663" t="s">
        <v>484</v>
      </c>
      <c r="B293" s="1664" t="s">
        <v>492</v>
      </c>
      <c r="C293" s="616"/>
      <c r="D293" s="616"/>
      <c r="E293" s="616"/>
      <c r="F293" s="616"/>
      <c r="G293" s="616"/>
      <c r="H293" s="1665">
        <f>SUM(H288:H292)</f>
        <v>0</v>
      </c>
      <c r="I293" s="616"/>
      <c r="J293" s="616"/>
      <c r="K293" s="1665">
        <f>SUM(K288:K292)</f>
        <v>0</v>
      </c>
      <c r="L293" s="1665">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2" t="s">
        <v>505</v>
      </c>
      <c r="B295" s="2183"/>
      <c r="C295" s="616"/>
      <c r="D295" s="1665">
        <f>SUM(D229,D279,D280,D285)</f>
        <v>853673</v>
      </c>
      <c r="E295" s="616"/>
      <c r="F295" s="616"/>
      <c r="G295" s="616"/>
      <c r="H295" s="1665">
        <f>H293</f>
        <v>0</v>
      </c>
      <c r="I295" s="616"/>
      <c r="J295" s="616"/>
      <c r="K295" s="1665">
        <f>SUM(K229,K279,K280,K285,K293,K294)</f>
        <v>853673</v>
      </c>
      <c r="L295" s="1665">
        <f>SUM(L229,L279,L280,L285,L293,L294)</f>
        <v>856479</v>
      </c>
    </row>
    <row r="296" spans="1:14" ht="13.5" thickTop="1" x14ac:dyDescent="0.2">
      <c r="A296" s="2164" t="s">
        <v>996</v>
      </c>
      <c r="B296" s="2165"/>
      <c r="C296" s="616"/>
      <c r="D296" s="618"/>
      <c r="E296" s="616"/>
      <c r="F296" s="616"/>
      <c r="G296" s="616"/>
      <c r="H296" s="687"/>
      <c r="I296" s="616"/>
      <c r="J296" s="616"/>
      <c r="K296" s="1679">
        <f>'Revenues 9-14'!G268-'Expenditures 15-22'!K295</f>
        <v>126188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4" t="s">
        <v>143</v>
      </c>
      <c r="B298" s="216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6">
        <f>SUM(C301:J301)</f>
        <v>0</v>
      </c>
      <c r="L301" s="467"/>
    </row>
    <row r="302" spans="1:14" ht="13.5" customHeight="1" x14ac:dyDescent="0.2">
      <c r="A302" s="1517" t="s">
        <v>980</v>
      </c>
      <c r="B302" s="614" t="s">
        <v>574</v>
      </c>
      <c r="C302" s="466"/>
      <c r="D302" s="466"/>
      <c r="E302" s="466"/>
      <c r="F302" s="466"/>
      <c r="G302" s="466"/>
      <c r="H302" s="466"/>
      <c r="I302" s="467"/>
      <c r="J302" s="467"/>
      <c r="K302" s="1666">
        <f>SUM(C302:J302)</f>
        <v>0</v>
      </c>
      <c r="L302" s="466"/>
    </row>
    <row r="303" spans="1:14" ht="12.75" customHeight="1" thickBot="1" x14ac:dyDescent="0.25">
      <c r="A303" s="1663" t="s">
        <v>811</v>
      </c>
      <c r="B303" s="1664" t="s">
        <v>569</v>
      </c>
      <c r="C303" s="1672">
        <f>SUM(C301:C302)</f>
        <v>0</v>
      </c>
      <c r="D303" s="1672">
        <f t="shared" ref="D303:L303" si="23">SUM(D301:D302)</f>
        <v>0</v>
      </c>
      <c r="E303" s="1672">
        <f t="shared" si="23"/>
        <v>0</v>
      </c>
      <c r="F303" s="1672">
        <f t="shared" si="23"/>
        <v>0</v>
      </c>
      <c r="G303" s="1672">
        <f t="shared" si="23"/>
        <v>0</v>
      </c>
      <c r="H303" s="1672">
        <f t="shared" si="23"/>
        <v>0</v>
      </c>
      <c r="I303" s="1672">
        <f t="shared" si="23"/>
        <v>0</v>
      </c>
      <c r="J303" s="1672">
        <f t="shared" si="23"/>
        <v>0</v>
      </c>
      <c r="K303" s="1672">
        <f t="shared" si="23"/>
        <v>0</v>
      </c>
      <c r="L303" s="1672">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66">
        <f>SUM(E306,H306)</f>
        <v>0</v>
      </c>
      <c r="L306" s="467"/>
    </row>
    <row r="307" spans="1:14" x14ac:dyDescent="0.2">
      <c r="A307" s="1504" t="s">
        <v>304</v>
      </c>
      <c r="B307" s="614">
        <v>4120</v>
      </c>
      <c r="C307" s="616"/>
      <c r="D307" s="616"/>
      <c r="E307" s="467"/>
      <c r="F307" s="616"/>
      <c r="G307" s="616"/>
      <c r="H307" s="467"/>
      <c r="I307" s="477"/>
      <c r="J307" s="616"/>
      <c r="K307" s="1666">
        <f>SUM(E307,H307)</f>
        <v>0</v>
      </c>
      <c r="L307" s="466"/>
    </row>
    <row r="308" spans="1:14" x14ac:dyDescent="0.2">
      <c r="A308" s="1504" t="s">
        <v>697</v>
      </c>
      <c r="B308" s="614">
        <v>4140</v>
      </c>
      <c r="C308" s="616"/>
      <c r="D308" s="616"/>
      <c r="E308" s="467"/>
      <c r="F308" s="616"/>
      <c r="G308" s="616"/>
      <c r="H308" s="467"/>
      <c r="I308" s="477"/>
      <c r="J308" s="616"/>
      <c r="K308" s="1666">
        <f>SUM(E308,H308)</f>
        <v>0</v>
      </c>
      <c r="L308" s="466"/>
    </row>
    <row r="309" spans="1:14" ht="12.75" customHeight="1" x14ac:dyDescent="0.2">
      <c r="A309" s="1508" t="s">
        <v>698</v>
      </c>
      <c r="B309" s="628">
        <v>4190</v>
      </c>
      <c r="C309" s="616"/>
      <c r="D309" s="616"/>
      <c r="E309" s="467"/>
      <c r="F309" s="616"/>
      <c r="G309" s="616"/>
      <c r="H309" s="467"/>
      <c r="I309" s="477"/>
      <c r="J309" s="616"/>
      <c r="K309" s="1666">
        <f>SUM(E309,H309)</f>
        <v>0</v>
      </c>
      <c r="L309" s="466"/>
    </row>
    <row r="310" spans="1:14" ht="12.75" customHeight="1" thickBot="1" x14ac:dyDescent="0.25">
      <c r="A310" s="1663" t="s">
        <v>1487</v>
      </c>
      <c r="B310" s="1670" t="s">
        <v>860</v>
      </c>
      <c r="C310" s="616"/>
      <c r="D310" s="616"/>
      <c r="E310" s="1665">
        <f>SUM(E306:E309)</f>
        <v>0</v>
      </c>
      <c r="F310" s="616"/>
      <c r="G310" s="616"/>
      <c r="H310" s="1665">
        <f>SUM(H306:H309)</f>
        <v>0</v>
      </c>
      <c r="I310" s="477"/>
      <c r="J310" s="616"/>
      <c r="K310" s="1665">
        <f>SUM(K306:K309)</f>
        <v>0</v>
      </c>
      <c r="L310" s="1672">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9" t="s">
        <v>277</v>
      </c>
      <c r="B312" s="2180"/>
      <c r="C312" s="1665">
        <f>SUM(C303)</f>
        <v>0</v>
      </c>
      <c r="D312" s="1665">
        <f>SUM(D303)</f>
        <v>0</v>
      </c>
      <c r="E312" s="1665">
        <f>SUM(E303,E310)</f>
        <v>0</v>
      </c>
      <c r="F312" s="1665">
        <f>SUM(F303)</f>
        <v>0</v>
      </c>
      <c r="G312" s="1665">
        <f>SUM(G303)</f>
        <v>0</v>
      </c>
      <c r="H312" s="1665">
        <f>SUM(H303,H310)</f>
        <v>0</v>
      </c>
      <c r="I312" s="1665">
        <f>SUM(I303)</f>
        <v>0</v>
      </c>
      <c r="J312" s="1665">
        <f>SUM(J303)</f>
        <v>0</v>
      </c>
      <c r="K312" s="1665">
        <f>SUM(K303,K310,K311)</f>
        <v>0</v>
      </c>
      <c r="L312" s="1665">
        <f>SUM(L303,L310,L311)</f>
        <v>0</v>
      </c>
      <c r="M312" s="665"/>
      <c r="N312" s="665"/>
    </row>
    <row r="313" spans="1:14" ht="13.5" thickTop="1" x14ac:dyDescent="0.2">
      <c r="A313" s="2175" t="s">
        <v>996</v>
      </c>
      <c r="B313" s="2176"/>
      <c r="C313" s="626"/>
      <c r="D313" s="626"/>
      <c r="E313" s="626"/>
      <c r="F313" s="626"/>
      <c r="G313" s="626"/>
      <c r="H313" s="626"/>
      <c r="I313" s="626"/>
      <c r="J313" s="626"/>
      <c r="K313" s="1680">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8" t="s">
        <v>149</v>
      </c>
      <c r="B315" s="218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0" t="s">
        <v>898</v>
      </c>
      <c r="B317" s="218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6">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66">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66">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66">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66">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6">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6">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6">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6">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4">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4">
        <f>SUM(C329:J329)</f>
        <v>0</v>
      </c>
      <c r="L329" s="474"/>
      <c r="M329" s="665"/>
      <c r="N329" s="665"/>
    </row>
    <row r="330" spans="1:14" s="674" customFormat="1" ht="12.75" customHeight="1" thickBot="1" x14ac:dyDescent="0.25">
      <c r="A330" s="1695" t="s">
        <v>717</v>
      </c>
      <c r="B330" s="1664" t="s">
        <v>569</v>
      </c>
      <c r="C330" s="1665">
        <f>SUM(C319:C329)</f>
        <v>0</v>
      </c>
      <c r="D330" s="1665">
        <f t="shared" ref="D330:J330" si="25">SUM(D319:D329)</f>
        <v>0</v>
      </c>
      <c r="E330" s="1665">
        <f t="shared" si="25"/>
        <v>0</v>
      </c>
      <c r="F330" s="1665">
        <f t="shared" si="25"/>
        <v>0</v>
      </c>
      <c r="G330" s="1665">
        <f t="shared" si="25"/>
        <v>0</v>
      </c>
      <c r="H330" s="1665">
        <f t="shared" si="25"/>
        <v>0</v>
      </c>
      <c r="I330" s="1665">
        <f t="shared" si="25"/>
        <v>0</v>
      </c>
      <c r="J330" s="1665">
        <f t="shared" si="25"/>
        <v>0</v>
      </c>
      <c r="K330" s="1665">
        <f>SUM(K319:K329)</f>
        <v>0</v>
      </c>
      <c r="L330" s="1665">
        <f>SUM(L319:L329)</f>
        <v>0</v>
      </c>
      <c r="M330" s="665"/>
      <c r="N330" s="665"/>
    </row>
    <row r="331" spans="1:14" s="674" customFormat="1" ht="12.75" customHeight="1" thickTop="1" x14ac:dyDescent="0.2">
      <c r="A331" s="1826" t="s">
        <v>1846</v>
      </c>
      <c r="B331" s="647" t="s">
        <v>860</v>
      </c>
      <c r="C331" s="1828"/>
      <c r="D331" s="1828"/>
      <c r="E331" s="1828"/>
      <c r="F331" s="1828"/>
      <c r="G331" s="1828"/>
      <c r="H331" s="1828"/>
      <c r="I331" s="1828"/>
      <c r="J331" s="1828"/>
      <c r="K331" s="1828"/>
      <c r="L331" s="1828"/>
      <c r="M331" s="665"/>
      <c r="N331" s="665"/>
    </row>
    <row r="332" spans="1:14" s="674" customFormat="1" ht="12.75" customHeight="1" x14ac:dyDescent="0.2">
      <c r="A332" s="1827" t="s">
        <v>496</v>
      </c>
      <c r="B332" s="1822" t="s">
        <v>1840</v>
      </c>
      <c r="C332" s="1828"/>
      <c r="D332" s="1828"/>
      <c r="E332" s="1828"/>
      <c r="F332" s="1828"/>
      <c r="G332" s="1828"/>
      <c r="H332" s="467"/>
      <c r="I332" s="1828"/>
      <c r="J332" s="1828"/>
      <c r="K332" s="1666">
        <f>H332</f>
        <v>0</v>
      </c>
      <c r="L332" s="467"/>
      <c r="M332" s="665"/>
      <c r="N332" s="665"/>
    </row>
    <row r="333" spans="1:14" s="674" customFormat="1" ht="12.75" customHeight="1" x14ac:dyDescent="0.2">
      <c r="A333" s="1827" t="s">
        <v>304</v>
      </c>
      <c r="B333" s="1822" t="s">
        <v>1842</v>
      </c>
      <c r="C333" s="1828"/>
      <c r="D333" s="1828"/>
      <c r="E333" s="1828"/>
      <c r="F333" s="1828"/>
      <c r="G333" s="1828"/>
      <c r="H333" s="467"/>
      <c r="I333" s="1828"/>
      <c r="J333" s="1828"/>
      <c r="K333" s="1666">
        <f>H333</f>
        <v>0</v>
      </c>
      <c r="L333" s="467"/>
      <c r="M333" s="665"/>
      <c r="N333" s="665"/>
    </row>
    <row r="334" spans="1:14" s="674" customFormat="1" ht="12.75" customHeight="1" thickBot="1" x14ac:dyDescent="0.25">
      <c r="A334" s="1827" t="s">
        <v>1847</v>
      </c>
      <c r="B334" s="1822" t="s">
        <v>860</v>
      </c>
      <c r="C334" s="1828"/>
      <c r="D334" s="1828"/>
      <c r="E334" s="1828"/>
      <c r="F334" s="1828"/>
      <c r="G334" s="1828"/>
      <c r="H334" s="1665">
        <f>SUM(H332:H333)</f>
        <v>0</v>
      </c>
      <c r="I334" s="1828"/>
      <c r="J334" s="1828"/>
      <c r="K334" s="1665">
        <f>SUM(K332:K333)</f>
        <v>0</v>
      </c>
      <c r="L334" s="1665">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6">
        <f>H337</f>
        <v>0</v>
      </c>
      <c r="L337" s="478"/>
    </row>
    <row r="338" spans="1:14" ht="12.75" customHeight="1" x14ac:dyDescent="0.2">
      <c r="A338" s="1518" t="s">
        <v>1170</v>
      </c>
      <c r="B338" s="690" t="s">
        <v>617</v>
      </c>
      <c r="C338" s="638"/>
      <c r="D338" s="638"/>
      <c r="E338" s="638"/>
      <c r="F338" s="638"/>
      <c r="G338" s="638"/>
      <c r="H338" s="478"/>
      <c r="I338" s="638"/>
      <c r="J338" s="638"/>
      <c r="K338" s="1666">
        <f>H338</f>
        <v>0</v>
      </c>
      <c r="L338" s="478"/>
    </row>
    <row r="339" spans="1:14" x14ac:dyDescent="0.2">
      <c r="A339" s="1504" t="s">
        <v>901</v>
      </c>
      <c r="B339" s="628">
        <v>5150</v>
      </c>
      <c r="C339" s="638"/>
      <c r="D339" s="638"/>
      <c r="E339" s="638"/>
      <c r="F339" s="638"/>
      <c r="G339" s="638"/>
      <c r="H339" s="467"/>
      <c r="I339" s="638"/>
      <c r="J339" s="638"/>
      <c r="K339" s="1666">
        <f>H339</f>
        <v>0</v>
      </c>
      <c r="L339" s="467"/>
    </row>
    <row r="340" spans="1:14" ht="13.5" thickBot="1" x14ac:dyDescent="0.25">
      <c r="A340" s="1689" t="s">
        <v>902</v>
      </c>
      <c r="B340" s="1664" t="s">
        <v>492</v>
      </c>
      <c r="C340" s="616"/>
      <c r="D340" s="616"/>
      <c r="E340" s="616"/>
      <c r="F340" s="616"/>
      <c r="G340" s="616"/>
      <c r="H340" s="1683">
        <f>SUM(H337:H339)</f>
        <v>0</v>
      </c>
      <c r="I340" s="616"/>
      <c r="J340" s="616"/>
      <c r="K340" s="1683">
        <f>SUM(K337:K339)</f>
        <v>0</v>
      </c>
      <c r="L340" s="1683">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1" t="s">
        <v>505</v>
      </c>
      <c r="B342" s="1696"/>
      <c r="C342" s="1665">
        <f>SUM(C330)</f>
        <v>0</v>
      </c>
      <c r="D342" s="1665">
        <f>SUM(D330)</f>
        <v>0</v>
      </c>
      <c r="E342" s="1665">
        <f>SUM(E330)</f>
        <v>0</v>
      </c>
      <c r="F342" s="1665">
        <f>SUM(F330)</f>
        <v>0</v>
      </c>
      <c r="G342" s="1665">
        <f>SUM(G330)</f>
        <v>0</v>
      </c>
      <c r="H342" s="1665">
        <f>SUM(H330,H334,H340)</f>
        <v>0</v>
      </c>
      <c r="I342" s="1665">
        <f>SUM(I330)</f>
        <v>0</v>
      </c>
      <c r="J342" s="1665">
        <f>SUM(J330)</f>
        <v>0</v>
      </c>
      <c r="K342" s="1665">
        <f>SUM(K330,K334,K340)</f>
        <v>0</v>
      </c>
      <c r="L342" s="1672">
        <f>SUM(L330,L340,L341)</f>
        <v>0</v>
      </c>
    </row>
    <row r="343" spans="1:14" ht="12.75" customHeight="1" thickTop="1" x14ac:dyDescent="0.2">
      <c r="A343" s="2177" t="s">
        <v>996</v>
      </c>
      <c r="B343" s="2178"/>
      <c r="C343" s="616"/>
      <c r="D343" s="616"/>
      <c r="E343" s="616"/>
      <c r="F343" s="616"/>
      <c r="G343" s="616"/>
      <c r="H343" s="616"/>
      <c r="I343" s="616"/>
      <c r="J343" s="616"/>
      <c r="K343" s="1679">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7" t="s">
        <v>966</v>
      </c>
      <c r="B345" s="216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9074</v>
      </c>
      <c r="F348" s="466">
        <v>21655</v>
      </c>
      <c r="G348" s="466">
        <v>348154</v>
      </c>
      <c r="H348" s="466"/>
      <c r="I348" s="467"/>
      <c r="J348" s="467"/>
      <c r="K348" s="1666">
        <f>SUM(C348:J348)</f>
        <v>378883</v>
      </c>
      <c r="L348" s="466">
        <v>287780</v>
      </c>
    </row>
    <row r="349" spans="1:14" x14ac:dyDescent="0.2">
      <c r="A349" s="1504" t="s">
        <v>197</v>
      </c>
      <c r="B349" s="614">
        <v>2540</v>
      </c>
      <c r="C349" s="466"/>
      <c r="D349" s="466"/>
      <c r="E349" s="466"/>
      <c r="F349" s="466"/>
      <c r="G349" s="466"/>
      <c r="H349" s="466"/>
      <c r="I349" s="467"/>
      <c r="J349" s="467"/>
      <c r="K349" s="1666">
        <f>SUM(C349:J349)</f>
        <v>0</v>
      </c>
      <c r="L349" s="466"/>
    </row>
    <row r="350" spans="1:14" ht="12.75" customHeight="1" thickBot="1" x14ac:dyDescent="0.25">
      <c r="A350" s="1663" t="s">
        <v>719</v>
      </c>
      <c r="B350" s="1664" t="s">
        <v>35</v>
      </c>
      <c r="C350" s="1665">
        <f>SUM(C348:C349)</f>
        <v>0</v>
      </c>
      <c r="D350" s="1665">
        <f t="shared" ref="D350:L350" si="26">SUM(D348:D349)</f>
        <v>0</v>
      </c>
      <c r="E350" s="1665">
        <f t="shared" si="26"/>
        <v>9074</v>
      </c>
      <c r="F350" s="1665">
        <f t="shared" si="26"/>
        <v>21655</v>
      </c>
      <c r="G350" s="1665">
        <f t="shared" si="26"/>
        <v>348154</v>
      </c>
      <c r="H350" s="1665">
        <f t="shared" si="26"/>
        <v>0</v>
      </c>
      <c r="I350" s="1665">
        <f t="shared" si="26"/>
        <v>0</v>
      </c>
      <c r="J350" s="1665">
        <f t="shared" si="26"/>
        <v>0</v>
      </c>
      <c r="K350" s="1665">
        <f t="shared" si="26"/>
        <v>378883</v>
      </c>
      <c r="L350" s="1665">
        <f t="shared" si="26"/>
        <v>287780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3" t="s">
        <v>624</v>
      </c>
      <c r="B352" s="1670" t="s">
        <v>569</v>
      </c>
      <c r="C352" s="1665">
        <f>SUM(C350:C351)</f>
        <v>0</v>
      </c>
      <c r="D352" s="1665">
        <f t="shared" ref="D352:L352" si="27">SUM(D350:D351)</f>
        <v>0</v>
      </c>
      <c r="E352" s="1665">
        <f t="shared" si="27"/>
        <v>9074</v>
      </c>
      <c r="F352" s="1665">
        <f t="shared" si="27"/>
        <v>21655</v>
      </c>
      <c r="G352" s="1665">
        <f t="shared" si="27"/>
        <v>348154</v>
      </c>
      <c r="H352" s="1665">
        <f t="shared" si="27"/>
        <v>0</v>
      </c>
      <c r="I352" s="1665">
        <f t="shared" si="27"/>
        <v>0</v>
      </c>
      <c r="J352" s="1665">
        <f t="shared" si="27"/>
        <v>0</v>
      </c>
      <c r="K352" s="1665">
        <f t="shared" si="27"/>
        <v>378883</v>
      </c>
      <c r="L352" s="1665">
        <f t="shared" si="27"/>
        <v>287780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29" t="s">
        <v>1848</v>
      </c>
      <c r="B354" s="683" t="s">
        <v>1840</v>
      </c>
      <c r="C354" s="616"/>
      <c r="D354" s="616"/>
      <c r="E354" s="616"/>
      <c r="F354" s="616"/>
      <c r="G354" s="616"/>
      <c r="H354" s="474"/>
      <c r="I354" s="701"/>
      <c r="J354" s="616"/>
      <c r="K354" s="1694">
        <f>H354</f>
        <v>0</v>
      </c>
      <c r="L354" s="471"/>
    </row>
    <row r="355" spans="1:14" ht="12.75" customHeight="1" x14ac:dyDescent="0.2">
      <c r="A355" s="1513" t="s">
        <v>1849</v>
      </c>
      <c r="B355" s="690" t="s">
        <v>1842</v>
      </c>
      <c r="C355" s="616"/>
      <c r="D355" s="616"/>
      <c r="E355" s="616"/>
      <c r="F355" s="616"/>
      <c r="G355" s="616"/>
      <c r="H355" s="467"/>
      <c r="I355" s="701"/>
      <c r="J355" s="616"/>
      <c r="K355" s="1738">
        <f>H355</f>
        <v>0</v>
      </c>
      <c r="L355" s="467"/>
    </row>
    <row r="356" spans="1:14" ht="12.75" customHeight="1" x14ac:dyDescent="0.2">
      <c r="A356" s="1829" t="s">
        <v>698</v>
      </c>
      <c r="B356" s="683" t="s">
        <v>558</v>
      </c>
      <c r="C356" s="616"/>
      <c r="D356" s="616"/>
      <c r="E356" s="616"/>
      <c r="F356" s="616"/>
      <c r="G356" s="616"/>
      <c r="H356" s="479"/>
      <c r="I356" s="701"/>
      <c r="J356" s="616"/>
      <c r="K356" s="1735">
        <f>H356</f>
        <v>0</v>
      </c>
      <c r="L356" s="479"/>
    </row>
    <row r="357" spans="1:14" ht="12.75" customHeight="1" thickBot="1" x14ac:dyDescent="0.25">
      <c r="A357" s="1663" t="s">
        <v>1487</v>
      </c>
      <c r="B357" s="1664" t="s">
        <v>860</v>
      </c>
      <c r="C357" s="616"/>
      <c r="D357" s="616"/>
      <c r="E357" s="616"/>
      <c r="F357" s="616"/>
      <c r="G357" s="616"/>
      <c r="H357" s="1683">
        <f>SUM(H354:H356)</f>
        <v>0</v>
      </c>
      <c r="I357" s="701"/>
      <c r="J357" s="616"/>
      <c r="K357" s="1683">
        <f>SUM(K354:K356)</f>
        <v>0</v>
      </c>
      <c r="L357" s="1683">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6">
        <f>SUM(C360:J360)</f>
        <v>0</v>
      </c>
      <c r="L360" s="466"/>
    </row>
    <row r="361" spans="1:14" ht="12.75" customHeight="1" x14ac:dyDescent="0.2">
      <c r="A361" s="1505" t="s">
        <v>619</v>
      </c>
      <c r="B361" s="602" t="s">
        <v>618</v>
      </c>
      <c r="C361" s="616"/>
      <c r="D361" s="616"/>
      <c r="E361" s="616"/>
      <c r="F361" s="616"/>
      <c r="G361" s="616"/>
      <c r="H361" s="467"/>
      <c r="I361" s="616"/>
      <c r="J361" s="616"/>
      <c r="K361" s="1666">
        <f>SUM(C361:J361)</f>
        <v>0</v>
      </c>
      <c r="L361" s="466"/>
    </row>
    <row r="362" spans="1:14" ht="12.75" customHeight="1" thickBot="1" x14ac:dyDescent="0.25">
      <c r="A362" s="1663" t="s">
        <v>626</v>
      </c>
      <c r="B362" s="1664" t="s">
        <v>718</v>
      </c>
      <c r="C362" s="616"/>
      <c r="D362" s="616"/>
      <c r="E362" s="616"/>
      <c r="F362" s="616"/>
      <c r="G362" s="616"/>
      <c r="H362" s="1698">
        <f>SUM(H360:H361)</f>
        <v>0</v>
      </c>
      <c r="I362" s="616"/>
      <c r="J362" s="616"/>
      <c r="K362" s="1698">
        <f>SUM(K360:K361)</f>
        <v>0</v>
      </c>
      <c r="L362" s="1698">
        <f>SUM(L360:L361)</f>
        <v>0</v>
      </c>
    </row>
    <row r="363" spans="1:14" s="674" customFormat="1" ht="15.75" customHeight="1" thickTop="1" x14ac:dyDescent="0.2">
      <c r="A363" s="660" t="s">
        <v>83</v>
      </c>
      <c r="B363" s="661" t="s">
        <v>38</v>
      </c>
      <c r="C363" s="638"/>
      <c r="D363" s="638"/>
      <c r="E363" s="638"/>
      <c r="F363" s="638"/>
      <c r="G363" s="638"/>
      <c r="H363" s="479"/>
      <c r="I363" s="638"/>
      <c r="J363" s="638"/>
      <c r="K363" s="1694">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6">
        <f>SUM(C364:J364)</f>
        <v>0</v>
      </c>
      <c r="L364" s="707"/>
    </row>
    <row r="365" spans="1:14" s="674" customFormat="1" ht="12.75" customHeight="1" thickBot="1" x14ac:dyDescent="0.25">
      <c r="A365" s="1521" t="s">
        <v>590</v>
      </c>
      <c r="B365" s="659" t="s">
        <v>492</v>
      </c>
      <c r="C365" s="638"/>
      <c r="D365" s="638"/>
      <c r="E365" s="638"/>
      <c r="F365" s="638"/>
      <c r="G365" s="638"/>
      <c r="H365" s="1698">
        <f>SUM(H362,H363,H364)</f>
        <v>0</v>
      </c>
      <c r="I365" s="638"/>
      <c r="J365" s="638"/>
      <c r="K365" s="1698">
        <f>SUM(K362,K363,K364)</f>
        <v>0</v>
      </c>
      <c r="L365" s="1698">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87" t="s">
        <v>505</v>
      </c>
      <c r="B367" s="1699"/>
      <c r="C367" s="1665">
        <f t="shared" ref="C367:L367" si="28">SUM(C352,C357,C365,C366)</f>
        <v>0</v>
      </c>
      <c r="D367" s="1665">
        <f t="shared" si="28"/>
        <v>0</v>
      </c>
      <c r="E367" s="1665">
        <f t="shared" si="28"/>
        <v>9074</v>
      </c>
      <c r="F367" s="1665">
        <f t="shared" si="28"/>
        <v>21655</v>
      </c>
      <c r="G367" s="1665">
        <f t="shared" si="28"/>
        <v>348154</v>
      </c>
      <c r="H367" s="1665">
        <f t="shared" si="28"/>
        <v>0</v>
      </c>
      <c r="I367" s="1665">
        <f t="shared" si="28"/>
        <v>0</v>
      </c>
      <c r="J367" s="1665">
        <f t="shared" si="28"/>
        <v>0</v>
      </c>
      <c r="K367" s="1665">
        <f t="shared" si="28"/>
        <v>378883</v>
      </c>
      <c r="L367" s="1665">
        <f t="shared" si="28"/>
        <v>287780</v>
      </c>
    </row>
    <row r="368" spans="1:14" ht="13.5" thickTop="1" x14ac:dyDescent="0.2">
      <c r="A368" s="2164" t="s">
        <v>996</v>
      </c>
      <c r="B368" s="2165"/>
      <c r="C368" s="654"/>
      <c r="D368" s="654"/>
      <c r="E368" s="626"/>
      <c r="F368" s="626"/>
      <c r="G368" s="626"/>
      <c r="H368" s="626"/>
      <c r="I368" s="626"/>
      <c r="J368" s="623"/>
      <c r="K368" s="1666">
        <f>'Revenues 9-14'!K268-'Expenditures 15-22'!K367</f>
        <v>-75631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schemas.microsoft.com/sharepoint/v3"/>
    <ds:schemaRef ds:uri="http://schemas.microsoft.com/office/2006/documentManagement/types"/>
    <ds:schemaRef ds:uri="d21dc803-237d-4c68-8692-8d731fd29118"/>
    <ds:schemaRef ds:uri="http://schemas.microsoft.com/office/infopath/2007/PartnerControls"/>
    <ds:schemaRef ds:uri="http://purl.org/dc/terms/"/>
    <ds:schemaRef ds:uri="http://schemas.openxmlformats.org/package/2006/metadata/core-properties"/>
    <ds:schemaRef ds:uri="http://www.w3.org/XML/1998/namespace"/>
    <ds:schemaRef ds:uri="4d435f69-8686-490b-bd6d-b153bf22ab50"/>
    <ds:schemaRef ds:uri="http://purl.org/dc/dcmitype/"/>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SEFA.1</vt:lpstr>
      <vt:lpstr> SEFA.2</vt:lpstr>
      <vt:lpstr>SEFA NOTES</vt:lpstr>
      <vt:lpstr>SF&amp;QC Sec-1</vt:lpstr>
      <vt:lpstr>SF&amp;QC Sec-2</vt:lpstr>
      <vt:lpstr>SF&amp;QC Sec-3</vt:lpstr>
      <vt:lpstr>SSPAF</vt:lpstr>
      <vt:lpstr>' SEFA'!Print_Area</vt:lpstr>
      <vt:lpstr>' SEFA.1'!Print_Area</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2019-10-17T18:11:15Z</cp:lastPrinted>
  <dcterms:created xsi:type="dcterms:W3CDTF">2003-10-29T19:06:34Z</dcterms:created>
  <dcterms:modified xsi:type="dcterms:W3CDTF">2019-12-31T16:32:44Z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