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13D8ED3-44D8-4143-84A1-4B3787AEEB3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19-001" sheetId="185" r:id="rId32"/>
    <sheet name="Finding 2019-002" sheetId="186" r:id="rId33"/>
    <sheet name="SF&amp;QC Sec-3" sheetId="176" r:id="rId34"/>
    <sheet name="SSPAF" sheetId="177" r:id="rId35"/>
    <sheet name="CAP Finding 001" sheetId="184" r:id="rId36"/>
    <sheet name="CAP Finding 002" sheetId="183" r:id="rId37"/>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5">#REF!</definedName>
    <definedName name="SCHADDRS" localSheetId="36">#REF!</definedName>
    <definedName name="SCHADDRS" localSheetId="21">#REF!</definedName>
    <definedName name="SCHADDRS" localSheetId="4">#REF!</definedName>
    <definedName name="SCHADDRS" localSheetId="31">#REF!</definedName>
    <definedName name="SCHADDRS" localSheetId="32">#REF!</definedName>
    <definedName name="SCHADDRS" localSheetId="28">#REF!</definedName>
    <definedName name="SCHADDRS" localSheetId="26">#REF!</definedName>
    <definedName name="SCHADDRS" localSheetId="29">#REF!</definedName>
    <definedName name="SCHADDRS" localSheetId="30">#REF!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35">#REF!</definedName>
    <definedName name="SCHCTY" localSheetId="36">#REF!</definedName>
    <definedName name="SCHCTY" localSheetId="21">#REF!</definedName>
    <definedName name="SCHCTY" localSheetId="4">#REF!</definedName>
    <definedName name="SCHCTY" localSheetId="31">#REF!</definedName>
    <definedName name="SCHCTY" localSheetId="32">#REF!</definedName>
    <definedName name="SCHCTY" localSheetId="28">#REF!</definedName>
    <definedName name="SCHCTY" localSheetId="26">#REF!</definedName>
    <definedName name="SCHCTY" localSheetId="29">#REF!</definedName>
    <definedName name="SCHCTY" localSheetId="30">#REF!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35">#REF!</definedName>
    <definedName name="SCHNMBR" localSheetId="36">#REF!</definedName>
    <definedName name="SCHNMBR" localSheetId="21">#REF!</definedName>
    <definedName name="SCHNMBR" localSheetId="4">#REF!</definedName>
    <definedName name="SCHNMBR" localSheetId="31">#REF!</definedName>
    <definedName name="SCHNMBR" localSheetId="32">#REF!</definedName>
    <definedName name="SCHNMBR" localSheetId="28">#REF!</definedName>
    <definedName name="SCHNMBR" localSheetId="26">#REF!</definedName>
    <definedName name="SCHNMBR" localSheetId="29">#REF!</definedName>
    <definedName name="SCHNMBR" localSheetId="30">#REF!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35">#REF!</definedName>
    <definedName name="SCHNME" localSheetId="36">#REF!</definedName>
    <definedName name="SCHNME" localSheetId="21">#REF!</definedName>
    <definedName name="SCHNME" localSheetId="4">#REF!</definedName>
    <definedName name="SCHNME" localSheetId="31">#REF!</definedName>
    <definedName name="SCHNME" localSheetId="32">#REF!</definedName>
    <definedName name="SCHNME" localSheetId="28">#REF!</definedName>
    <definedName name="SCHNME" localSheetId="26">#REF!</definedName>
    <definedName name="SCHNME" localSheetId="29">#REF!</definedName>
    <definedName name="SCHNME" localSheetId="30">#REF!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35">#REF!</definedName>
    <definedName name="SUPT" localSheetId="36">#REF!</definedName>
    <definedName name="SUPT" localSheetId="21">#REF!</definedName>
    <definedName name="SUPT" localSheetId="4">#REF!</definedName>
    <definedName name="SUPT" localSheetId="31">#REF!</definedName>
    <definedName name="SUPT" localSheetId="32">#REF!</definedName>
    <definedName name="SUPT" localSheetId="28">#REF!</definedName>
    <definedName name="SUPT" localSheetId="26">#REF!</definedName>
    <definedName name="SUPT" localSheetId="29">#REF!</definedName>
    <definedName name="SUPT" localSheetId="30">#REF!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83" l="1"/>
  <c r="B4" i="186"/>
  <c r="B4" i="18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J31" i="8" s="1"/>
  <c r="I32" i="8"/>
  <c r="J32" i="8" s="1"/>
  <c r="I33" i="8"/>
  <c r="J33" i="8" s="1"/>
  <c r="I34" i="8"/>
  <c r="J34" i="8" s="1"/>
  <c r="J49" i="8" s="1"/>
  <c r="B4172" i="106" s="1"/>
  <c r="D4172" i="106"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6" i="106"/>
  <c r="D4356" i="106" s="1"/>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B6381" i="106"/>
  <c r="D6381"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F115" i="34"/>
  <c r="C116" i="34"/>
  <c r="D116" i="34"/>
  <c r="F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5" i="5"/>
  <c r="B4373" i="106" s="1"/>
  <c r="D4373" i="106" s="1"/>
  <c r="J252" i="5"/>
  <c r="J266" i="5" s="1"/>
  <c r="B7041" i="106" s="1"/>
  <c r="D7041" i="106" s="1"/>
  <c r="K252" i="5"/>
  <c r="D7" i="118"/>
  <c r="D8" i="118"/>
  <c r="D9" i="118"/>
  <c r="H28" i="118"/>
  <c r="D22" i="37"/>
  <c r="J22" i="37"/>
  <c r="D24" i="37"/>
  <c r="B4270" i="106" s="1"/>
  <c r="D4270" i="106" s="1"/>
  <c r="L5" i="11"/>
  <c r="B2056" i="106" s="1"/>
  <c r="D2056" i="106" s="1"/>
  <c r="L15" i="11" l="1"/>
  <c r="B3459" i="106" s="1"/>
  <c r="D3459" i="106" s="1"/>
  <c r="H33" i="118"/>
  <c r="D54" i="36"/>
  <c r="D11" i="37"/>
  <c r="D31" i="36"/>
  <c r="F19" i="7"/>
  <c r="B1807" i="106" s="1"/>
  <c r="D1807" i="106" s="1"/>
  <c r="H29" i="118"/>
  <c r="K28" i="118" s="1"/>
  <c r="O27" i="118" s="1"/>
  <c r="O29" i="118" s="1"/>
  <c r="N22" i="3"/>
  <c r="B283" i="106" s="1"/>
  <c r="D283" i="106" s="1"/>
  <c r="L22" i="37"/>
  <c r="L13" i="11"/>
  <c r="B2060" i="106" s="1"/>
  <c r="D2060" i="106" s="1"/>
  <c r="I24" i="12"/>
  <c r="F21" i="8"/>
  <c r="K24" i="12"/>
  <c r="I267" i="5"/>
  <c r="B4435" i="106" s="1"/>
  <c r="D4435"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I7" i="4" l="1"/>
  <c r="B4444" i="106" s="1"/>
  <c r="D4444" i="106" s="1"/>
  <c r="L16" i="11"/>
  <c r="B2061" i="106" s="1"/>
  <c r="D2061" i="106" s="1"/>
  <c r="B1996" i="106"/>
  <c r="D1996" i="106" s="1"/>
  <c r="I26" i="12"/>
  <c r="B7741" i="106" s="1"/>
  <c r="D7741"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09" i="106" l="1"/>
  <c r="D7809" i="106" s="1"/>
  <c r="B7813" i="106"/>
  <c r="D7813" i="106" s="1"/>
  <c r="B7810" i="106"/>
  <c r="D7810" i="106" s="1"/>
  <c r="B7814" i="106"/>
  <c r="D7814" i="106" s="1"/>
  <c r="B7811" i="106"/>
  <c r="D7811" i="106" s="1"/>
  <c r="B7815" i="106"/>
  <c r="D7815" i="106" s="1"/>
  <c r="F166" i="34" l="1"/>
  <c r="B7812" i="106"/>
  <c r="D7812" i="106" s="1"/>
  <c r="F167" i="34"/>
  <c r="B7816" i="106"/>
  <c r="D7816" i="106" s="1"/>
  <c r="L334" i="29" l="1"/>
  <c r="B7775" i="106" l="1"/>
  <c r="D7775" i="106" s="1"/>
  <c r="K133" i="29"/>
  <c r="B7774" i="106"/>
  <c r="D7774" i="106" s="1"/>
  <c r="K158" i="29"/>
  <c r="B7780" i="106" s="1"/>
  <c r="D7780" i="106" s="1"/>
  <c r="B7779" i="106"/>
  <c r="D7779" i="106" s="1"/>
  <c r="K159" i="29"/>
  <c r="B7782" i="106" s="1"/>
  <c r="D7782" i="106" s="1"/>
  <c r="B7781" i="106"/>
  <c r="D7781" i="106" s="1"/>
  <c r="B7783" i="106"/>
  <c r="D7783" i="106" s="1"/>
  <c r="K282" i="29"/>
  <c r="H334" i="29"/>
  <c r="B7789" i="106" s="1"/>
  <c r="D7789" i="106" s="1"/>
  <c r="K332" i="29"/>
  <c r="B7785" i="106"/>
  <c r="D7785" i="106" s="1"/>
  <c r="K333" i="29"/>
  <c r="B7788" i="106" s="1"/>
  <c r="D7788" i="106" s="1"/>
  <c r="B7787" i="106"/>
  <c r="D7787" i="106" s="1"/>
  <c r="B7793" i="106"/>
  <c r="D7793" i="106" s="1"/>
  <c r="K355" i="29"/>
  <c r="B7237" i="106"/>
  <c r="D7237" i="106" s="1"/>
  <c r="B7791" i="106"/>
  <c r="D7791" i="106" s="1"/>
  <c r="K354" i="29"/>
  <c r="B7236" i="106"/>
  <c r="D7236" i="106" s="1"/>
  <c r="B7776" i="106" l="1"/>
  <c r="D7776" i="106" s="1"/>
  <c r="B7784" i="106"/>
  <c r="D7784" i="106" s="1"/>
  <c r="B7786" i="106"/>
  <c r="D7786" i="106" s="1"/>
  <c r="K334" i="29"/>
  <c r="B7792" i="106"/>
  <c r="D7792" i="106" s="1"/>
  <c r="B3673" i="106"/>
  <c r="D3673" i="106" s="1"/>
  <c r="B7794" i="106"/>
  <c r="D7794" i="106" s="1"/>
  <c r="B3674" i="106"/>
  <c r="D3674" i="106" s="1"/>
  <c r="F74" i="34" l="1"/>
  <c r="J15" i="4"/>
  <c r="B7796" i="106" s="1"/>
  <c r="D7796" i="106" s="1"/>
  <c r="B7790" i="106"/>
  <c r="D7790"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1" i="106"/>
  <c r="D5511"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5765" i="106"/>
  <c r="D5765"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B3585" i="106"/>
  <c r="D3585" i="106" s="1"/>
  <c r="B5065" i="106"/>
  <c r="D506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5888" i="106"/>
  <c r="D5888" i="106" s="1"/>
  <c r="B7806" i="106"/>
  <c r="D7806"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261" i="29"/>
  <c r="L160" i="29"/>
  <c r="L137"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76" i="106"/>
  <c r="D6176" i="106" s="1"/>
  <c r="L257" i="29" l="1"/>
  <c r="L340" i="29"/>
  <c r="L285" i="29"/>
  <c r="K108" i="29"/>
  <c r="B2796" i="106" s="1"/>
  <c r="D2796" i="106" s="1"/>
  <c r="B2792" i="106"/>
  <c r="D2792" i="106" s="1"/>
  <c r="K98" i="29"/>
  <c r="B7007" i="106" s="1"/>
  <c r="D7007" i="106" s="1"/>
  <c r="B7006" i="106"/>
  <c r="D7006" i="106" s="1"/>
  <c r="B6989" i="106"/>
  <c r="D6989" i="106" s="1"/>
  <c r="K89" i="29"/>
  <c r="B6990" i="106" s="1"/>
  <c r="D6990" i="106" s="1"/>
  <c r="K82" i="29"/>
  <c r="B2977" i="106" s="1"/>
  <c r="D2977" i="106" s="1"/>
  <c r="B2953" i="106"/>
  <c r="D2953" i="106" s="1"/>
  <c r="E84" i="29"/>
  <c r="K78" i="29"/>
  <c r="B2949" i="106"/>
  <c r="D2949" i="106" s="1"/>
  <c r="B756" i="106"/>
  <c r="D756" i="106" s="1"/>
  <c r="B754" i="106"/>
  <c r="D754" i="106" s="1"/>
  <c r="K73" i="29"/>
  <c r="B1142" i="106" s="1"/>
  <c r="D1142" i="106" s="1"/>
  <c r="B751" i="106"/>
  <c r="D751" i="106" s="1"/>
  <c r="K71" i="29"/>
  <c r="B1139" i="106" s="1"/>
  <c r="D1139" i="106" s="1"/>
  <c r="B749" i="106"/>
  <c r="D749" i="106" s="1"/>
  <c r="K70" i="29"/>
  <c r="B1137" i="106" s="1"/>
  <c r="D1137" i="106" s="1"/>
  <c r="K69" i="29"/>
  <c r="B1136" i="106" s="1"/>
  <c r="D1136" i="106" s="1"/>
  <c r="B748" i="106"/>
  <c r="D748" i="106" s="1"/>
  <c r="B747" i="106"/>
  <c r="D747" i="106" s="1"/>
  <c r="K68" i="29"/>
  <c r="B1135" i="106" s="1"/>
  <c r="D1135" i="106" s="1"/>
  <c r="C72" i="29"/>
  <c r="B753" i="106" s="1"/>
  <c r="D753" i="106" s="1"/>
  <c r="B746" i="106"/>
  <c r="D746" i="106" s="1"/>
  <c r="B743" i="106"/>
  <c r="D743" i="106" s="1"/>
  <c r="B742" i="106"/>
  <c r="D742" i="106" s="1"/>
  <c r="K63" i="29"/>
  <c r="B1130" i="106" s="1"/>
  <c r="D1130" i="106" s="1"/>
  <c r="B741" i="106"/>
  <c r="D741" i="106" s="1"/>
  <c r="B740" i="106"/>
  <c r="D740" i="106" s="1"/>
  <c r="K60" i="29"/>
  <c r="B1127" i="106" s="1"/>
  <c r="D1127" i="106" s="1"/>
  <c r="B739" i="106"/>
  <c r="D739" i="106" s="1"/>
  <c r="C65" i="29"/>
  <c r="B745" i="106" s="1"/>
  <c r="D745" i="106" s="1"/>
  <c r="B738" i="106"/>
  <c r="D738" i="106" s="1"/>
  <c r="B736" i="106"/>
  <c r="D736" i="106" s="1"/>
  <c r="K55" i="29"/>
  <c r="B735" i="106"/>
  <c r="D735" i="106" s="1"/>
  <c r="C57" i="29"/>
  <c r="B737" i="106" s="1"/>
  <c r="D737" i="106" s="1"/>
  <c r="B6932" i="106"/>
  <c r="D6932" i="106" s="1"/>
  <c r="B2718" i="106"/>
  <c r="D2718" i="106" s="1"/>
  <c r="K51" i="29"/>
  <c r="B733" i="106"/>
  <c r="D733" i="106" s="1"/>
  <c r="K50" i="29"/>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K44" i="29"/>
  <c r="B726" i="106"/>
  <c r="D726" i="106" s="1"/>
  <c r="B725" i="106"/>
  <c r="D725" i="106" s="1"/>
  <c r="K40" i="29"/>
  <c r="B1113" i="106" s="1"/>
  <c r="D1113" i="106" s="1"/>
  <c r="B724" i="106"/>
  <c r="D724" i="106" s="1"/>
  <c r="K39" i="29"/>
  <c r="B1112" i="106" s="1"/>
  <c r="D1112" i="106" s="1"/>
  <c r="B723" i="106"/>
  <c r="D723" i="106" s="1"/>
  <c r="K38" i="29"/>
  <c r="B1111" i="106" s="1"/>
  <c r="D1111" i="106" s="1"/>
  <c r="K37" i="29"/>
  <c r="B1110" i="106" s="1"/>
  <c r="D1110" i="106" s="1"/>
  <c r="B722" i="106"/>
  <c r="D722" i="106" s="1"/>
  <c r="K36" i="29"/>
  <c r="C42" i="29"/>
  <c r="B721" i="106"/>
  <c r="D721" i="106" s="1"/>
  <c r="B6886" i="106"/>
  <c r="D6886" i="106" s="1"/>
  <c r="K25" i="29"/>
  <c r="B995" i="106"/>
  <c r="D995" i="106" s="1"/>
  <c r="H33" i="29"/>
  <c r="F158" i="34"/>
  <c r="B7761" i="106"/>
  <c r="D7761" i="106" s="1"/>
  <c r="B5063" i="106"/>
  <c r="D5063" i="106" s="1"/>
  <c r="K107" i="29"/>
  <c r="B2795" i="106" s="1"/>
  <c r="D2795" i="106" s="1"/>
  <c r="B2791" i="106"/>
  <c r="D2791" i="106" s="1"/>
  <c r="K97" i="29"/>
  <c r="B7005" i="106" s="1"/>
  <c r="D7005" i="106" s="1"/>
  <c r="B7004" i="106"/>
  <c r="D7004" i="106" s="1"/>
  <c r="B6987" i="106"/>
  <c r="D6987" i="106" s="1"/>
  <c r="K88" i="29"/>
  <c r="B6988" i="106" s="1"/>
  <c r="D6988" i="106" s="1"/>
  <c r="J72" i="29"/>
  <c r="B6974" i="106" s="1"/>
  <c r="D6974" i="106" s="1"/>
  <c r="B6964" i="106"/>
  <c r="D6964" i="106" s="1"/>
  <c r="B6951" i="106"/>
  <c r="D6951" i="106" s="1"/>
  <c r="J65" i="29"/>
  <c r="B6962" i="106" s="1"/>
  <c r="D6962" i="106" s="1"/>
  <c r="J57" i="29"/>
  <c r="B6949" i="106" s="1"/>
  <c r="D6949" i="106" s="1"/>
  <c r="B6945" i="106"/>
  <c r="D6945" i="106" s="1"/>
  <c r="B6927" i="106"/>
  <c r="D6927" i="106" s="1"/>
  <c r="J53" i="29"/>
  <c r="B6943" i="106" s="1"/>
  <c r="D6943" i="106" s="1"/>
  <c r="J47" i="29"/>
  <c r="B6925" i="106" s="1"/>
  <c r="D6925" i="106" s="1"/>
  <c r="B6919" i="106"/>
  <c r="D6919" i="106" s="1"/>
  <c r="J42" i="29"/>
  <c r="B6905" i="106"/>
  <c r="D6905" i="106" s="1"/>
  <c r="B6900" i="106"/>
  <c r="D6900" i="106" s="1"/>
  <c r="K32" i="29"/>
  <c r="B6884" i="106"/>
  <c r="D6884" i="106" s="1"/>
  <c r="K24" i="29"/>
  <c r="B6825" i="106"/>
  <c r="D6825" i="106" s="1"/>
  <c r="B5086" i="106"/>
  <c r="D5086" i="106" s="1"/>
  <c r="B5080" i="106"/>
  <c r="D5080" i="106" s="1"/>
  <c r="B6941" i="106"/>
  <c r="D6941" i="106" s="1"/>
  <c r="L47" i="29"/>
  <c r="C76" i="4"/>
  <c r="B3231" i="106" s="1"/>
  <c r="D3231" i="106" s="1"/>
  <c r="B5022" i="106"/>
  <c r="D5022" i="106" s="1"/>
  <c r="B1049" i="106"/>
  <c r="D1049" i="106" s="1"/>
  <c r="K106" i="29"/>
  <c r="B1147" i="106" s="1"/>
  <c r="D1147" i="106" s="1"/>
  <c r="K96" i="29"/>
  <c r="B7003" i="106" s="1"/>
  <c r="D7003" i="106" s="1"/>
  <c r="B7002" i="106"/>
  <c r="D7002" i="106" s="1"/>
  <c r="B6985" i="106"/>
  <c r="D6985" i="106" s="1"/>
  <c r="K87" i="29"/>
  <c r="B6986" i="106" s="1"/>
  <c r="D6986" i="106" s="1"/>
  <c r="K81" i="29"/>
  <c r="B2976" i="106" s="1"/>
  <c r="D2976" i="106" s="1"/>
  <c r="B2952" i="106"/>
  <c r="D2952" i="106" s="1"/>
  <c r="I72" i="29"/>
  <c r="B6973" i="106" s="1"/>
  <c r="D6973" i="106" s="1"/>
  <c r="B6963" i="106"/>
  <c r="D6963" i="106" s="1"/>
  <c r="B6950" i="106"/>
  <c r="D6950" i="106" s="1"/>
  <c r="I65" i="29"/>
  <c r="B6961" i="106" s="1"/>
  <c r="D6961" i="106" s="1"/>
  <c r="B6944" i="106"/>
  <c r="D6944" i="106" s="1"/>
  <c r="I57" i="29"/>
  <c r="B6948" i="106" s="1"/>
  <c r="D6948" i="106" s="1"/>
  <c r="B6926" i="106"/>
  <c r="D6926" i="106" s="1"/>
  <c r="I53" i="29"/>
  <c r="B6942" i="106" s="1"/>
  <c r="D6942" i="106" s="1"/>
  <c r="B6918" i="106"/>
  <c r="D6918" i="106" s="1"/>
  <c r="I47" i="29"/>
  <c r="B6924" i="106" s="1"/>
  <c r="D6924" i="106" s="1"/>
  <c r="B6904" i="106"/>
  <c r="D6904" i="106" s="1"/>
  <c r="I42" i="29"/>
  <c r="K31" i="29"/>
  <c r="B6898" i="106"/>
  <c r="D6898" i="106" s="1"/>
  <c r="K23" i="29"/>
  <c r="B6882" i="106"/>
  <c r="D6882" i="106" s="1"/>
  <c r="B879" i="106"/>
  <c r="D879" i="106" s="1"/>
  <c r="F33" i="29"/>
  <c r="B5107" i="106"/>
  <c r="D5107" i="106" s="1"/>
  <c r="F98" i="34"/>
  <c r="B6125" i="106"/>
  <c r="D6125" i="106" s="1"/>
  <c r="C34" i="3"/>
  <c r="B1048" i="106"/>
  <c r="D1048" i="106" s="1"/>
  <c r="K105" i="29"/>
  <c r="H110" i="29"/>
  <c r="K95" i="29"/>
  <c r="B7001" i="106" s="1"/>
  <c r="D7001" i="106" s="1"/>
  <c r="B7000" i="106"/>
  <c r="D7000" i="106" s="1"/>
  <c r="K86" i="29"/>
  <c r="B6984" i="106" s="1"/>
  <c r="D6984" i="106" s="1"/>
  <c r="B6983" i="106"/>
  <c r="D6983" i="106" s="1"/>
  <c r="K67" i="29"/>
  <c r="B1033" i="106"/>
  <c r="D1033" i="106" s="1"/>
  <c r="B1031" i="106"/>
  <c r="D1031" i="106" s="1"/>
  <c r="B1030" i="106"/>
  <c r="D1030" i="106" s="1"/>
  <c r="K59" i="29"/>
  <c r="B1025" i="106"/>
  <c r="D1025" i="106" s="1"/>
  <c r="H57" i="29"/>
  <c r="B1027" i="106" s="1"/>
  <c r="D1027" i="106" s="1"/>
  <c r="B1022" i="106"/>
  <c r="D1022" i="106" s="1"/>
  <c r="H53" i="29"/>
  <c r="B1024" i="106" s="1"/>
  <c r="D1024" i="106" s="1"/>
  <c r="B1018" i="106"/>
  <c r="D1018" i="106" s="1"/>
  <c r="H47" i="29"/>
  <c r="B1021" i="106" s="1"/>
  <c r="D1021" i="106" s="1"/>
  <c r="H42" i="29"/>
  <c r="B1011" i="106"/>
  <c r="D1011" i="106" s="1"/>
  <c r="K30" i="29"/>
  <c r="B6896" i="106"/>
  <c r="D6896" i="106" s="1"/>
  <c r="K22" i="29"/>
  <c r="B6880" i="106"/>
  <c r="D6880" i="106" s="1"/>
  <c r="B7253" i="106"/>
  <c r="D7253" i="106" s="1"/>
  <c r="B821" i="106"/>
  <c r="D821" i="106" s="1"/>
  <c r="B5072" i="106"/>
  <c r="D5072" i="106" s="1"/>
  <c r="C40" i="5"/>
  <c r="B5087" i="106" s="1"/>
  <c r="D5087" i="106" s="1"/>
  <c r="B5026" i="106"/>
  <c r="D5026" i="106" s="1"/>
  <c r="B7748" i="106"/>
  <c r="D7748" i="106" s="1"/>
  <c r="K94" i="29"/>
  <c r="B6999" i="106" s="1"/>
  <c r="D6999" i="106" s="1"/>
  <c r="B6998" i="106"/>
  <c r="D6998" i="106" s="1"/>
  <c r="H92" i="29"/>
  <c r="B6981" i="106"/>
  <c r="D6981" i="106" s="1"/>
  <c r="K85" i="29"/>
  <c r="B6982" i="106" s="1"/>
  <c r="D6982" i="106" s="1"/>
  <c r="K80" i="29"/>
  <c r="B2975" i="106" s="1"/>
  <c r="D2975" i="106" s="1"/>
  <c r="B2951" i="106"/>
  <c r="D2951" i="106" s="1"/>
  <c r="B988" i="106"/>
  <c r="D988" i="106" s="1"/>
  <c r="G72" i="29"/>
  <c r="B985" i="106" s="1"/>
  <c r="D985" i="106" s="1"/>
  <c r="B978" i="106"/>
  <c r="D978" i="106" s="1"/>
  <c r="B973" i="106"/>
  <c r="D973" i="106" s="1"/>
  <c r="G65" i="29"/>
  <c r="B977" i="106" s="1"/>
  <c r="D977" i="106" s="1"/>
  <c r="B970" i="106"/>
  <c r="D970" i="106" s="1"/>
  <c r="B967" i="106"/>
  <c r="D967" i="106" s="1"/>
  <c r="G57" i="29"/>
  <c r="B969" i="106" s="1"/>
  <c r="D969" i="106" s="1"/>
  <c r="B6936" i="106"/>
  <c r="D6936" i="106" s="1"/>
  <c r="B964" i="106"/>
  <c r="D964" i="106" s="1"/>
  <c r="B960" i="106"/>
  <c r="D960" i="106" s="1"/>
  <c r="G47" i="29"/>
  <c r="B963" i="106" s="1"/>
  <c r="D963" i="106" s="1"/>
  <c r="G42" i="29"/>
  <c r="B953" i="106"/>
  <c r="D953" i="106" s="1"/>
  <c r="B6894" i="106"/>
  <c r="D6894" i="106" s="1"/>
  <c r="K29" i="29"/>
  <c r="B6878" i="106"/>
  <c r="D6878" i="106" s="1"/>
  <c r="K21" i="29"/>
  <c r="B763" i="106"/>
  <c r="D763" i="106" s="1"/>
  <c r="D33" i="29"/>
  <c r="B5163" i="106"/>
  <c r="D5163" i="106" s="1"/>
  <c r="L110" i="29"/>
  <c r="L112" i="29" s="1"/>
  <c r="K101" i="29"/>
  <c r="B7015" i="106" s="1"/>
  <c r="D7015" i="106" s="1"/>
  <c r="B2947" i="106"/>
  <c r="D2947" i="106" s="1"/>
  <c r="K93" i="29"/>
  <c r="H100" i="29"/>
  <c r="B7012" i="106" s="1"/>
  <c r="D7012" i="106" s="1"/>
  <c r="B6996" i="106"/>
  <c r="D6996" i="106" s="1"/>
  <c r="F72" i="29"/>
  <c r="B927" i="106" s="1"/>
  <c r="D927" i="106" s="1"/>
  <c r="B920" i="106"/>
  <c r="D920" i="106" s="1"/>
  <c r="F65" i="29"/>
  <c r="B919" i="106" s="1"/>
  <c r="D919" i="106" s="1"/>
  <c r="B912" i="106"/>
  <c r="D912" i="106" s="1"/>
  <c r="B909" i="106"/>
  <c r="D909" i="106" s="1"/>
  <c r="F57" i="29"/>
  <c r="B911" i="106" s="1"/>
  <c r="D911" i="106" s="1"/>
  <c r="F53" i="29"/>
  <c r="B908" i="106" s="1"/>
  <c r="D908" i="106" s="1"/>
  <c r="B906" i="106"/>
  <c r="D906" i="106" s="1"/>
  <c r="B902" i="106"/>
  <c r="D902" i="106" s="1"/>
  <c r="F47" i="29"/>
  <c r="B905" i="106" s="1"/>
  <c r="D905" i="106" s="1"/>
  <c r="F42" i="29"/>
  <c r="B895" i="106"/>
  <c r="D895" i="106" s="1"/>
  <c r="B6892" i="106"/>
  <c r="D6892" i="106" s="1"/>
  <c r="K28" i="29"/>
  <c r="B6876" i="106"/>
  <c r="D6876" i="106" s="1"/>
  <c r="K20" i="29"/>
  <c r="K19" i="29"/>
  <c r="B3381" i="106" s="1"/>
  <c r="D3381" i="106" s="1"/>
  <c r="B3367" i="106"/>
  <c r="D3367" i="106" s="1"/>
  <c r="K18" i="29"/>
  <c r="B1100" i="106" s="1"/>
  <c r="D1100" i="106" s="1"/>
  <c r="B712" i="106"/>
  <c r="D712" i="106" s="1"/>
  <c r="K17" i="29"/>
  <c r="B6871" i="106" s="1"/>
  <c r="D6871" i="106" s="1"/>
  <c r="B7263" i="106"/>
  <c r="D7263" i="106" s="1"/>
  <c r="B706" i="106"/>
  <c r="D706" i="106" s="1"/>
  <c r="B719" i="106"/>
  <c r="D719" i="106" s="1"/>
  <c r="K15" i="29"/>
  <c r="B718" i="106"/>
  <c r="D718" i="106" s="1"/>
  <c r="K14" i="29"/>
  <c r="B1106" i="106" s="1"/>
  <c r="D1106" i="106" s="1"/>
  <c r="B717" i="106"/>
  <c r="D717" i="106" s="1"/>
  <c r="K13" i="29"/>
  <c r="B1105" i="106" s="1"/>
  <c r="D1105" i="106" s="1"/>
  <c r="B716" i="106"/>
  <c r="D716" i="106" s="1"/>
  <c r="B7257" i="106"/>
  <c r="D7257" i="106" s="1"/>
  <c r="K11" i="29"/>
  <c r="B3055" i="106"/>
  <c r="D3055" i="106" s="1"/>
  <c r="K10" i="29"/>
  <c r="B3062" i="106" s="1"/>
  <c r="D3062" i="106" s="1"/>
  <c r="B7251" i="106"/>
  <c r="D7251" i="106" s="1"/>
  <c r="K8" i="29"/>
  <c r="B3380" i="106" s="1"/>
  <c r="D3380" i="106" s="1"/>
  <c r="B3366" i="106"/>
  <c r="D3366" i="106" s="1"/>
  <c r="B6727" i="106"/>
  <c r="D6727" i="106" s="1"/>
  <c r="K7" i="29"/>
  <c r="B705" i="106"/>
  <c r="D705" i="106" s="1"/>
  <c r="C33" i="29"/>
  <c r="B6031" i="106"/>
  <c r="D6031" i="106" s="1"/>
  <c r="B5064" i="106"/>
  <c r="D5064" i="106" s="1"/>
  <c r="B17" i="7"/>
  <c r="L92" i="29"/>
  <c r="B7016" i="106"/>
  <c r="D7016" i="106" s="1"/>
  <c r="K111" i="29"/>
  <c r="B7017" i="106" s="1"/>
  <c r="D7017" i="106" s="1"/>
  <c r="B6993" i="106"/>
  <c r="D6993" i="106" s="1"/>
  <c r="K91" i="29"/>
  <c r="B6994" i="106" s="1"/>
  <c r="D6994" i="106" s="1"/>
  <c r="K83" i="29"/>
  <c r="B2978" i="106" s="1"/>
  <c r="D2978" i="106" s="1"/>
  <c r="B2954" i="106"/>
  <c r="D2954" i="106" s="1"/>
  <c r="B2950" i="106"/>
  <c r="D2950" i="106" s="1"/>
  <c r="K79" i="29"/>
  <c r="B2974" i="106" s="1"/>
  <c r="D2974" i="106" s="1"/>
  <c r="E72" i="29"/>
  <c r="B869" i="106" s="1"/>
  <c r="D869" i="106" s="1"/>
  <c r="B862" i="106"/>
  <c r="D862" i="106" s="1"/>
  <c r="E65" i="29"/>
  <c r="B861" i="106" s="1"/>
  <c r="D861" i="106" s="1"/>
  <c r="B854" i="106"/>
  <c r="D854" i="106" s="1"/>
  <c r="B851" i="106"/>
  <c r="D851" i="106" s="1"/>
  <c r="E57" i="29"/>
  <c r="B853" i="106" s="1"/>
  <c r="D853" i="106" s="1"/>
  <c r="E53" i="29"/>
  <c r="B850" i="106" s="1"/>
  <c r="D850" i="106" s="1"/>
  <c r="B848" i="106"/>
  <c r="D848" i="106" s="1"/>
  <c r="B844" i="106"/>
  <c r="D844" i="106" s="1"/>
  <c r="E47" i="29"/>
  <c r="B847" i="106" s="1"/>
  <c r="D847" i="106" s="1"/>
  <c r="E42" i="29"/>
  <c r="B837" i="106"/>
  <c r="D837" i="106" s="1"/>
  <c r="K27" i="29"/>
  <c r="B6890" i="106"/>
  <c r="D6890" i="106" s="1"/>
  <c r="B6845" i="106"/>
  <c r="D6845" i="106" s="1"/>
  <c r="J33" i="29"/>
  <c r="B4113" i="106"/>
  <c r="D4113" i="106" s="1"/>
  <c r="D78" i="36"/>
  <c r="C18" i="4"/>
  <c r="B4131" i="106" s="1"/>
  <c r="D4131" i="106" s="1"/>
  <c r="L100" i="29"/>
  <c r="B1051" i="106"/>
  <c r="D1051" i="106" s="1"/>
  <c r="K109" i="29"/>
  <c r="B1149" i="106" s="1"/>
  <c r="D1149" i="106" s="1"/>
  <c r="K99" i="29"/>
  <c r="B7010" i="106" s="1"/>
  <c r="D7010" i="106" s="1"/>
  <c r="E100" i="29"/>
  <c r="B7011" i="106" s="1"/>
  <c r="D7011" i="106" s="1"/>
  <c r="B7008" i="106"/>
  <c r="D7008" i="106" s="1"/>
  <c r="K90" i="29"/>
  <c r="B6992" i="106" s="1"/>
  <c r="D6992" i="106" s="1"/>
  <c r="B6991" i="106"/>
  <c r="D6991" i="106" s="1"/>
  <c r="H84" i="29"/>
  <c r="B2955" i="106"/>
  <c r="D2955" i="106" s="1"/>
  <c r="D72" i="29"/>
  <c r="B811" i="106" s="1"/>
  <c r="D811" i="106" s="1"/>
  <c r="B804" i="106"/>
  <c r="D804" i="106" s="1"/>
  <c r="D65" i="29"/>
  <c r="B803" i="106" s="1"/>
  <c r="D803" i="106" s="1"/>
  <c r="B796" i="106"/>
  <c r="D796" i="106" s="1"/>
  <c r="B794" i="106"/>
  <c r="D794" i="106" s="1"/>
  <c r="B793" i="106"/>
  <c r="D793" i="106" s="1"/>
  <c r="K49" i="29"/>
  <c r="B786" i="106"/>
  <c r="D786" i="106" s="1"/>
  <c r="D47" i="29"/>
  <c r="B789" i="106" s="1"/>
  <c r="D789" i="106" s="1"/>
  <c r="B784" i="106"/>
  <c r="D784" i="106" s="1"/>
  <c r="B779" i="106"/>
  <c r="D779" i="106" s="1"/>
  <c r="K26" i="29"/>
  <c r="B6888" i="106"/>
  <c r="D6888" i="106" s="1"/>
  <c r="B6867" i="106"/>
  <c r="D6867" i="106" s="1"/>
  <c r="B6859" i="106"/>
  <c r="D6859" i="106" s="1"/>
  <c r="B6851" i="106"/>
  <c r="D6851" i="106" s="1"/>
  <c r="B6844" i="106"/>
  <c r="D6844" i="106" s="1"/>
  <c r="B5088" i="106"/>
  <c r="D5088" i="106" s="1"/>
  <c r="B5067" i="106"/>
  <c r="D5067" i="106" s="1"/>
  <c r="C18" i="5"/>
  <c r="B5071" i="106" s="1"/>
  <c r="D5071" i="106" s="1"/>
  <c r="B5110" i="106"/>
  <c r="D5110" i="106" s="1"/>
  <c r="F99" i="34"/>
  <c r="F104" i="34"/>
  <c r="B5118" i="106"/>
  <c r="D5118" i="106" s="1"/>
  <c r="F159" i="34"/>
  <c r="B3482" i="106"/>
  <c r="D3482" i="106" s="1"/>
  <c r="K125" i="29"/>
  <c r="B3488" i="106" s="1"/>
  <c r="D3488" i="106" s="1"/>
  <c r="D44" i="4"/>
  <c r="B7749" i="106"/>
  <c r="D7749" i="106" s="1"/>
  <c r="B5331" i="106"/>
  <c r="D5331" i="106" s="1"/>
  <c r="B5458" i="106"/>
  <c r="D5458" i="106" s="1"/>
  <c r="D217" i="5"/>
  <c r="B5470" i="106" s="1"/>
  <c r="D5470" i="106" s="1"/>
  <c r="K148" i="29"/>
  <c r="B7050" i="106" s="1"/>
  <c r="D7050" i="106" s="1"/>
  <c r="B7049" i="106"/>
  <c r="D7049" i="106" s="1"/>
  <c r="K136" i="29"/>
  <c r="B2988" i="106" s="1"/>
  <c r="D2988" i="106" s="1"/>
  <c r="B4201" i="106"/>
  <c r="D4201" i="106" s="1"/>
  <c r="I127" i="29"/>
  <c r="B7033" i="106" s="1"/>
  <c r="D7033" i="106" s="1"/>
  <c r="B7024" i="106"/>
  <c r="D7024" i="106" s="1"/>
  <c r="B7022" i="106"/>
  <c r="D7022" i="106" s="1"/>
  <c r="B5440" i="106"/>
  <c r="D5440" i="106" s="1"/>
  <c r="D209" i="5"/>
  <c r="B4412" i="106" s="1"/>
  <c r="D4412" i="106" s="1"/>
  <c r="B5426" i="106"/>
  <c r="D5426" i="106" s="1"/>
  <c r="D188" i="5"/>
  <c r="B5361" i="106"/>
  <c r="D5361" i="106" s="1"/>
  <c r="D122" i="5"/>
  <c r="B5343" i="106"/>
  <c r="D5343" i="106" s="1"/>
  <c r="D82" i="5"/>
  <c r="L139" i="29"/>
  <c r="H41" i="4"/>
  <c r="B6289" i="106" s="1"/>
  <c r="D6289" i="106" s="1"/>
  <c r="B6251" i="106"/>
  <c r="D6251" i="106" s="1"/>
  <c r="E39" i="4"/>
  <c r="B6287" i="106" s="1"/>
  <c r="D6287" i="106" s="1"/>
  <c r="B6247" i="106"/>
  <c r="D6247" i="106" s="1"/>
  <c r="B6241" i="106"/>
  <c r="D6241" i="106" s="1"/>
  <c r="H14" i="118"/>
  <c r="H19" i="118"/>
  <c r="B1270" i="106"/>
  <c r="D1270" i="106" s="1"/>
  <c r="K146" i="29"/>
  <c r="B1285" i="106" s="1"/>
  <c r="D1285" i="106" s="1"/>
  <c r="H127" i="29"/>
  <c r="B1264" i="106" s="1"/>
  <c r="D1264" i="106" s="1"/>
  <c r="B1260" i="106"/>
  <c r="D1260" i="106" s="1"/>
  <c r="B4079" i="106"/>
  <c r="D4079" i="106" s="1"/>
  <c r="B5333" i="106"/>
  <c r="D5333" i="106" s="1"/>
  <c r="K138" i="29"/>
  <c r="B2094" i="106" s="1"/>
  <c r="D2094" i="106" s="1"/>
  <c r="B2092" i="106"/>
  <c r="D2092" i="106" s="1"/>
  <c r="K124" i="29"/>
  <c r="B1276" i="106" s="1"/>
  <c r="D1276" i="106" s="1"/>
  <c r="B1221" i="106"/>
  <c r="D1221" i="106" s="1"/>
  <c r="B7023" i="106"/>
  <c r="D7023" i="106" s="1"/>
  <c r="K52" i="4"/>
  <c r="B3702" i="106" s="1"/>
  <c r="D3702" i="106" s="1"/>
  <c r="B3698" i="106"/>
  <c r="D3698" i="106" s="1"/>
  <c r="B2808" i="106"/>
  <c r="D2808" i="106" s="1"/>
  <c r="K145" i="29"/>
  <c r="B2811" i="106" s="1"/>
  <c r="D2811" i="106" s="1"/>
  <c r="K135" i="29"/>
  <c r="B2987" i="106" s="1"/>
  <c r="D2987" i="106" s="1"/>
  <c r="B4200" i="106"/>
  <c r="D4200" i="106" s="1"/>
  <c r="G127" i="29"/>
  <c r="B1256" i="106" s="1"/>
  <c r="D1256" i="106" s="1"/>
  <c r="B1251" i="106"/>
  <c r="D1251" i="106" s="1"/>
  <c r="B4078" i="106"/>
  <c r="D4078" i="106" s="1"/>
  <c r="B6615" i="106"/>
  <c r="D6615" i="106" s="1"/>
  <c r="D252" i="5"/>
  <c r="B6834" i="106" s="1"/>
  <c r="D6834" i="106" s="1"/>
  <c r="B5384" i="106"/>
  <c r="D5384" i="106" s="1"/>
  <c r="F110" i="34"/>
  <c r="D141" i="5"/>
  <c r="B5383" i="106" s="1"/>
  <c r="D5383" i="106" s="1"/>
  <c r="B5370" i="106"/>
  <c r="D5370" i="106" s="1"/>
  <c r="B5340" i="106"/>
  <c r="D5340" i="106" s="1"/>
  <c r="K123" i="29"/>
  <c r="B1275" i="106" s="1"/>
  <c r="D1275" i="106" s="1"/>
  <c r="B1220" i="106"/>
  <c r="D1220" i="106" s="1"/>
  <c r="D155" i="5"/>
  <c r="B5394" i="106" s="1"/>
  <c r="D5394" i="106" s="1"/>
  <c r="B5391" i="106"/>
  <c r="D5391" i="106" s="1"/>
  <c r="B5023" i="106"/>
  <c r="D5023" i="106" s="1"/>
  <c r="D76" i="4"/>
  <c r="B3237" i="106" s="1"/>
  <c r="D3237" i="106" s="1"/>
  <c r="B3161" i="106"/>
  <c r="D3161" i="106" s="1"/>
  <c r="H51" i="4"/>
  <c r="B3170" i="106" s="1"/>
  <c r="D3170" i="106" s="1"/>
  <c r="B2807" i="106"/>
  <c r="D2807" i="106" s="1"/>
  <c r="K144" i="29"/>
  <c r="B2810" i="106" s="1"/>
  <c r="D2810" i="106" s="1"/>
  <c r="B2979" i="106"/>
  <c r="D2979" i="106" s="1"/>
  <c r="H137" i="29"/>
  <c r="F127" i="29"/>
  <c r="B1247" i="106" s="1"/>
  <c r="D1247" i="106" s="1"/>
  <c r="B1243" i="106"/>
  <c r="D1243" i="106" s="1"/>
  <c r="B4077" i="106"/>
  <c r="D4077" i="106" s="1"/>
  <c r="B5494" i="106"/>
  <c r="D5494" i="106" s="1"/>
  <c r="F33" i="34"/>
  <c r="B5424" i="106"/>
  <c r="D5424" i="106" s="1"/>
  <c r="D181" i="5"/>
  <c r="B5425" i="106" s="1"/>
  <c r="D5425" i="106" s="1"/>
  <c r="D114" i="5"/>
  <c r="B5357" i="106"/>
  <c r="D5357" i="106" s="1"/>
  <c r="K126" i="29"/>
  <c r="B1277" i="106" s="1"/>
  <c r="D1277" i="106" s="1"/>
  <c r="B1254" i="106"/>
  <c r="D1254" i="106" s="1"/>
  <c r="B4074" i="106"/>
  <c r="D4074" i="106" s="1"/>
  <c r="K120" i="29"/>
  <c r="B5349" i="106"/>
  <c r="D5349" i="106" s="1"/>
  <c r="D108" i="5"/>
  <c r="B5355" i="106" s="1"/>
  <c r="D5355" i="106" s="1"/>
  <c r="L147" i="29"/>
  <c r="L149" i="29"/>
  <c r="B1269" i="106"/>
  <c r="D1269" i="106" s="1"/>
  <c r="K143" i="29"/>
  <c r="B1284" i="106" s="1"/>
  <c r="D1284" i="106" s="1"/>
  <c r="B4199" i="106"/>
  <c r="D4199" i="106" s="1"/>
  <c r="K134" i="29"/>
  <c r="E137" i="29"/>
  <c r="B2797" i="106"/>
  <c r="D2797" i="106" s="1"/>
  <c r="K130" i="29"/>
  <c r="B1224" i="106"/>
  <c r="D1224" i="106" s="1"/>
  <c r="K128" i="29"/>
  <c r="B1280" i="106" s="1"/>
  <c r="D1280" i="106" s="1"/>
  <c r="B4076" i="106"/>
  <c r="D4076" i="106" s="1"/>
  <c r="D204" i="5"/>
  <c r="B5444" i="106" s="1"/>
  <c r="D5444" i="106" s="1"/>
  <c r="B5431" i="106"/>
  <c r="D5431" i="106" s="1"/>
  <c r="D132" i="5"/>
  <c r="B5368" i="106"/>
  <c r="D5368" i="106" s="1"/>
  <c r="B5332" i="106"/>
  <c r="D5332" i="106" s="1"/>
  <c r="K122" i="29"/>
  <c r="C127" i="29"/>
  <c r="B1223" i="106" s="1"/>
  <c r="D1223" i="106" s="1"/>
  <c r="B1219" i="106"/>
  <c r="D1219" i="106" s="1"/>
  <c r="B5335" i="106"/>
  <c r="D5335" i="106" s="1"/>
  <c r="D18" i="5"/>
  <c r="B5339" i="106" s="1"/>
  <c r="D5339" i="106" s="1"/>
  <c r="J127" i="29"/>
  <c r="B7034" i="106" s="1"/>
  <c r="D7034" i="106" s="1"/>
  <c r="B7025" i="106"/>
  <c r="D7025" i="106" s="1"/>
  <c r="B4329" i="106"/>
  <c r="D4329" i="106" s="1"/>
  <c r="F120" i="34"/>
  <c r="E40" i="4"/>
  <c r="B6288" i="106" s="1"/>
  <c r="D6288" i="106" s="1"/>
  <c r="B6249" i="106"/>
  <c r="D6249" i="106" s="1"/>
  <c r="B1268" i="106"/>
  <c r="D1268" i="106" s="1"/>
  <c r="K142" i="29"/>
  <c r="H147" i="29"/>
  <c r="B1227" i="106"/>
  <c r="D1227" i="106" s="1"/>
  <c r="D127" i="29"/>
  <c r="B1231" i="106" s="1"/>
  <c r="D1231" i="106" s="1"/>
  <c r="B4075" i="106"/>
  <c r="D4075" i="106" s="1"/>
  <c r="D175" i="5"/>
  <c r="B5422" i="106"/>
  <c r="D5422" i="106" s="1"/>
  <c r="B2813" i="106"/>
  <c r="D2813" i="106" s="1"/>
  <c r="K166" i="29"/>
  <c r="B2819" i="106" s="1"/>
  <c r="D2819" i="106" s="1"/>
  <c r="B6714" i="106"/>
  <c r="D6714" i="106" s="1"/>
  <c r="E252" i="5"/>
  <c r="B2812" i="106"/>
  <c r="D2812" i="106" s="1"/>
  <c r="K165" i="29"/>
  <c r="B2818" i="106" s="1"/>
  <c r="D2818" i="106" s="1"/>
  <c r="L168" i="29"/>
  <c r="L172" i="29" s="1"/>
  <c r="L174" i="29" s="1"/>
  <c r="K164" i="29"/>
  <c r="B1325" i="106" s="1"/>
  <c r="D1325" i="106" s="1"/>
  <c r="B1311" i="106"/>
  <c r="D1311" i="106" s="1"/>
  <c r="E175" i="5"/>
  <c r="B4364" i="106"/>
  <c r="D4364" i="106" s="1"/>
  <c r="B5514" i="106"/>
  <c r="D5514" i="106" s="1"/>
  <c r="E18" i="5"/>
  <c r="B5518" i="106" s="1"/>
  <c r="D5518" i="106" s="1"/>
  <c r="H168" i="29"/>
  <c r="K163" i="29"/>
  <c r="B1310" i="106"/>
  <c r="D1310" i="106" s="1"/>
  <c r="E122" i="5"/>
  <c r="B5528" i="106"/>
  <c r="D5528" i="106" s="1"/>
  <c r="B3417" i="106"/>
  <c r="D3417" i="106" s="1"/>
  <c r="E13" i="3"/>
  <c r="D36" i="36"/>
  <c r="E76" i="4"/>
  <c r="B3276" i="106" s="1"/>
  <c r="D3276" i="106" s="1"/>
  <c r="B2817" i="106"/>
  <c r="D2817" i="106" s="1"/>
  <c r="B1307" i="106"/>
  <c r="D1307" i="106" s="1"/>
  <c r="K171" i="29"/>
  <c r="B1330" i="106" s="1"/>
  <c r="D1330" i="106" s="1"/>
  <c r="E172" i="29"/>
  <c r="H160" i="29"/>
  <c r="B7777" i="106"/>
  <c r="D7777" i="106" s="1"/>
  <c r="K157" i="29"/>
  <c r="B1315" i="106"/>
  <c r="D1315" i="106" s="1"/>
  <c r="K170" i="29"/>
  <c r="D69" i="36"/>
  <c r="B5512" i="106"/>
  <c r="D5512" i="106" s="1"/>
  <c r="B6127" i="106"/>
  <c r="D6127" i="106" s="1"/>
  <c r="E34" i="3"/>
  <c r="K169" i="29"/>
  <c r="B1326" i="106" s="1"/>
  <c r="D1326" i="106" s="1"/>
  <c r="B1312" i="106"/>
  <c r="D1312" i="106" s="1"/>
  <c r="E108" i="5"/>
  <c r="B5526" i="106" s="1"/>
  <c r="D5526" i="106" s="1"/>
  <c r="B5522" i="106"/>
  <c r="D5522" i="106" s="1"/>
  <c r="K53" i="4"/>
  <c r="B3703" i="106" s="1"/>
  <c r="D3703" i="106" s="1"/>
  <c r="B3699" i="106"/>
  <c r="D3699" i="106" s="1"/>
  <c r="B1313" i="106"/>
  <c r="D1313" i="106" s="1"/>
  <c r="K167" i="29"/>
  <c r="B1327" i="106" s="1"/>
  <c r="D1327" i="106" s="1"/>
  <c r="E169" i="5"/>
  <c r="B5537" i="106" s="1"/>
  <c r="D5537" i="106" s="1"/>
  <c r="B6368" i="106"/>
  <c r="D6368" i="106" s="1"/>
  <c r="L204" i="29"/>
  <c r="L208" i="29" s="1"/>
  <c r="B4210" i="106"/>
  <c r="D4210" i="106" s="1"/>
  <c r="K206" i="29"/>
  <c r="K195" i="29"/>
  <c r="B2839" i="106" s="1"/>
  <c r="D2839" i="106" s="1"/>
  <c r="B2824" i="106"/>
  <c r="D2824" i="106" s="1"/>
  <c r="B2991" i="106"/>
  <c r="D2991" i="106" s="1"/>
  <c r="K190" i="29"/>
  <c r="B3009" i="106" s="1"/>
  <c r="D3009" i="106" s="1"/>
  <c r="B4085" i="106"/>
  <c r="D4085" i="106" s="1"/>
  <c r="F204" i="5"/>
  <c r="B5677" i="106" s="1"/>
  <c r="D5677" i="106" s="1"/>
  <c r="B5664" i="106"/>
  <c r="D5664" i="106" s="1"/>
  <c r="F175" i="5"/>
  <c r="B5654" i="106"/>
  <c r="D5654" i="106" s="1"/>
  <c r="B5578" i="106"/>
  <c r="D5578" i="106" s="1"/>
  <c r="F27" i="34"/>
  <c r="F89" i="34"/>
  <c r="B5572" i="106"/>
  <c r="D5572" i="106" s="1"/>
  <c r="B5566" i="106"/>
  <c r="D5566" i="106" s="1"/>
  <c r="F86" i="34"/>
  <c r="K205" i="29"/>
  <c r="B7068" i="106" s="1"/>
  <c r="D7068" i="106" s="1"/>
  <c r="B7067" i="106"/>
  <c r="D7067" i="106" s="1"/>
  <c r="B4084" i="106"/>
  <c r="D4084" i="106" s="1"/>
  <c r="B6617" i="106"/>
  <c r="D6617" i="106" s="1"/>
  <c r="F252" i="5"/>
  <c r="B6836" i="106" s="1"/>
  <c r="D6836" i="106" s="1"/>
  <c r="B4795" i="106"/>
  <c r="D4795" i="106" s="1"/>
  <c r="B5593" i="106"/>
  <c r="D5593" i="106" s="1"/>
  <c r="F122" i="5"/>
  <c r="F26" i="34"/>
  <c r="B5577" i="106"/>
  <c r="D5577" i="106" s="1"/>
  <c r="F23" i="34"/>
  <c r="B5571" i="106"/>
  <c r="D5571" i="106" s="1"/>
  <c r="B5565" i="106"/>
  <c r="D5565" i="106" s="1"/>
  <c r="F85" i="34"/>
  <c r="K203" i="29"/>
  <c r="B1385" i="106" s="1"/>
  <c r="D1385" i="106" s="1"/>
  <c r="B1373" i="106"/>
  <c r="D1373" i="106" s="1"/>
  <c r="B2994" i="106"/>
  <c r="D2994" i="106" s="1"/>
  <c r="K193" i="29"/>
  <c r="B3012" i="106" s="1"/>
  <c r="D3012" i="106" s="1"/>
  <c r="K189" i="29"/>
  <c r="B3008" i="106" s="1"/>
  <c r="D3008" i="106" s="1"/>
  <c r="B2990" i="106"/>
  <c r="D2990" i="106" s="1"/>
  <c r="E184" i="29"/>
  <c r="B4083" i="106"/>
  <c r="D4083" i="106" s="1"/>
  <c r="F25" i="34"/>
  <c r="B5576" i="106"/>
  <c r="D5576" i="106" s="1"/>
  <c r="B5570" i="106"/>
  <c r="D5570" i="106" s="1"/>
  <c r="F88" i="34"/>
  <c r="B5564" i="106"/>
  <c r="D5564" i="106" s="1"/>
  <c r="F18" i="34"/>
  <c r="B5556" i="106"/>
  <c r="D5556" i="106" s="1"/>
  <c r="F217" i="5"/>
  <c r="B5703" i="106" s="1"/>
  <c r="D5703" i="106" s="1"/>
  <c r="B5691" i="106"/>
  <c r="D5691" i="106" s="1"/>
  <c r="F31" i="34"/>
  <c r="K202" i="29"/>
  <c r="B2842" i="106" s="1"/>
  <c r="D2842" i="106" s="1"/>
  <c r="B2832" i="106"/>
  <c r="D2832" i="106" s="1"/>
  <c r="H194" i="29"/>
  <c r="B2995" i="106"/>
  <c r="D2995" i="106" s="1"/>
  <c r="B4082" i="106"/>
  <c r="D4082" i="106" s="1"/>
  <c r="D184" i="29"/>
  <c r="B4318" i="106"/>
  <c r="D4318" i="106" s="1"/>
  <c r="B7764" i="106"/>
  <c r="D7764" i="106" s="1"/>
  <c r="F93" i="34"/>
  <c r="B6313" i="106"/>
  <c r="D6313" i="106" s="1"/>
  <c r="F22" i="34"/>
  <c r="F84" i="34"/>
  <c r="B5563" i="106"/>
  <c r="D5563" i="106" s="1"/>
  <c r="B5024" i="106"/>
  <c r="D5024" i="106" s="1"/>
  <c r="B5014" i="106"/>
  <c r="D5014" i="106" s="1"/>
  <c r="D71" i="36"/>
  <c r="K201" i="29"/>
  <c r="B2841" i="106" s="1"/>
  <c r="D2841" i="106" s="1"/>
  <c r="B2831" i="106"/>
  <c r="D2831" i="106" s="1"/>
  <c r="B2993" i="106"/>
  <c r="D2993" i="106" s="1"/>
  <c r="K192" i="29"/>
  <c r="B3011" i="106" s="1"/>
  <c r="D3011" i="106" s="1"/>
  <c r="K188" i="29"/>
  <c r="E194" i="29"/>
  <c r="B2989" i="106"/>
  <c r="D2989" i="106" s="1"/>
  <c r="K185" i="29"/>
  <c r="B2820" i="106"/>
  <c r="D2820" i="106" s="1"/>
  <c r="B1338" i="106"/>
  <c r="D1338" i="106" s="1"/>
  <c r="B1335" i="106"/>
  <c r="D1335" i="106" s="1"/>
  <c r="B5673" i="106"/>
  <c r="D5673" i="106" s="1"/>
  <c r="F209" i="5"/>
  <c r="B4413" i="106" s="1"/>
  <c r="D4413" i="106" s="1"/>
  <c r="F188" i="5"/>
  <c r="B5659" i="106"/>
  <c r="D5659" i="106" s="1"/>
  <c r="B5615" i="106"/>
  <c r="D5615" i="106" s="1"/>
  <c r="F155" i="5"/>
  <c r="B5618" i="106" s="1"/>
  <c r="D5618" i="106" s="1"/>
  <c r="F114" i="5"/>
  <c r="B5589" i="106"/>
  <c r="D5589" i="106" s="1"/>
  <c r="B5575" i="106"/>
  <c r="D5575" i="106" s="1"/>
  <c r="F92" i="34"/>
  <c r="B5569" i="106"/>
  <c r="D5569" i="106" s="1"/>
  <c r="F21" i="34"/>
  <c r="B5584" i="106"/>
  <c r="D5584" i="106" s="1"/>
  <c r="F102" i="34"/>
  <c r="K200" i="29"/>
  <c r="B1384" i="106" s="1"/>
  <c r="D1384" i="106" s="1"/>
  <c r="B1372" i="106"/>
  <c r="D1372" i="106" s="1"/>
  <c r="J184" i="29"/>
  <c r="B7058" i="106"/>
  <c r="D7058" i="106" s="1"/>
  <c r="B4354" i="106"/>
  <c r="D4354" i="106" s="1"/>
  <c r="F30" i="34"/>
  <c r="B5600" i="106"/>
  <c r="D5600" i="106" s="1"/>
  <c r="F132" i="5"/>
  <c r="B5574" i="106"/>
  <c r="D5574" i="106" s="1"/>
  <c r="F24" i="34"/>
  <c r="F20" i="34"/>
  <c r="B5568" i="106"/>
  <c r="D5568" i="106" s="1"/>
  <c r="B5583" i="106"/>
  <c r="D5583" i="106" s="1"/>
  <c r="F108" i="5"/>
  <c r="B5587" i="106" s="1"/>
  <c r="D5587" i="106" s="1"/>
  <c r="B7751" i="106"/>
  <c r="D7751" i="106" s="1"/>
  <c r="H204" i="29"/>
  <c r="B1371" i="106"/>
  <c r="D1371" i="106" s="1"/>
  <c r="K199" i="29"/>
  <c r="B2992" i="106"/>
  <c r="D2992" i="106" s="1"/>
  <c r="K191" i="29"/>
  <c r="B3010" i="106" s="1"/>
  <c r="D3010" i="106" s="1"/>
  <c r="I184" i="29"/>
  <c r="B7057" i="106"/>
  <c r="D7057" i="106" s="1"/>
  <c r="B4804" i="106"/>
  <c r="D4804" i="106" s="1"/>
  <c r="F181" i="5"/>
  <c r="B5658" i="106" s="1"/>
  <c r="D5658" i="106" s="1"/>
  <c r="F29" i="34"/>
  <c r="B6369" i="106"/>
  <c r="D6369" i="106" s="1"/>
  <c r="B5580" i="106"/>
  <c r="D5580" i="106" s="1"/>
  <c r="B5573" i="106"/>
  <c r="D5573" i="106" s="1"/>
  <c r="F91" i="34"/>
  <c r="B5567" i="106"/>
  <c r="D5567" i="106" s="1"/>
  <c r="F19" i="34"/>
  <c r="B5692" i="106"/>
  <c r="D5692" i="106" s="1"/>
  <c r="F32" i="34"/>
  <c r="L194" i="29"/>
  <c r="L196" i="29" s="1"/>
  <c r="B7069" i="106"/>
  <c r="D7069" i="106" s="1"/>
  <c r="K207" i="29"/>
  <c r="B7070" i="106" s="1"/>
  <c r="D7070" i="106" s="1"/>
  <c r="B1369" i="106"/>
  <c r="D1369" i="106" s="1"/>
  <c r="B4086" i="106"/>
  <c r="D4086" i="106" s="1"/>
  <c r="F28" i="34"/>
  <c r="B6315" i="106"/>
  <c r="D6315" i="106" s="1"/>
  <c r="F90" i="34"/>
  <c r="B6314" i="106"/>
  <c r="D6314" i="106" s="1"/>
  <c r="F63" i="5"/>
  <c r="B5579" i="106" s="1"/>
  <c r="D5579" i="106" s="1"/>
  <c r="F18" i="5"/>
  <c r="B5562" i="106" s="1"/>
  <c r="D5562" i="106" s="1"/>
  <c r="B5558" i="106"/>
  <c r="D5558" i="106" s="1"/>
  <c r="L277" i="29"/>
  <c r="B1451" i="106"/>
  <c r="D1451" i="106" s="1"/>
  <c r="K292" i="29"/>
  <c r="B1514" i="106" s="1"/>
  <c r="D1514" i="106" s="1"/>
  <c r="B1445" i="106"/>
  <c r="D1445" i="106" s="1"/>
  <c r="K278" i="29"/>
  <c r="B1509" i="106" s="1"/>
  <c r="D1509" i="106" s="1"/>
  <c r="B1432" i="106"/>
  <c r="D1432" i="106" s="1"/>
  <c r="K267" i="29"/>
  <c r="B1496" i="106" s="1"/>
  <c r="D1496" i="106" s="1"/>
  <c r="K255" i="29"/>
  <c r="B7096" i="106" s="1"/>
  <c r="D7096" i="106" s="1"/>
  <c r="B7095" i="106"/>
  <c r="D7095" i="106" s="1"/>
  <c r="B2725" i="106"/>
  <c r="D2725" i="106" s="1"/>
  <c r="K247" i="29"/>
  <c r="B2726" i="106" s="1"/>
  <c r="D2726" i="106" s="1"/>
  <c r="B1414" i="106"/>
  <c r="D1414" i="106" s="1"/>
  <c r="K235" i="29"/>
  <c r="B1478" i="106" s="1"/>
  <c r="D1478" i="106" s="1"/>
  <c r="K224" i="29"/>
  <c r="B1409" i="106"/>
  <c r="D1409" i="106" s="1"/>
  <c r="B7073" i="106"/>
  <c r="D7073" i="106" s="1"/>
  <c r="K216" i="29"/>
  <c r="B5858" i="106"/>
  <c r="D5858" i="106" s="1"/>
  <c r="F162" i="34"/>
  <c r="B6724" i="106"/>
  <c r="D6724" i="106" s="1"/>
  <c r="F144" i="34"/>
  <c r="B5790" i="106"/>
  <c r="D5790" i="106" s="1"/>
  <c r="G175" i="5"/>
  <c r="B5779" i="106"/>
  <c r="D5779" i="106" s="1"/>
  <c r="B6129" i="106"/>
  <c r="D6129" i="106" s="1"/>
  <c r="G34" i="3"/>
  <c r="B3259" i="106"/>
  <c r="D3259" i="106" s="1"/>
  <c r="G76" i="4"/>
  <c r="B3260" i="106" s="1"/>
  <c r="D3260" i="106" s="1"/>
  <c r="K291" i="29"/>
  <c r="B2846" i="106" s="1"/>
  <c r="D2846" i="106" s="1"/>
  <c r="B2844" i="106"/>
  <c r="D2844" i="106" s="1"/>
  <c r="B1431" i="106"/>
  <c r="D1431" i="106" s="1"/>
  <c r="K266" i="29"/>
  <c r="B1495" i="106" s="1"/>
  <c r="D1495" i="106" s="1"/>
  <c r="K254" i="29"/>
  <c r="B7094" i="106" s="1"/>
  <c r="D7094" i="106" s="1"/>
  <c r="B7093" i="106"/>
  <c r="D7093" i="106" s="1"/>
  <c r="B1423" i="106"/>
  <c r="D1423" i="106" s="1"/>
  <c r="K246" i="29"/>
  <c r="B1487" i="106" s="1"/>
  <c r="D1487" i="106" s="1"/>
  <c r="B1413" i="106"/>
  <c r="D1413" i="106" s="1"/>
  <c r="K234" i="29"/>
  <c r="B1477" i="106" s="1"/>
  <c r="D1477" i="106" s="1"/>
  <c r="K223" i="29"/>
  <c r="B1472" i="106" s="1"/>
  <c r="D1472" i="106" s="1"/>
  <c r="B1408" i="106"/>
  <c r="D1408" i="106" s="1"/>
  <c r="K215" i="29"/>
  <c r="B3387" i="106"/>
  <c r="D3387" i="106" s="1"/>
  <c r="D229" i="29"/>
  <c r="B4417" i="106"/>
  <c r="D4417" i="106" s="1"/>
  <c r="B6781" i="106"/>
  <c r="D6781" i="106" s="1"/>
  <c r="B6716" i="106"/>
  <c r="D6716" i="106" s="1"/>
  <c r="F143" i="34"/>
  <c r="B6654" i="106"/>
  <c r="D6654" i="106" s="1"/>
  <c r="F137" i="34"/>
  <c r="G221" i="5"/>
  <c r="B5844" i="106"/>
  <c r="D5844" i="106" s="1"/>
  <c r="B6380" i="106"/>
  <c r="D6380" i="106" s="1"/>
  <c r="G155" i="5"/>
  <c r="G122" i="5"/>
  <c r="B5748" i="106" s="1"/>
  <c r="D5748" i="106" s="1"/>
  <c r="B5742" i="106"/>
  <c r="D5742" i="106" s="1"/>
  <c r="L243" i="29"/>
  <c r="L270" i="29"/>
  <c r="B179" i="106"/>
  <c r="D179" i="106" s="1"/>
  <c r="K290" i="29"/>
  <c r="B2845" i="106" s="1"/>
  <c r="D2845" i="106" s="1"/>
  <c r="B2843" i="106"/>
  <c r="D2843" i="106" s="1"/>
  <c r="B1440" i="106"/>
  <c r="D1440" i="106" s="1"/>
  <c r="K275" i="29"/>
  <c r="B1504" i="106" s="1"/>
  <c r="D1504" i="106" s="1"/>
  <c r="F36" i="108"/>
  <c r="D36" i="108"/>
  <c r="B1430" i="106"/>
  <c r="D1430" i="106" s="1"/>
  <c r="K265" i="29"/>
  <c r="B1494" i="106" s="1"/>
  <c r="D1494" i="106" s="1"/>
  <c r="K253" i="29"/>
  <c r="B7092" i="106" s="1"/>
  <c r="D7092" i="106" s="1"/>
  <c r="B7091" i="106"/>
  <c r="D7091" i="106" s="1"/>
  <c r="B1422" i="106"/>
  <c r="D1422" i="106" s="1"/>
  <c r="D257" i="29"/>
  <c r="B1424" i="106" s="1"/>
  <c r="D1424" i="106" s="1"/>
  <c r="K245" i="29"/>
  <c r="K233" i="29"/>
  <c r="B1476" i="106" s="1"/>
  <c r="D1476" i="106" s="1"/>
  <c r="B1412" i="106"/>
  <c r="D1412" i="106" s="1"/>
  <c r="B1407" i="106"/>
  <c r="D1407" i="106" s="1"/>
  <c r="K222" i="29"/>
  <c r="B1471" i="106" s="1"/>
  <c r="D1471" i="106" s="1"/>
  <c r="B4864" i="106"/>
  <c r="D4864" i="106" s="1"/>
  <c r="B5855" i="106"/>
  <c r="D5855" i="106" s="1"/>
  <c r="B6773" i="106"/>
  <c r="D6773" i="106" s="1"/>
  <c r="B6646" i="106"/>
  <c r="D6646" i="106" s="1"/>
  <c r="B6392" i="106"/>
  <c r="D6392" i="106" s="1"/>
  <c r="G18" i="5"/>
  <c r="B5730" i="106" s="1"/>
  <c r="D5730" i="106" s="1"/>
  <c r="B5726" i="106"/>
  <c r="D5726" i="106" s="1"/>
  <c r="B6349" i="106"/>
  <c r="D6349" i="106" s="1"/>
  <c r="B6117" i="106"/>
  <c r="D6117" i="106" s="1"/>
  <c r="B1450" i="106"/>
  <c r="D1450" i="106" s="1"/>
  <c r="K289" i="29"/>
  <c r="B1513" i="106" s="1"/>
  <c r="D1513" i="106" s="1"/>
  <c r="B1439" i="106"/>
  <c r="D1439" i="106" s="1"/>
  <c r="K274" i="29"/>
  <c r="B1503" i="106" s="1"/>
  <c r="D1503" i="106" s="1"/>
  <c r="B1429" i="106"/>
  <c r="D1429" i="106" s="1"/>
  <c r="K264" i="29"/>
  <c r="B1493" i="106" s="1"/>
  <c r="D1493" i="106" s="1"/>
  <c r="D27" i="108"/>
  <c r="F27" i="108"/>
  <c r="B7089" i="106"/>
  <c r="D7089" i="106" s="1"/>
  <c r="K252" i="29"/>
  <c r="B7090" i="106" s="1"/>
  <c r="D7090" i="106" s="1"/>
  <c r="K242" i="29"/>
  <c r="B1484" i="106" s="1"/>
  <c r="D1484" i="106" s="1"/>
  <c r="B1420" i="106"/>
  <c r="D1420" i="106" s="1"/>
  <c r="K232" i="29"/>
  <c r="D238" i="29"/>
  <c r="B1411" i="106"/>
  <c r="D1411" i="106" s="1"/>
  <c r="B1406" i="106"/>
  <c r="D1406" i="106" s="1"/>
  <c r="K221" i="29"/>
  <c r="D17" i="171"/>
  <c r="B4448" i="106"/>
  <c r="D4448" i="106" s="1"/>
  <c r="F169" i="34"/>
  <c r="B6829" i="106"/>
  <c r="D6829" i="106" s="1"/>
  <c r="F156" i="34"/>
  <c r="B6765" i="106"/>
  <c r="D6765" i="106" s="1"/>
  <c r="B6700" i="106"/>
  <c r="D6700" i="106" s="1"/>
  <c r="B6638" i="106"/>
  <c r="D6638" i="106" s="1"/>
  <c r="B4919" i="106"/>
  <c r="D4919" i="106" s="1"/>
  <c r="G198" i="5"/>
  <c r="B6402" i="106"/>
  <c r="D6402" i="106" s="1"/>
  <c r="B5823" i="106"/>
  <c r="D5823" i="106" s="1"/>
  <c r="F128" i="34"/>
  <c r="B5821" i="106"/>
  <c r="D5821" i="106" s="1"/>
  <c r="B5817" i="106"/>
  <c r="D5817" i="106" s="1"/>
  <c r="G217" i="5"/>
  <c r="B5829" i="106" s="1"/>
  <c r="D5829" i="106" s="1"/>
  <c r="L238" i="29"/>
  <c r="L293" i="29"/>
  <c r="B1449" i="106"/>
  <c r="D1449" i="106" s="1"/>
  <c r="K288" i="29"/>
  <c r="H293" i="29"/>
  <c r="B1438" i="106"/>
  <c r="D1438" i="106" s="1"/>
  <c r="K273" i="29"/>
  <c r="B1502" i="106" s="1"/>
  <c r="D1502" i="106" s="1"/>
  <c r="E34" i="108"/>
  <c r="G34" i="108"/>
  <c r="K263" i="29"/>
  <c r="B1428" i="106"/>
  <c r="D1428" i="106" s="1"/>
  <c r="D270" i="29"/>
  <c r="B1436" i="106" s="1"/>
  <c r="D1436" i="106" s="1"/>
  <c r="B7087" i="106"/>
  <c r="D7087" i="106" s="1"/>
  <c r="K251" i="29"/>
  <c r="B7088" i="106" s="1"/>
  <c r="D7088" i="106" s="1"/>
  <c r="K241" i="29"/>
  <c r="B1483" i="106" s="1"/>
  <c r="D1483" i="106" s="1"/>
  <c r="B1419" i="106"/>
  <c r="D1419" i="106" s="1"/>
  <c r="K228" i="29"/>
  <c r="B3392" i="106" s="1"/>
  <c r="D3392" i="106" s="1"/>
  <c r="B3389" i="106"/>
  <c r="D3389" i="106" s="1"/>
  <c r="B7077" i="106"/>
  <c r="D7077" i="106" s="1"/>
  <c r="K220" i="29"/>
  <c r="F168" i="34"/>
  <c r="B4361" i="106"/>
  <c r="D4361" i="106" s="1"/>
  <c r="B6821" i="106"/>
  <c r="D6821" i="106" s="1"/>
  <c r="F155" i="34"/>
  <c r="B6757" i="106"/>
  <c r="D6757" i="106" s="1"/>
  <c r="F147" i="34"/>
  <c r="B6693" i="106"/>
  <c r="D6693" i="106" s="1"/>
  <c r="B6630" i="106"/>
  <c r="D6630" i="106" s="1"/>
  <c r="B5799" i="106"/>
  <c r="D5799" i="106" s="1"/>
  <c r="G209" i="5"/>
  <c r="B5785" i="106"/>
  <c r="D5785" i="106" s="1"/>
  <c r="G188" i="5"/>
  <c r="B4353" i="106"/>
  <c r="D4353" i="106" s="1"/>
  <c r="F109" i="34"/>
  <c r="B5738" i="106"/>
  <c r="D5738" i="106" s="1"/>
  <c r="G114" i="5"/>
  <c r="G108" i="5"/>
  <c r="B5737" i="106" s="1"/>
  <c r="D5737" i="106" s="1"/>
  <c r="B5734" i="106"/>
  <c r="D5734" i="106" s="1"/>
  <c r="K284" i="29"/>
  <c r="B4166" i="106" s="1"/>
  <c r="D4166" i="106" s="1"/>
  <c r="B4165" i="106"/>
  <c r="D4165" i="106" s="1"/>
  <c r="K260" i="29"/>
  <c r="B1490" i="106" s="1"/>
  <c r="D1490" i="106" s="1"/>
  <c r="B1426" i="106"/>
  <c r="D1426" i="106" s="1"/>
  <c r="K250" i="29"/>
  <c r="B7086" i="106" s="1"/>
  <c r="D7086" i="106" s="1"/>
  <c r="B7085" i="106"/>
  <c r="D7085" i="106" s="1"/>
  <c r="D243" i="29"/>
  <c r="K240" i="29"/>
  <c r="B1418" i="106"/>
  <c r="D1418" i="106" s="1"/>
  <c r="K227" i="29"/>
  <c r="B1466" i="106" s="1"/>
  <c r="D1466" i="106" s="1"/>
  <c r="B1402" i="106"/>
  <c r="D1402" i="106" s="1"/>
  <c r="B3064" i="106"/>
  <c r="D3064" i="106" s="1"/>
  <c r="K219" i="29"/>
  <c r="B3065" i="106" s="1"/>
  <c r="D3065" i="106" s="1"/>
  <c r="B4192" i="106"/>
  <c r="D4192" i="106" s="1"/>
  <c r="F154" i="34"/>
  <c r="B6813" i="106"/>
  <c r="D6813" i="106" s="1"/>
  <c r="B6686" i="106"/>
  <c r="D6686" i="106" s="1"/>
  <c r="B6625" i="106"/>
  <c r="D6625" i="106" s="1"/>
  <c r="F133" i="34"/>
  <c r="B5763" i="106"/>
  <c r="D5763" i="106" s="1"/>
  <c r="G141" i="5"/>
  <c r="B5749" i="106"/>
  <c r="D5749" i="106" s="1"/>
  <c r="B5724" i="106"/>
  <c r="D5724" i="106" s="1"/>
  <c r="L229" i="29"/>
  <c r="K283" i="29"/>
  <c r="B3721" i="106"/>
  <c r="D3721" i="106" s="1"/>
  <c r="D285" i="29"/>
  <c r="B3722" i="106" s="1"/>
  <c r="D3722" i="106" s="1"/>
  <c r="B1434" i="106"/>
  <c r="D1434" i="106" s="1"/>
  <c r="K269" i="29"/>
  <c r="B1498" i="106" s="1"/>
  <c r="D1498" i="106" s="1"/>
  <c r="B1425" i="106"/>
  <c r="D1425" i="106" s="1"/>
  <c r="D261" i="29"/>
  <c r="K259" i="29"/>
  <c r="B7083" i="106"/>
  <c r="D7083" i="106" s="1"/>
  <c r="K249" i="29"/>
  <c r="B7084" i="106" s="1"/>
  <c r="D7084" i="106" s="1"/>
  <c r="B1416" i="106"/>
  <c r="D1416" i="106" s="1"/>
  <c r="K237" i="29"/>
  <c r="B1480" i="106" s="1"/>
  <c r="D1480" i="106" s="1"/>
  <c r="K226" i="29"/>
  <c r="B7080" i="106" s="1"/>
  <c r="D7080" i="106" s="1"/>
  <c r="B7079" i="106"/>
  <c r="D7079" i="106" s="1"/>
  <c r="B7075" i="106"/>
  <c r="D7075" i="106" s="1"/>
  <c r="K218" i="29"/>
  <c r="B4421" i="106"/>
  <c r="D4421" i="106" s="1"/>
  <c r="B6805" i="106"/>
  <c r="D6805" i="106" s="1"/>
  <c r="B6741" i="106"/>
  <c r="D6741" i="106" s="1"/>
  <c r="B6678" i="106"/>
  <c r="D6678" i="106" s="1"/>
  <c r="G252" i="5"/>
  <c r="B6837" i="106" s="1"/>
  <c r="D6837" i="106" s="1"/>
  <c r="B6618" i="106"/>
  <c r="D6618" i="106" s="1"/>
  <c r="G181" i="5"/>
  <c r="B4810" i="106"/>
  <c r="D4810" i="106" s="1"/>
  <c r="B5757" i="106"/>
  <c r="D5757" i="106" s="1"/>
  <c r="B5754" i="106"/>
  <c r="D5754" i="106" s="1"/>
  <c r="G145" i="5"/>
  <c r="B5731" i="106"/>
  <c r="D5731" i="106" s="1"/>
  <c r="B7752" i="106"/>
  <c r="D7752" i="106" s="1"/>
  <c r="G44" i="4"/>
  <c r="B1447" i="106"/>
  <c r="D1447" i="106" s="1"/>
  <c r="K280" i="29"/>
  <c r="B1433" i="106"/>
  <c r="D1433" i="106" s="1"/>
  <c r="K268" i="29"/>
  <c r="B1497" i="106" s="1"/>
  <c r="D1497" i="106" s="1"/>
  <c r="K256" i="29"/>
  <c r="B7098" i="106" s="1"/>
  <c r="D7098" i="106" s="1"/>
  <c r="B7097" i="106"/>
  <c r="D7097" i="106" s="1"/>
  <c r="B7081" i="106"/>
  <c r="D7081" i="106" s="1"/>
  <c r="K248" i="29"/>
  <c r="B7082" i="106" s="1"/>
  <c r="D7082" i="106" s="1"/>
  <c r="B1415" i="106"/>
  <c r="D1415" i="106" s="1"/>
  <c r="K236" i="29"/>
  <c r="B1479" i="106" s="1"/>
  <c r="D1479" i="106" s="1"/>
  <c r="K225" i="29"/>
  <c r="B1460" i="106" s="1"/>
  <c r="D1460" i="106" s="1"/>
  <c r="B1396" i="106"/>
  <c r="D1396" i="106" s="1"/>
  <c r="K217" i="29"/>
  <c r="B3391" i="106" s="1"/>
  <c r="D3391" i="106" s="1"/>
  <c r="B3388" i="106"/>
  <c r="D3388" i="106" s="1"/>
  <c r="B5860" i="106"/>
  <c r="D5860" i="106" s="1"/>
  <c r="B6797" i="106"/>
  <c r="D6797" i="106" s="1"/>
  <c r="F152" i="34"/>
  <c r="B6733" i="106"/>
  <c r="D6733" i="106" s="1"/>
  <c r="F139" i="34"/>
  <c r="B6670" i="106"/>
  <c r="D6670" i="106" s="1"/>
  <c r="B5791" i="106"/>
  <c r="D5791" i="106" s="1"/>
  <c r="F131" i="34"/>
  <c r="B4343" i="106"/>
  <c r="D4343" i="106" s="1"/>
  <c r="F129" i="34"/>
  <c r="B5822" i="106"/>
  <c r="D5822" i="106" s="1"/>
  <c r="F303" i="29"/>
  <c r="B1537" i="106"/>
  <c r="D1537" i="106" s="1"/>
  <c r="L303" i="29"/>
  <c r="B6130" i="106"/>
  <c r="D6130" i="106" s="1"/>
  <c r="H34" i="3"/>
  <c r="B2848" i="106"/>
  <c r="D2848" i="106" s="1"/>
  <c r="H76" i="4"/>
  <c r="B3298" i="106" s="1"/>
  <c r="D3298" i="106" s="1"/>
  <c r="K307" i="29"/>
  <c r="B4099" i="106" s="1"/>
  <c r="D4099" i="106" s="1"/>
  <c r="B7108" i="106"/>
  <c r="D7108" i="106" s="1"/>
  <c r="E303" i="29"/>
  <c r="B1531" i="106"/>
  <c r="D1531" i="106" s="1"/>
  <c r="B5872" i="106"/>
  <c r="D5872" i="106" s="1"/>
  <c r="H310" i="29"/>
  <c r="B7115" i="106" s="1"/>
  <c r="D7115" i="106" s="1"/>
  <c r="B7106" i="106"/>
  <c r="D7106" i="106" s="1"/>
  <c r="B1525" i="106"/>
  <c r="D1525" i="106" s="1"/>
  <c r="D303" i="29"/>
  <c r="B5907" i="106"/>
  <c r="D5907" i="106" s="1"/>
  <c r="H181" i="5"/>
  <c r="B5908" i="106" s="1"/>
  <c r="D5908" i="106" s="1"/>
  <c r="B5879" i="106"/>
  <c r="D5879" i="106" s="1"/>
  <c r="B5871" i="106"/>
  <c r="D5871" i="106" s="1"/>
  <c r="B9" i="7"/>
  <c r="E38" i="4"/>
  <c r="B6286" i="106" s="1"/>
  <c r="D6286" i="106" s="1"/>
  <c r="B6245" i="106"/>
  <c r="D6245" i="106" s="1"/>
  <c r="B7753" i="106"/>
  <c r="D7753" i="106" s="1"/>
  <c r="H44" i="4"/>
  <c r="K306" i="29"/>
  <c r="E310" i="29"/>
  <c r="B7114" i="106" s="1"/>
  <c r="D7114" i="106" s="1"/>
  <c r="B7105" i="106"/>
  <c r="D7105" i="106" s="1"/>
  <c r="B1522" i="106"/>
  <c r="D1522" i="106" s="1"/>
  <c r="K302" i="29"/>
  <c r="B1558" i="106" s="1"/>
  <c r="D1558" i="106" s="1"/>
  <c r="C303" i="29"/>
  <c r="B1519" i="106"/>
  <c r="D1519" i="106" s="1"/>
  <c r="K301" i="29"/>
  <c r="H169" i="5"/>
  <c r="B5899" i="106" s="1"/>
  <c r="D5899" i="106" s="1"/>
  <c r="B6371" i="106"/>
  <c r="D6371" i="106" s="1"/>
  <c r="B7100" i="106"/>
  <c r="D7100" i="106" s="1"/>
  <c r="J303" i="29"/>
  <c r="H175" i="5"/>
  <c r="B4365" i="106"/>
  <c r="D4365" i="106" s="1"/>
  <c r="H12" i="5"/>
  <c r="K309" i="29"/>
  <c r="B3717" i="106" s="1"/>
  <c r="D3717" i="106" s="1"/>
  <c r="B7112" i="106"/>
  <c r="D7112" i="106" s="1"/>
  <c r="I303" i="29"/>
  <c r="B7099" i="106"/>
  <c r="D7099" i="106" s="1"/>
  <c r="H108" i="5"/>
  <c r="B5886" i="106" s="1"/>
  <c r="D5886" i="106" s="1"/>
  <c r="B5882" i="106"/>
  <c r="D5882" i="106" s="1"/>
  <c r="H303" i="29"/>
  <c r="B1549" i="106"/>
  <c r="D1549" i="106" s="1"/>
  <c r="H18" i="5"/>
  <c r="B5878" i="106" s="1"/>
  <c r="D5878" i="106" s="1"/>
  <c r="B5874" i="106"/>
  <c r="D5874" i="106" s="1"/>
  <c r="L310" i="29"/>
  <c r="B6242" i="106"/>
  <c r="D6242" i="106" s="1"/>
  <c r="E37" i="4"/>
  <c r="B7110" i="106"/>
  <c r="D7110" i="106" s="1"/>
  <c r="K308" i="29"/>
  <c r="B4100" i="106" s="1"/>
  <c r="D4100" i="106" s="1"/>
  <c r="B1543" i="106"/>
  <c r="D1543" i="106" s="1"/>
  <c r="G303" i="29"/>
  <c r="B6619" i="106"/>
  <c r="D6619" i="106" s="1"/>
  <c r="H252" i="5"/>
  <c r="H122" i="5"/>
  <c r="B5887" i="106"/>
  <c r="D5887" i="106" s="1"/>
  <c r="B6299" i="106"/>
  <c r="D6299" i="106" s="1"/>
  <c r="B14" i="7"/>
  <c r="B2772" i="106"/>
  <c r="D2772" i="106" s="1"/>
  <c r="I44" i="4"/>
  <c r="B3317" i="106" s="1"/>
  <c r="D3317" i="106" s="1"/>
  <c r="B10" i="7"/>
  <c r="B5916" i="106"/>
  <c r="D5916" i="106" s="1"/>
  <c r="I18" i="5"/>
  <c r="B5923" i="106" s="1"/>
  <c r="D5923" i="106" s="1"/>
  <c r="B5919" i="106"/>
  <c r="D5919" i="106" s="1"/>
  <c r="B4215" i="106"/>
  <c r="D4215" i="106" s="1"/>
  <c r="I169" i="5"/>
  <c r="I108" i="5"/>
  <c r="B5930" i="106" s="1"/>
  <c r="D5930" i="106" s="1"/>
  <c r="B5927" i="106"/>
  <c r="D5927" i="106" s="1"/>
  <c r="B5917" i="106"/>
  <c r="D5917" i="106" s="1"/>
  <c r="B5924" i="106"/>
  <c r="D5924" i="106" s="1"/>
  <c r="I34" i="3"/>
  <c r="B6139" i="106"/>
  <c r="D6139" i="106" s="1"/>
  <c r="B7208" i="106"/>
  <c r="D7208" i="106" s="1"/>
  <c r="K337" i="29"/>
  <c r="H340" i="29"/>
  <c r="B7214" i="106" s="1"/>
  <c r="D7214" i="106" s="1"/>
  <c r="B7697" i="106"/>
  <c r="D7697" i="106" s="1"/>
  <c r="K329" i="29"/>
  <c r="B7705" i="106" s="1"/>
  <c r="D7705" i="106" s="1"/>
  <c r="B7688" i="106"/>
  <c r="D7688" i="106" s="1"/>
  <c r="K328" i="29"/>
  <c r="B7696" i="106" s="1"/>
  <c r="D7696"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B6302" i="106"/>
  <c r="D6302" i="106" s="1"/>
  <c r="J18" i="5"/>
  <c r="B6306" i="106" s="1"/>
  <c r="D6306" i="106" s="1"/>
  <c r="B7125" i="106"/>
  <c r="D7125" i="106" s="1"/>
  <c r="J330" i="29"/>
  <c r="B6353" i="106"/>
  <c r="D6353" i="106" s="1"/>
  <c r="J122" i="5"/>
  <c r="B7124" i="106"/>
  <c r="D7124" i="106" s="1"/>
  <c r="I330" i="29"/>
  <c r="J175" i="5"/>
  <c r="B6398" i="106"/>
  <c r="D6398" i="106" s="1"/>
  <c r="B7123" i="106"/>
  <c r="D7123" i="106" s="1"/>
  <c r="H330" i="29"/>
  <c r="B6395" i="106"/>
  <c r="D6395" i="106" s="1"/>
  <c r="B6300" i="106"/>
  <c r="D6300" i="106" s="1"/>
  <c r="B6319" i="106"/>
  <c r="D6319" i="106" s="1"/>
  <c r="J108" i="5"/>
  <c r="B6351" i="106" s="1"/>
  <c r="D6351" i="106" s="1"/>
  <c r="B7122" i="106"/>
  <c r="D7122" i="106" s="1"/>
  <c r="G330" i="29"/>
  <c r="B6239" i="106"/>
  <c r="D6239" i="106" s="1"/>
  <c r="J76" i="4"/>
  <c r="B6261" i="106" s="1"/>
  <c r="D6261" i="106" s="1"/>
  <c r="B7754" i="106"/>
  <c r="D7754" i="106" s="1"/>
  <c r="J44" i="4"/>
  <c r="B7121" i="106"/>
  <c r="D7121" i="106" s="1"/>
  <c r="F330" i="29"/>
  <c r="J169" i="5"/>
  <c r="B6396" i="106" s="1"/>
  <c r="D6396" i="106" s="1"/>
  <c r="B6373" i="106"/>
  <c r="D6373" i="106" s="1"/>
  <c r="B7212" i="106"/>
  <c r="D7212" i="106" s="1"/>
  <c r="K339" i="29"/>
  <c r="B7213" i="106" s="1"/>
  <c r="D7213" i="106" s="1"/>
  <c r="E330" i="29"/>
  <c r="B7120" i="106"/>
  <c r="D7120" i="106" s="1"/>
  <c r="J34" i="3"/>
  <c r="B6131" i="106"/>
  <c r="D6131" i="106" s="1"/>
  <c r="B7210" i="106"/>
  <c r="D7210" i="106" s="1"/>
  <c r="K338" i="29"/>
  <c r="B7211" i="106" s="1"/>
  <c r="D7211" i="106" s="1"/>
  <c r="D330" i="29"/>
  <c r="B7119" i="106"/>
  <c r="D7119" i="106" s="1"/>
  <c r="B6296" i="106"/>
  <c r="D6296" i="106" s="1"/>
  <c r="D73" i="36"/>
  <c r="B7240" i="106"/>
  <c r="D7240" i="106" s="1"/>
  <c r="K363" i="29"/>
  <c r="B7241" i="106" s="1"/>
  <c r="D7241" i="106" s="1"/>
  <c r="B3638" i="106"/>
  <c r="D3638" i="106" s="1"/>
  <c r="F350" i="29"/>
  <c r="B5988" i="106"/>
  <c r="D5988" i="106" s="1"/>
  <c r="K18" i="5"/>
  <c r="B5992" i="106" s="1"/>
  <c r="D5992" i="106" s="1"/>
  <c r="K13" i="3"/>
  <c r="D42" i="36"/>
  <c r="B3546" i="106"/>
  <c r="D3546" i="106" s="1"/>
  <c r="B6132" i="106"/>
  <c r="D6132" i="106" s="1"/>
  <c r="B7238" i="106"/>
  <c r="D7238" i="106" s="1"/>
  <c r="K361" i="29"/>
  <c r="B7239" i="106" s="1"/>
  <c r="D7239" i="106" s="1"/>
  <c r="B3631" i="106"/>
  <c r="D3631" i="106" s="1"/>
  <c r="E350" i="29"/>
  <c r="K122" i="5"/>
  <c r="B6000" i="106"/>
  <c r="D6000" i="106" s="1"/>
  <c r="K360" i="29"/>
  <c r="B3657" i="106"/>
  <c r="D3657" i="106" s="1"/>
  <c r="H362" i="29"/>
  <c r="B3624" i="106"/>
  <c r="D3624" i="106" s="1"/>
  <c r="D350" i="29"/>
  <c r="K108" i="5"/>
  <c r="B5999" i="106" s="1"/>
  <c r="D5999" i="106" s="1"/>
  <c r="B5996" i="106"/>
  <c r="D5996" i="106" s="1"/>
  <c r="K356" i="29"/>
  <c r="K357" i="29" s="1"/>
  <c r="K15" i="4" s="1"/>
  <c r="B3573" i="106" s="1"/>
  <c r="D3573" i="106" s="1"/>
  <c r="H357" i="29"/>
  <c r="B3620" i="106"/>
  <c r="D3620" i="106" s="1"/>
  <c r="K351" i="29"/>
  <c r="B3671" i="106" s="1"/>
  <c r="D3671" i="106" s="1"/>
  <c r="K349" i="29"/>
  <c r="B3669" i="106" s="1"/>
  <c r="D3669" i="106" s="1"/>
  <c r="B3618" i="106"/>
  <c r="D3618" i="106" s="1"/>
  <c r="C350" i="29"/>
  <c r="K348" i="29"/>
  <c r="B3617" i="106"/>
  <c r="D3617" i="106" s="1"/>
  <c r="B5986" i="106"/>
  <c r="D5986" i="106" s="1"/>
  <c r="B6257" i="106"/>
  <c r="D6257" i="106" s="1"/>
  <c r="K76" i="4"/>
  <c r="B3586" i="106" s="1"/>
  <c r="D3586" i="106" s="1"/>
  <c r="B3579" i="106"/>
  <c r="D3579" i="106" s="1"/>
  <c r="D68" i="36"/>
  <c r="B7227" i="106"/>
  <c r="D7227" i="106" s="1"/>
  <c r="J350" i="29"/>
  <c r="B4868" i="106"/>
  <c r="D4868" i="106" s="1"/>
  <c r="K266" i="5"/>
  <c r="B4442" i="106" s="1"/>
  <c r="D4442" i="106" s="1"/>
  <c r="B5993" i="106"/>
  <c r="D5993" i="106" s="1"/>
  <c r="B3578" i="106"/>
  <c r="D3578" i="106" s="1"/>
  <c r="I350" i="29"/>
  <c r="B7226" i="106"/>
  <c r="D7226" i="106" s="1"/>
  <c r="B4816" i="106"/>
  <c r="D4816" i="106" s="1"/>
  <c r="K181" i="5"/>
  <c r="B6016" i="106" s="1"/>
  <c r="D6016" i="106" s="1"/>
  <c r="B6374" i="106"/>
  <c r="D6374" i="106" s="1"/>
  <c r="K169" i="5"/>
  <c r="B5000" i="106" s="1"/>
  <c r="D5000" i="106" s="1"/>
  <c r="B3577" i="106"/>
  <c r="D3577" i="106" s="1"/>
  <c r="I48" i="4"/>
  <c r="B2106" i="106" s="1"/>
  <c r="D2106" i="106" s="1"/>
  <c r="B3652" i="106"/>
  <c r="D3652" i="106" s="1"/>
  <c r="H350" i="29"/>
  <c r="L362" i="29"/>
  <c r="L365" i="29" s="1"/>
  <c r="D3583" i="106"/>
  <c r="B3635" i="106"/>
  <c r="D3635" i="106" s="1"/>
  <c r="K44" i="4"/>
  <c r="I47" i="4"/>
  <c r="B7755" i="106"/>
  <c r="D7755" i="106" s="1"/>
  <c r="B3645" i="106"/>
  <c r="D3645" i="106" s="1"/>
  <c r="G350" i="29"/>
  <c r="K175" i="5"/>
  <c r="B4368" i="106"/>
  <c r="D4368" i="106" s="1"/>
  <c r="B5581" i="106"/>
  <c r="D5581" i="106" s="1"/>
  <c r="B5520" i="106"/>
  <c r="D5520" i="106" s="1"/>
  <c r="B6317" i="106"/>
  <c r="D6317" i="106" s="1"/>
  <c r="B5994" i="106"/>
  <c r="D5994"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F101" i="34"/>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J129" i="29" l="1"/>
  <c r="B18" i="7"/>
  <c r="C129" i="29"/>
  <c r="L72" i="29"/>
  <c r="F129" i="29"/>
  <c r="G30" i="108"/>
  <c r="E35" i="108"/>
  <c r="E30" i="108"/>
  <c r="L279" i="29"/>
  <c r="G35" i="108"/>
  <c r="B1120" i="106"/>
  <c r="D1120" i="106" s="1"/>
  <c r="E15" i="145"/>
  <c r="B1126" i="106"/>
  <c r="D1126" i="106" s="1"/>
  <c r="D26" i="108"/>
  <c r="F26" i="108"/>
  <c r="E17" i="145"/>
  <c r="G17" i="145" s="1"/>
  <c r="B1134" i="106"/>
  <c r="D1134" i="106" s="1"/>
  <c r="K72" i="29"/>
  <c r="B1141" i="106" s="1"/>
  <c r="D1141" i="106" s="1"/>
  <c r="C204" i="5"/>
  <c r="B5260" i="106" s="1"/>
  <c r="D5260" i="106" s="1"/>
  <c r="B5247" i="106"/>
  <c r="D5247" i="106" s="1"/>
  <c r="B5097" i="106"/>
  <c r="D5097" i="106" s="1"/>
  <c r="C82" i="5"/>
  <c r="B5102" i="106" s="1"/>
  <c r="D5102" i="106" s="1"/>
  <c r="F153" i="34"/>
  <c r="F142" i="34"/>
  <c r="F118" i="34"/>
  <c r="D42" i="29"/>
  <c r="B2081" i="106"/>
  <c r="D2081" i="106" s="1"/>
  <c r="H102" i="29"/>
  <c r="B1047" i="106" s="1"/>
  <c r="D1047" i="106" s="1"/>
  <c r="B6891" i="106"/>
  <c r="D6891" i="106" s="1"/>
  <c r="F46" i="34"/>
  <c r="B4102" i="106"/>
  <c r="D4102" i="106" s="1"/>
  <c r="D17" i="7"/>
  <c r="B4104" i="106" s="1"/>
  <c r="D4104" i="106" s="1"/>
  <c r="B959" i="106"/>
  <c r="D959" i="106" s="1"/>
  <c r="E33" i="29"/>
  <c r="B1017" i="106"/>
  <c r="D1017" i="106" s="1"/>
  <c r="K6" i="29"/>
  <c r="B7763" i="106" s="1"/>
  <c r="D7763" i="106" s="1"/>
  <c r="B7762" i="106"/>
  <c r="D7762" i="106" s="1"/>
  <c r="B894" i="106"/>
  <c r="D894" i="106" s="1"/>
  <c r="K41" i="29"/>
  <c r="B1114" i="106" s="1"/>
  <c r="D1114" i="106" s="1"/>
  <c r="K52" i="29"/>
  <c r="B6940" i="106" s="1"/>
  <c r="D6940" i="106" s="1"/>
  <c r="C209" i="5"/>
  <c r="B4411" i="106" s="1"/>
  <c r="D4411" i="106" s="1"/>
  <c r="B5256" i="106"/>
  <c r="D5256" i="106" s="1"/>
  <c r="C198" i="5"/>
  <c r="B5246" i="106" s="1"/>
  <c r="D5246" i="106" s="1"/>
  <c r="B6401" i="106"/>
  <c r="D6401" i="106" s="1"/>
  <c r="B5167" i="106"/>
  <c r="D5167" i="106" s="1"/>
  <c r="F108" i="34"/>
  <c r="B5122" i="106"/>
  <c r="D5122" i="106" s="1"/>
  <c r="C114" i="5"/>
  <c r="B5233" i="106"/>
  <c r="D5233" i="106" s="1"/>
  <c r="C188" i="5"/>
  <c r="C221" i="5"/>
  <c r="B5304" i="106" s="1"/>
  <c r="D5304" i="106" s="1"/>
  <c r="B5301" i="106"/>
  <c r="D5301" i="106" s="1"/>
  <c r="F145" i="34"/>
  <c r="F117" i="34"/>
  <c r="B5061" i="106"/>
  <c r="D5061" i="106" s="1"/>
  <c r="B4" i="7"/>
  <c r="C12" i="5"/>
  <c r="K12" i="29"/>
  <c r="K16" i="29"/>
  <c r="B1094" i="106" s="1"/>
  <c r="D1094" i="106" s="1"/>
  <c r="F39" i="34"/>
  <c r="B6877" i="106"/>
  <c r="D6877" i="106" s="1"/>
  <c r="B778" i="106"/>
  <c r="D778" i="106" s="1"/>
  <c r="C44" i="4"/>
  <c r="L57" i="29"/>
  <c r="L84" i="29"/>
  <c r="L102" i="29" s="1"/>
  <c r="B6885" i="106"/>
  <c r="D6885" i="106" s="1"/>
  <c r="F43" i="34"/>
  <c r="B1010" i="106"/>
  <c r="D1010" i="106" s="1"/>
  <c r="C93" i="5"/>
  <c r="B5112" i="106" s="1"/>
  <c r="D5112" i="106" s="1"/>
  <c r="B5103" i="106"/>
  <c r="D5103" i="106" s="1"/>
  <c r="F96" i="34"/>
  <c r="C252" i="5"/>
  <c r="B6833" i="106" s="1"/>
  <c r="D6833" i="106" s="1"/>
  <c r="B6614" i="106"/>
  <c r="D6614" i="106" s="1"/>
  <c r="B5181" i="106"/>
  <c r="D5181" i="106" s="1"/>
  <c r="F112" i="34"/>
  <c r="F121" i="34"/>
  <c r="F136" i="34"/>
  <c r="B843" i="106"/>
  <c r="D843" i="106" s="1"/>
  <c r="E74" i="29"/>
  <c r="B871" i="106" s="1"/>
  <c r="D871" i="106" s="1"/>
  <c r="B1116" i="106"/>
  <c r="D1116" i="106" s="1"/>
  <c r="K47" i="29"/>
  <c r="B1119" i="106" s="1"/>
  <c r="D1119" i="106" s="1"/>
  <c r="K64" i="29"/>
  <c r="K75" i="29"/>
  <c r="C217" i="5"/>
  <c r="B5286" i="106" s="1"/>
  <c r="D5286" i="106" s="1"/>
  <c r="B5274" i="106"/>
  <c r="D5274" i="106" s="1"/>
  <c r="F164" i="34"/>
  <c r="F114" i="34"/>
  <c r="F130" i="34"/>
  <c r="F135" i="34"/>
  <c r="F150" i="34"/>
  <c r="C67" i="5"/>
  <c r="B5090" i="106" s="1"/>
  <c r="D5090" i="106" s="1"/>
  <c r="C75" i="5"/>
  <c r="B6893" i="106"/>
  <c r="D6893" i="106" s="1"/>
  <c r="F47" i="34"/>
  <c r="B6997" i="106"/>
  <c r="D6997" i="106" s="1"/>
  <c r="K100" i="29"/>
  <c r="B7013" i="106" s="1"/>
  <c r="D7013" i="106" s="1"/>
  <c r="B6879" i="106"/>
  <c r="D6879" i="106" s="1"/>
  <c r="F40" i="34"/>
  <c r="B6883" i="106"/>
  <c r="D6883" i="106" s="1"/>
  <c r="F42" i="34"/>
  <c r="L65" i="29"/>
  <c r="B6901" i="106"/>
  <c r="D6901" i="106" s="1"/>
  <c r="F51" i="34"/>
  <c r="B6887" i="106"/>
  <c r="D6887" i="106" s="1"/>
  <c r="F44" i="34"/>
  <c r="B937" i="106"/>
  <c r="D937" i="106" s="1"/>
  <c r="G33" i="29"/>
  <c r="B5148" i="106"/>
  <c r="D5148" i="106" s="1"/>
  <c r="C141" i="5"/>
  <c r="B5161" i="106" s="1"/>
  <c r="D5161" i="106" s="1"/>
  <c r="B5106" i="106"/>
  <c r="D5106" i="106" s="1"/>
  <c r="F97" i="34"/>
  <c r="F163" i="34"/>
  <c r="F140" i="34"/>
  <c r="F165" i="34"/>
  <c r="F103" i="34"/>
  <c r="F149" i="34"/>
  <c r="F119" i="34"/>
  <c r="B720" i="106"/>
  <c r="D720" i="106" s="1"/>
  <c r="K9" i="29"/>
  <c r="G53" i="29"/>
  <c r="B966" i="106" s="1"/>
  <c r="D966" i="106" s="1"/>
  <c r="B6881" i="106"/>
  <c r="D6881" i="106" s="1"/>
  <c r="F41" i="34"/>
  <c r="B91" i="106"/>
  <c r="D91" i="106" s="1"/>
  <c r="L42" i="29"/>
  <c r="B1121" i="106"/>
  <c r="D1121" i="106" s="1"/>
  <c r="E12" i="145"/>
  <c r="B1123" i="106"/>
  <c r="D1123" i="106" s="1"/>
  <c r="B2973" i="106"/>
  <c r="D2973" i="106" s="1"/>
  <c r="K84" i="29"/>
  <c r="B5126" i="106"/>
  <c r="D5126" i="106" s="1"/>
  <c r="C122" i="5"/>
  <c r="F160" i="34"/>
  <c r="F161" i="34"/>
  <c r="I33" i="29"/>
  <c r="D53" i="29"/>
  <c r="B792" i="106" s="1"/>
  <c r="D792" i="106" s="1"/>
  <c r="B790" i="106"/>
  <c r="D790" i="106" s="1"/>
  <c r="B6903" i="106"/>
  <c r="D6903" i="106" s="1"/>
  <c r="K5" i="29"/>
  <c r="B6895" i="106"/>
  <c r="D6895" i="106" s="1"/>
  <c r="F48" i="34"/>
  <c r="K92" i="29"/>
  <c r="B2089" i="106" s="1"/>
  <c r="D2089" i="106" s="1"/>
  <c r="B6995" i="106"/>
  <c r="D6995" i="106" s="1"/>
  <c r="B1053" i="106"/>
  <c r="D1053" i="106" s="1"/>
  <c r="H112" i="29"/>
  <c r="B7018" i="106" s="1"/>
  <c r="D7018" i="106" s="1"/>
  <c r="B6899" i="106"/>
  <c r="D6899" i="106" s="1"/>
  <c r="F50" i="34"/>
  <c r="L53" i="29"/>
  <c r="K56" i="29"/>
  <c r="K57" i="29" s="1"/>
  <c r="K61" i="29"/>
  <c r="B2789" i="106"/>
  <c r="D2789" i="106" s="1"/>
  <c r="E102" i="29"/>
  <c r="B2790" i="106" s="1"/>
  <c r="D2790" i="106" s="1"/>
  <c r="B5175" i="106"/>
  <c r="D5175" i="106" s="1"/>
  <c r="C155" i="5"/>
  <c r="B5178" i="106" s="1"/>
  <c r="D5178" i="106" s="1"/>
  <c r="F100" i="34"/>
  <c r="B5111" i="106"/>
  <c r="D5111" i="106" s="1"/>
  <c r="F134" i="34"/>
  <c r="B6889" i="106"/>
  <c r="D6889" i="106" s="1"/>
  <c r="F45" i="34"/>
  <c r="B901" i="106"/>
  <c r="D901" i="106" s="1"/>
  <c r="F74" i="29"/>
  <c r="B929" i="106" s="1"/>
  <c r="D929" i="106" s="1"/>
  <c r="B6897" i="106"/>
  <c r="D6897" i="106" s="1"/>
  <c r="F49" i="34"/>
  <c r="B1146" i="106"/>
  <c r="D1146" i="106" s="1"/>
  <c r="K110" i="29"/>
  <c r="B6916" i="106"/>
  <c r="D6916" i="106" s="1"/>
  <c r="I74" i="29"/>
  <c r="B6977" i="106" s="1"/>
  <c r="D6977" i="106" s="1"/>
  <c r="B6917" i="106"/>
  <c r="D6917" i="106" s="1"/>
  <c r="J74" i="29"/>
  <c r="B6978" i="106" s="1"/>
  <c r="D6978" i="106" s="1"/>
  <c r="B727" i="106"/>
  <c r="D727" i="106" s="1"/>
  <c r="C74" i="29"/>
  <c r="B755" i="106" s="1"/>
  <c r="D755" i="106" s="1"/>
  <c r="E13" i="145"/>
  <c r="G13" i="145" s="1"/>
  <c r="B2724" i="106"/>
  <c r="D2724" i="106" s="1"/>
  <c r="K62" i="29"/>
  <c r="B1129" i="106" s="1"/>
  <c r="D1129" i="106" s="1"/>
  <c r="B5224" i="106"/>
  <c r="D5224" i="106" s="1"/>
  <c r="C175" i="5"/>
  <c r="B5230" i="106"/>
  <c r="D5230" i="106" s="1"/>
  <c r="C181" i="5"/>
  <c r="B5232" i="106" s="1"/>
  <c r="D5232" i="106" s="1"/>
  <c r="F122" i="34"/>
  <c r="B5133" i="106"/>
  <c r="D5133" i="106" s="1"/>
  <c r="C132" i="5"/>
  <c r="B5113" i="106"/>
  <c r="D5113" i="106" s="1"/>
  <c r="C108" i="5"/>
  <c r="B5120" i="106" s="1"/>
  <c r="D5120" i="106" s="1"/>
  <c r="F113" i="34"/>
  <c r="F146" i="34"/>
  <c r="F141" i="34"/>
  <c r="F148" i="34"/>
  <c r="F170" i="34"/>
  <c r="D57" i="29"/>
  <c r="B795" i="106" s="1"/>
  <c r="D795" i="106" s="1"/>
  <c r="C13" i="3"/>
  <c r="B3411" i="106"/>
  <c r="D3411" i="106" s="1"/>
  <c r="D34" i="36"/>
  <c r="B6848" i="106"/>
  <c r="D6848" i="106" s="1"/>
  <c r="F34" i="34"/>
  <c r="B6858" i="106"/>
  <c r="D6858" i="106" s="1"/>
  <c r="F36" i="34"/>
  <c r="B1107" i="106"/>
  <c r="D1107" i="106" s="1"/>
  <c r="F38" i="34"/>
  <c r="C145" i="5"/>
  <c r="B5165" i="106" s="1"/>
  <c r="D5165" i="106" s="1"/>
  <c r="H65" i="29"/>
  <c r="B1035" i="106" s="1"/>
  <c r="D1035" i="106" s="1"/>
  <c r="B1028" i="106"/>
  <c r="D1028" i="106" s="1"/>
  <c r="H72" i="29"/>
  <c r="B1043" i="106" s="1"/>
  <c r="D1043" i="106" s="1"/>
  <c r="B1036" i="106"/>
  <c r="D1036" i="106" s="1"/>
  <c r="L33" i="29"/>
  <c r="B1109" i="106"/>
  <c r="D1109" i="106" s="1"/>
  <c r="K42" i="29"/>
  <c r="F15" i="145"/>
  <c r="G26" i="108"/>
  <c r="E26" i="108"/>
  <c r="B1274" i="106"/>
  <c r="D1274" i="106" s="1"/>
  <c r="K127" i="29"/>
  <c r="B1279" i="106" s="1"/>
  <c r="D1279" i="106" s="1"/>
  <c r="B1235" i="106"/>
  <c r="D1235" i="106" s="1"/>
  <c r="E127" i="29"/>
  <c r="C151" i="29"/>
  <c r="B1226" i="106" s="1"/>
  <c r="D1226" i="106" s="1"/>
  <c r="B1225" i="106"/>
  <c r="D1225" i="106" s="1"/>
  <c r="B7038" i="106"/>
  <c r="D7038" i="106" s="1"/>
  <c r="J151" i="29"/>
  <c r="B7052" i="106" s="1"/>
  <c r="D7052" i="106" s="1"/>
  <c r="B5367" i="106"/>
  <c r="D5367" i="106" s="1"/>
  <c r="B5" i="7"/>
  <c r="D12" i="5"/>
  <c r="B5328" i="106"/>
  <c r="D5328" i="106" s="1"/>
  <c r="B4080" i="106"/>
  <c r="D4080" i="106" s="1"/>
  <c r="K129" i="29"/>
  <c r="B5423" i="106"/>
  <c r="D5423" i="106" s="1"/>
  <c r="B1283" i="106"/>
  <c r="D1283" i="106" s="1"/>
  <c r="K147" i="29"/>
  <c r="B5369" i="106"/>
  <c r="D5369" i="106" s="1"/>
  <c r="D169" i="5"/>
  <c r="B5412" i="106" s="1"/>
  <c r="D5412" i="106" s="1"/>
  <c r="F151" i="29"/>
  <c r="B1250" i="106" s="1"/>
  <c r="D1250" i="106" s="1"/>
  <c r="B1249" i="106"/>
  <c r="D1249" i="106" s="1"/>
  <c r="D77" i="4"/>
  <c r="B3238" i="106" s="1"/>
  <c r="D3238" i="106" s="1"/>
  <c r="B3235" i="106"/>
  <c r="D3235" i="106" s="1"/>
  <c r="B5485" i="106"/>
  <c r="D5485" i="106" s="1"/>
  <c r="D221" i="5"/>
  <c r="B5488" i="106" s="1"/>
  <c r="D5488" i="106" s="1"/>
  <c r="D14" i="4"/>
  <c r="B2570" i="106" s="1"/>
  <c r="D2570" i="106" s="1"/>
  <c r="B2805" i="106"/>
  <c r="D2805" i="106" s="1"/>
  <c r="F56" i="34"/>
  <c r="B5330" i="106"/>
  <c r="D5330" i="106" s="1"/>
  <c r="B13" i="7"/>
  <c r="B3414" i="106"/>
  <c r="D3414" i="106" s="1"/>
  <c r="D13" i="3"/>
  <c r="D35" i="36"/>
  <c r="B6126" i="106"/>
  <c r="D6126" i="106" s="1"/>
  <c r="D34" i="3"/>
  <c r="G129" i="29"/>
  <c r="H149" i="29"/>
  <c r="B1272" i="106" s="1"/>
  <c r="D1272" i="106" s="1"/>
  <c r="B7047" i="106"/>
  <c r="D7047" i="106" s="1"/>
  <c r="B4396" i="106"/>
  <c r="D4396" i="106" s="1"/>
  <c r="D266" i="5"/>
  <c r="B5501" i="106" s="1"/>
  <c r="D5501" i="106" s="1"/>
  <c r="D129" i="29"/>
  <c r="E139" i="29"/>
  <c r="B4203" i="106" s="1"/>
  <c r="D4203" i="106" s="1"/>
  <c r="B4202" i="106"/>
  <c r="D4202" i="106" s="1"/>
  <c r="B5360" i="106"/>
  <c r="D5360" i="106" s="1"/>
  <c r="D5" i="4"/>
  <c r="B3406" i="106" s="1"/>
  <c r="D3406" i="106" s="1"/>
  <c r="B5348" i="106"/>
  <c r="D5348" i="106" s="1"/>
  <c r="F95" i="34"/>
  <c r="I129" i="29"/>
  <c r="B2986" i="106"/>
  <c r="D2986" i="106" s="1"/>
  <c r="K137" i="29"/>
  <c r="H139" i="29"/>
  <c r="B1267" i="106" s="1"/>
  <c r="D1267" i="106" s="1"/>
  <c r="B2091" i="106"/>
  <c r="D2091" i="106" s="1"/>
  <c r="L127" i="29"/>
  <c r="L129" i="29" s="1"/>
  <c r="L151" i="29" s="1"/>
  <c r="H129" i="29"/>
  <c r="B1329" i="106"/>
  <c r="D1329" i="106" s="1"/>
  <c r="F61" i="34"/>
  <c r="B1324" i="106"/>
  <c r="D1324" i="106" s="1"/>
  <c r="K168" i="29"/>
  <c r="B5519" i="106"/>
  <c r="D5519" i="106" s="1"/>
  <c r="E67" i="5"/>
  <c r="B5521" i="106" s="1"/>
  <c r="D5521" i="106" s="1"/>
  <c r="B7778" i="106"/>
  <c r="D7778" i="106" s="1"/>
  <c r="K160" i="29"/>
  <c r="B1314" i="106"/>
  <c r="D1314" i="106" s="1"/>
  <c r="H172" i="29"/>
  <c r="B131" i="106"/>
  <c r="D131" i="106" s="1"/>
  <c r="B139" i="106"/>
  <c r="D139" i="106" s="1"/>
  <c r="B6835" i="106"/>
  <c r="D6835" i="106" s="1"/>
  <c r="E266" i="5"/>
  <c r="B7747" i="106" s="1"/>
  <c r="D7747" i="106" s="1"/>
  <c r="B1308" i="106"/>
  <c r="D1308" i="106" s="1"/>
  <c r="E174" i="29"/>
  <c r="B1309" i="106" s="1"/>
  <c r="D1309" i="106" s="1"/>
  <c r="B6" i="7"/>
  <c r="B5509" i="106"/>
  <c r="D5509" i="106" s="1"/>
  <c r="E12" i="5"/>
  <c r="B4372" i="106"/>
  <c r="D4372" i="106" s="1"/>
  <c r="E267" i="5"/>
  <c r="B5534" i="106"/>
  <c r="D5534" i="106" s="1"/>
  <c r="E170" i="5"/>
  <c r="B4397" i="106"/>
  <c r="D4397" i="106" s="1"/>
  <c r="F266" i="5"/>
  <c r="B5713" i="106" s="1"/>
  <c r="D5713" i="106" s="1"/>
  <c r="B2836" i="106"/>
  <c r="D2836" i="106" s="1"/>
  <c r="F62" i="34"/>
  <c r="F14" i="4"/>
  <c r="B2597" i="106" s="1"/>
  <c r="D2597" i="106" s="1"/>
  <c r="H184" i="29"/>
  <c r="B1383" i="106"/>
  <c r="D1383" i="106" s="1"/>
  <c r="K204" i="29"/>
  <c r="B7064" i="106"/>
  <c r="D7064" i="106" s="1"/>
  <c r="J210" i="29"/>
  <c r="B7072" i="106" s="1"/>
  <c r="D7072" i="106" s="1"/>
  <c r="B1351" i="106"/>
  <c r="D1351" i="106" s="1"/>
  <c r="B7" i="7"/>
  <c r="F12" i="5"/>
  <c r="B5553" i="106"/>
  <c r="D5553" i="106" s="1"/>
  <c r="B5655" i="106"/>
  <c r="D5655" i="106" s="1"/>
  <c r="E196" i="29"/>
  <c r="B1352" i="106" s="1"/>
  <c r="D1352" i="106" s="1"/>
  <c r="B2823" i="106"/>
  <c r="D2823" i="106" s="1"/>
  <c r="B2828" i="106"/>
  <c r="D2828" i="106" s="1"/>
  <c r="H196" i="29"/>
  <c r="B2830" i="106" s="1"/>
  <c r="D2830" i="106" s="1"/>
  <c r="B4211" i="106"/>
  <c r="D4211" i="106" s="1"/>
  <c r="F64" i="34"/>
  <c r="D72" i="36"/>
  <c r="B6312" i="106"/>
  <c r="D6312" i="106" s="1"/>
  <c r="F87" i="34"/>
  <c r="H208" i="29"/>
  <c r="B1375" i="106" s="1"/>
  <c r="D1375" i="106" s="1"/>
  <c r="B4156" i="106"/>
  <c r="D4156" i="106" s="1"/>
  <c r="B3007" i="106"/>
  <c r="D3007" i="106" s="1"/>
  <c r="K194" i="29"/>
  <c r="F76" i="4"/>
  <c r="B3254" i="106" s="1"/>
  <c r="D3254" i="106" s="1"/>
  <c r="F44" i="4"/>
  <c r="B5614" i="106"/>
  <c r="D5614" i="106" s="1"/>
  <c r="F169" i="5"/>
  <c r="B5644" i="106" s="1"/>
  <c r="D5644" i="106" s="1"/>
  <c r="F105" i="34"/>
  <c r="B5592" i="106"/>
  <c r="D5592" i="106" s="1"/>
  <c r="F5" i="4"/>
  <c r="B3408" i="106" s="1"/>
  <c r="D3408" i="106" s="1"/>
  <c r="D37" i="36"/>
  <c r="F13" i="3"/>
  <c r="B3419" i="106"/>
  <c r="D3419" i="106" s="1"/>
  <c r="G184" i="29"/>
  <c r="L184" i="29"/>
  <c r="L210" i="29" s="1"/>
  <c r="C184" i="29"/>
  <c r="B4081" i="106"/>
  <c r="D4081" i="106" s="1"/>
  <c r="K180" i="29"/>
  <c r="E21" i="108" s="1"/>
  <c r="K183" i="29"/>
  <c r="B6128" i="106"/>
  <c r="D6128" i="106" s="1"/>
  <c r="F34" i="3"/>
  <c r="B7063" i="106"/>
  <c r="D7063" i="106" s="1"/>
  <c r="I210" i="29"/>
  <c r="F67" i="5"/>
  <c r="B5582" i="106" s="1"/>
  <c r="D5582" i="106" s="1"/>
  <c r="B1345" i="106"/>
  <c r="D1345" i="106" s="1"/>
  <c r="D210" i="29"/>
  <c r="B1346" i="106" s="1"/>
  <c r="D1346" i="106" s="1"/>
  <c r="B5599" i="106"/>
  <c r="D5599" i="106" s="1"/>
  <c r="B3258" i="106"/>
  <c r="D3258" i="106" s="1"/>
  <c r="G77" i="4"/>
  <c r="B3261" i="106" s="1"/>
  <c r="D3261" i="106" s="1"/>
  <c r="B5741" i="106"/>
  <c r="D5741" i="106" s="1"/>
  <c r="G5" i="4"/>
  <c r="B3409" i="106" s="1"/>
  <c r="D3409" i="106" s="1"/>
  <c r="L295" i="29"/>
  <c r="B6409" i="106"/>
  <c r="D6409" i="106" s="1"/>
  <c r="F125" i="34"/>
  <c r="B1470" i="106"/>
  <c r="D1470" i="106" s="1"/>
  <c r="F70" i="34"/>
  <c r="B1410" i="106"/>
  <c r="D1410" i="106" s="1"/>
  <c r="B5723" i="106"/>
  <c r="D5723" i="106" s="1"/>
  <c r="B16" i="7"/>
  <c r="B1437" i="106"/>
  <c r="D1437" i="106" s="1"/>
  <c r="K272" i="29"/>
  <c r="D277" i="29"/>
  <c r="B1444" i="106" s="1"/>
  <c r="D1444" i="106" s="1"/>
  <c r="E33" i="108"/>
  <c r="G33" i="108"/>
  <c r="D12" i="171"/>
  <c r="B5739" i="106"/>
  <c r="D5739" i="106" s="1"/>
  <c r="B8" i="7"/>
  <c r="G12" i="5"/>
  <c r="B5721" i="106"/>
  <c r="D5721" i="106" s="1"/>
  <c r="B5784" i="106"/>
  <c r="D5784" i="106" s="1"/>
  <c r="F123" i="34"/>
  <c r="B7078" i="106"/>
  <c r="D7078" i="106" s="1"/>
  <c r="F69" i="34"/>
  <c r="B3390" i="106"/>
  <c r="D3390" i="106" s="1"/>
  <c r="K229" i="29"/>
  <c r="F67" i="34"/>
  <c r="B7074" i="106"/>
  <c r="D7074" i="106" s="1"/>
  <c r="B5752" i="106"/>
  <c r="D5752" i="106" s="1"/>
  <c r="G169" i="5"/>
  <c r="F106" i="34"/>
  <c r="B1482" i="106"/>
  <c r="D1482" i="106" s="1"/>
  <c r="K243" i="29"/>
  <c r="B1485" i="106" s="1"/>
  <c r="D1485" i="106" s="1"/>
  <c r="B1452" i="106"/>
  <c r="D1452" i="106" s="1"/>
  <c r="H295" i="29"/>
  <c r="B1454" i="106" s="1"/>
  <c r="D1454" i="106" s="1"/>
  <c r="B1417" i="106"/>
  <c r="D1417" i="106" s="1"/>
  <c r="D279" i="29"/>
  <c r="B5780" i="106"/>
  <c r="D5780" i="106" s="1"/>
  <c r="B1421" i="106"/>
  <c r="D1421" i="106" s="1"/>
  <c r="E22" i="108"/>
  <c r="G22" i="108"/>
  <c r="F124" i="34"/>
  <c r="B4398" i="106"/>
  <c r="D4398" i="106" s="1"/>
  <c r="B1512" i="106"/>
  <c r="D1512" i="106" s="1"/>
  <c r="K293" i="29"/>
  <c r="B1475" i="106"/>
  <c r="D1475" i="106" s="1"/>
  <c r="K238" i="29"/>
  <c r="B4357" i="106"/>
  <c r="D4357" i="106" s="1"/>
  <c r="F111" i="34"/>
  <c r="G204" i="5"/>
  <c r="G266" i="5" s="1"/>
  <c r="B5756" i="106"/>
  <c r="D5756" i="106" s="1"/>
  <c r="F107" i="34"/>
  <c r="B7076" i="106"/>
  <c r="D7076" i="106" s="1"/>
  <c r="F68" i="34"/>
  <c r="B1489" i="106"/>
  <c r="D1489" i="106" s="1"/>
  <c r="K261" i="29"/>
  <c r="B1491" i="106" s="1"/>
  <c r="D1491" i="106" s="1"/>
  <c r="B188" i="106"/>
  <c r="D188" i="106" s="1"/>
  <c r="B1473" i="106"/>
  <c r="D1473" i="106" s="1"/>
  <c r="F71" i="34"/>
  <c r="B1511" i="106"/>
  <c r="D1511" i="106" s="1"/>
  <c r="F72" i="34"/>
  <c r="G14" i="4"/>
  <c r="B2609" i="106" s="1"/>
  <c r="D2609" i="106" s="1"/>
  <c r="B1427" i="106"/>
  <c r="D1427" i="106" s="1"/>
  <c r="B3723" i="106"/>
  <c r="D3723" i="106" s="1"/>
  <c r="K285" i="29"/>
  <c r="B4414" i="106"/>
  <c r="D4414" i="106" s="1"/>
  <c r="F127" i="34"/>
  <c r="K270" i="29"/>
  <c r="B1500" i="106" s="1"/>
  <c r="D1500" i="106" s="1"/>
  <c r="B1492" i="106"/>
  <c r="D1492" i="106" s="1"/>
  <c r="G13" i="3"/>
  <c r="B3422" i="106"/>
  <c r="D3422" i="106" s="1"/>
  <c r="D38" i="36"/>
  <c r="B1486" i="106"/>
  <c r="D1486" i="106" s="1"/>
  <c r="K257" i="29"/>
  <c r="B1488" i="106" s="1"/>
  <c r="D1488" i="106" s="1"/>
  <c r="B5847" i="106"/>
  <c r="D5847" i="106" s="1"/>
  <c r="F132" i="34"/>
  <c r="B1442" i="106"/>
  <c r="D1442" i="106" s="1"/>
  <c r="K276" i="29"/>
  <c r="B1506" i="106" s="1"/>
  <c r="D1506" i="106" s="1"/>
  <c r="D37" i="108"/>
  <c r="F37" i="108"/>
  <c r="B5893" i="106"/>
  <c r="D5893" i="106" s="1"/>
  <c r="H170" i="5"/>
  <c r="B1529" i="106"/>
  <c r="D1529" i="106" s="1"/>
  <c r="D312" i="29"/>
  <c r="B1530" i="106" s="1"/>
  <c r="D1530" i="106" s="1"/>
  <c r="H266" i="5"/>
  <c r="B4441" i="106" s="1"/>
  <c r="D4441" i="106" s="1"/>
  <c r="B6838" i="106"/>
  <c r="D6838" i="106" s="1"/>
  <c r="B7103" i="106"/>
  <c r="D7103" i="106" s="1"/>
  <c r="I312" i="29"/>
  <c r="B7116" i="106" s="1"/>
  <c r="D7116" i="106" s="1"/>
  <c r="D39" i="36"/>
  <c r="H13" i="3"/>
  <c r="B3425" i="106"/>
  <c r="D3425" i="106" s="1"/>
  <c r="B5873" i="106"/>
  <c r="D5873" i="106" s="1"/>
  <c r="B1751" i="106"/>
  <c r="D1751" i="106" s="1"/>
  <c r="D9" i="7"/>
  <c r="B1767" i="106" s="1"/>
  <c r="D1767" i="106" s="1"/>
  <c r="B1547" i="106"/>
  <c r="D1547" i="106" s="1"/>
  <c r="G312" i="29"/>
  <c r="B1548" i="106" s="1"/>
  <c r="D1548" i="106" s="1"/>
  <c r="B7107" i="106"/>
  <c r="D7107" i="106" s="1"/>
  <c r="K310" i="29"/>
  <c r="B211" i="106"/>
  <c r="D211" i="106" s="1"/>
  <c r="B15" i="7"/>
  <c r="B7043" i="106"/>
  <c r="D7043" i="106" s="1"/>
  <c r="B1555" i="106"/>
  <c r="D1555" i="106" s="1"/>
  <c r="K303" i="29"/>
  <c r="B3296" i="106"/>
  <c r="D3296" i="106" s="1"/>
  <c r="H77" i="4"/>
  <c r="B3299" i="106" s="1"/>
  <c r="D3299" i="106" s="1"/>
  <c r="H67" i="5"/>
  <c r="B5881" i="106" s="1"/>
  <c r="D5881" i="106" s="1"/>
  <c r="B1754" i="106"/>
  <c r="D1754" i="106" s="1"/>
  <c r="D14" i="7"/>
  <c r="B1770" i="106" s="1"/>
  <c r="D1770" i="106" s="1"/>
  <c r="B1553" i="106"/>
  <c r="D1553" i="106" s="1"/>
  <c r="H312" i="29"/>
  <c r="B1554" i="106" s="1"/>
  <c r="D1554" i="106" s="1"/>
  <c r="L312" i="29"/>
  <c r="B4950" i="106"/>
  <c r="D4950" i="106" s="1"/>
  <c r="H267" i="5"/>
  <c r="C312" i="29"/>
  <c r="B1524" i="106" s="1"/>
  <c r="D1524" i="106" s="1"/>
  <c r="B1523" i="106"/>
  <c r="D1523" i="106" s="1"/>
  <c r="B1535" i="106"/>
  <c r="D1535" i="106" s="1"/>
  <c r="E312" i="29"/>
  <c r="B1536" i="106" s="1"/>
  <c r="D1536" i="106" s="1"/>
  <c r="B6285" i="106"/>
  <c r="D6285" i="106" s="1"/>
  <c r="E44" i="4"/>
  <c r="B7104" i="106"/>
  <c r="D7104" i="106" s="1"/>
  <c r="J312" i="29"/>
  <c r="B7117" i="106" s="1"/>
  <c r="D7117" i="106" s="1"/>
  <c r="B1541" i="106"/>
  <c r="D1541" i="106" s="1"/>
  <c r="F312" i="29"/>
  <c r="B1542" i="106" s="1"/>
  <c r="D1542" i="106" s="1"/>
  <c r="B2910" i="106"/>
  <c r="D2910" i="106" s="1"/>
  <c r="I67" i="5"/>
  <c r="B5926" i="106" s="1"/>
  <c r="D5926" i="106" s="1"/>
  <c r="I12" i="5"/>
  <c r="B1749" i="106"/>
  <c r="D1749" i="106" s="1"/>
  <c r="D10" i="7"/>
  <c r="B1765" i="106" s="1"/>
  <c r="D1765" i="106" s="1"/>
  <c r="B4363" i="106"/>
  <c r="D4363" i="106" s="1"/>
  <c r="I170" i="5"/>
  <c r="H24" i="118"/>
  <c r="I13" i="3"/>
  <c r="B3427" i="106"/>
  <c r="D3427" i="106" s="1"/>
  <c r="D40" i="36"/>
  <c r="B6217" i="106"/>
  <c r="D6217" i="106" s="1"/>
  <c r="J13" i="3"/>
  <c r="D41" i="36"/>
  <c r="B6191" i="106"/>
  <c r="D6191" i="106" s="1"/>
  <c r="B6400" i="106"/>
  <c r="D6400" i="106" s="1"/>
  <c r="J267" i="5"/>
  <c r="L330" i="29"/>
  <c r="L342" i="29" s="1"/>
  <c r="B7205" i="106"/>
  <c r="D7205" i="106" s="1"/>
  <c r="I342" i="29"/>
  <c r="B7222" i="106" s="1"/>
  <c r="D7222" i="106" s="1"/>
  <c r="B6298" i="106"/>
  <c r="D6298" i="106" s="1"/>
  <c r="B11" i="7"/>
  <c r="J12" i="5"/>
  <c r="B7202" i="106"/>
  <c r="D7202" i="106" s="1"/>
  <c r="F342" i="29"/>
  <c r="B7219" i="106" s="1"/>
  <c r="D7219" i="106" s="1"/>
  <c r="B7203" i="106"/>
  <c r="D7203" i="106" s="1"/>
  <c r="G342" i="29"/>
  <c r="B7220" i="106" s="1"/>
  <c r="D7220" i="106" s="1"/>
  <c r="B7204" i="106"/>
  <c r="D7204" i="106" s="1"/>
  <c r="H342" i="29"/>
  <c r="B7221" i="106" s="1"/>
  <c r="D7221" i="106" s="1"/>
  <c r="J67" i="5"/>
  <c r="B6318" i="106" s="1"/>
  <c r="D6318" i="106" s="1"/>
  <c r="B6316" i="106"/>
  <c r="D6316" i="106" s="1"/>
  <c r="B7200" i="106"/>
  <c r="D7200" i="106" s="1"/>
  <c r="D342" i="29"/>
  <c r="B7217" i="106" s="1"/>
  <c r="D7217" i="106" s="1"/>
  <c r="E342" i="29"/>
  <c r="B7218" i="106" s="1"/>
  <c r="D7218" i="106" s="1"/>
  <c r="B7201" i="106"/>
  <c r="D7201" i="106" s="1"/>
  <c r="B6238" i="106"/>
  <c r="D6238" i="106" s="1"/>
  <c r="J77" i="4"/>
  <c r="B6262" i="106" s="1"/>
  <c r="D6262" i="106" s="1"/>
  <c r="B6357" i="106"/>
  <c r="D6357" i="106" s="1"/>
  <c r="J170" i="5"/>
  <c r="B7199" i="106"/>
  <c r="D7199" i="106" s="1"/>
  <c r="C342" i="29"/>
  <c r="B7216" i="106" s="1"/>
  <c r="D7216" i="106" s="1"/>
  <c r="B7209" i="106"/>
  <c r="D7209" i="106" s="1"/>
  <c r="K340" i="29"/>
  <c r="B7126" i="106"/>
  <c r="D7126" i="106" s="1"/>
  <c r="K330" i="29"/>
  <c r="B7206" i="106"/>
  <c r="D7206" i="106" s="1"/>
  <c r="J342" i="29"/>
  <c r="B7223" i="106" s="1"/>
  <c r="D7223" i="106" s="1"/>
  <c r="L350" i="29"/>
  <c r="L352" i="29" s="1"/>
  <c r="L367" i="29" s="1"/>
  <c r="B3626" i="106"/>
  <c r="D3626" i="106" s="1"/>
  <c r="D352" i="29"/>
  <c r="K67" i="5"/>
  <c r="B5995" i="106" s="1"/>
  <c r="D5995" i="106" s="1"/>
  <c r="B2105" i="106"/>
  <c r="D2105" i="106" s="1"/>
  <c r="I76" i="4"/>
  <c r="B3658" i="106"/>
  <c r="D3658" i="106" s="1"/>
  <c r="H365" i="29"/>
  <c r="B7242" i="106" s="1"/>
  <c r="D7242" i="106" s="1"/>
  <c r="F352" i="29"/>
  <c r="B3640" i="106"/>
  <c r="D3640" i="106" s="1"/>
  <c r="B3584" i="106"/>
  <c r="D3584" i="106" s="1"/>
  <c r="K77" i="4"/>
  <c r="B3587" i="106" s="1"/>
  <c r="D3587" i="106" s="1"/>
  <c r="K12" i="5"/>
  <c r="B12" i="7"/>
  <c r="B5985" i="106"/>
  <c r="D5985" i="106" s="1"/>
  <c r="B4103" i="106"/>
  <c r="D4103" i="106" s="1"/>
  <c r="D18" i="7"/>
  <c r="B4105" i="106" s="1"/>
  <c r="D4105" i="106" s="1"/>
  <c r="B3654" i="106"/>
  <c r="D3654" i="106" s="1"/>
  <c r="H352" i="29"/>
  <c r="B3675" i="106"/>
  <c r="D3675" i="106" s="1"/>
  <c r="K362" i="29"/>
  <c r="K34" i="3"/>
  <c r="B7231" i="106"/>
  <c r="D7231" i="106" s="1"/>
  <c r="J352" i="29"/>
  <c r="B4951" i="106"/>
  <c r="D4951" i="106" s="1"/>
  <c r="K267" i="5"/>
  <c r="B7745" i="106"/>
  <c r="D7745" i="106" s="1"/>
  <c r="K364" i="29"/>
  <c r="B7746" i="106" s="1"/>
  <c r="D7746" i="106" s="1"/>
  <c r="B7230" i="106"/>
  <c r="D7230" i="106" s="1"/>
  <c r="I352" i="29"/>
  <c r="B3668" i="106"/>
  <c r="D3668" i="106" s="1"/>
  <c r="K350" i="29"/>
  <c r="B6006" i="106"/>
  <c r="D6006" i="106" s="1"/>
  <c r="K170" i="5"/>
  <c r="G352" i="29"/>
  <c r="B3647" i="106"/>
  <c r="D3647" i="106" s="1"/>
  <c r="B3619" i="106"/>
  <c r="D3619" i="106" s="1"/>
  <c r="C352" i="29"/>
  <c r="E352" i="29"/>
  <c r="E367" i="29" s="1"/>
  <c r="B3636" i="106" s="1"/>
  <c r="D3636" i="106" s="1"/>
  <c r="B3633" i="106"/>
  <c r="D3633" i="106" s="1"/>
  <c r="B3552" i="106"/>
  <c r="D3552" i="106" s="1"/>
  <c r="B1617" i="106"/>
  <c r="D1617" i="106" s="1"/>
  <c r="B5863" i="106" l="1"/>
  <c r="D5863" i="106" s="1"/>
  <c r="G267" i="5"/>
  <c r="F157" i="34"/>
  <c r="G21" i="108"/>
  <c r="F267" i="5"/>
  <c r="F170" i="5"/>
  <c r="H109" i="5"/>
  <c r="B1125" i="106"/>
  <c r="D1125" i="106" s="1"/>
  <c r="G24" i="108"/>
  <c r="E24" i="108"/>
  <c r="B952" i="106"/>
  <c r="D952" i="106" s="1"/>
  <c r="E16" i="145"/>
  <c r="G16" i="145" s="1"/>
  <c r="B1131" i="106"/>
  <c r="D1131" i="106" s="1"/>
  <c r="F31" i="108"/>
  <c r="D31" i="108"/>
  <c r="B5225" i="106"/>
  <c r="D5225" i="106" s="1"/>
  <c r="B1115" i="106"/>
  <c r="D1115" i="106" s="1"/>
  <c r="B77" i="106"/>
  <c r="D77" i="106" s="1"/>
  <c r="B1128" i="106"/>
  <c r="D1128" i="106" s="1"/>
  <c r="E28" i="108"/>
  <c r="F28" i="108"/>
  <c r="F41" i="108" s="1"/>
  <c r="G43" i="108" s="1"/>
  <c r="B6902" i="106"/>
  <c r="D6902" i="106" s="1"/>
  <c r="I114" i="29"/>
  <c r="D41" i="108"/>
  <c r="E43" i="108" s="1"/>
  <c r="B5147" i="106"/>
  <c r="D5147" i="106" s="1"/>
  <c r="C169" i="5"/>
  <c r="B5214" i="106" s="1"/>
  <c r="D5214" i="106" s="1"/>
  <c r="B1151" i="106"/>
  <c r="D1151" i="106" s="1"/>
  <c r="K112" i="29"/>
  <c r="E14" i="145"/>
  <c r="G14" i="145" s="1"/>
  <c r="B1124" i="106"/>
  <c r="D1124" i="106" s="1"/>
  <c r="G12" i="145"/>
  <c r="E19" i="145"/>
  <c r="B6853" i="106"/>
  <c r="D6853" i="106" s="1"/>
  <c r="F35" i="34"/>
  <c r="B1104" i="106"/>
  <c r="D1104" i="106" s="1"/>
  <c r="F37" i="34"/>
  <c r="B4395" i="106"/>
  <c r="D4395" i="106" s="1"/>
  <c r="C266" i="5"/>
  <c r="B5320" i="106" s="1"/>
  <c r="D5320" i="106" s="1"/>
  <c r="H74" i="29"/>
  <c r="K65" i="29"/>
  <c r="B1133" i="106" s="1"/>
  <c r="D1133" i="106" s="1"/>
  <c r="C114" i="29"/>
  <c r="B757" i="106" s="1"/>
  <c r="D757" i="106" s="1"/>
  <c r="C109" i="5"/>
  <c r="B5066" i="106"/>
  <c r="D5066" i="106" s="1"/>
  <c r="B1093" i="106"/>
  <c r="D1093" i="106" s="1"/>
  <c r="K33" i="29"/>
  <c r="B5132" i="106"/>
  <c r="D5132" i="106" s="1"/>
  <c r="L74" i="29"/>
  <c r="L114" i="29" s="1"/>
  <c r="B3229" i="106"/>
  <c r="D3229" i="106" s="1"/>
  <c r="C77" i="4"/>
  <c r="B3232" i="106" s="1"/>
  <c r="D3232" i="106" s="1"/>
  <c r="B1744" i="106"/>
  <c r="D1744" i="106" s="1"/>
  <c r="D4" i="7"/>
  <c r="B1760" i="106" s="1"/>
  <c r="D1760" i="106" s="1"/>
  <c r="B5125" i="106"/>
  <c r="D5125" i="106" s="1"/>
  <c r="C5" i="4"/>
  <c r="B3405" i="106" s="1"/>
  <c r="D3405" i="106" s="1"/>
  <c r="B836" i="106"/>
  <c r="D836" i="106" s="1"/>
  <c r="E114" i="29"/>
  <c r="B873" i="106" s="1"/>
  <c r="D873" i="106" s="1"/>
  <c r="J114" i="29"/>
  <c r="B7021" i="106" s="1"/>
  <c r="D7021" i="106" s="1"/>
  <c r="G74" i="29"/>
  <c r="B987" i="106" s="1"/>
  <c r="D987" i="106" s="1"/>
  <c r="B785" i="106"/>
  <c r="D785" i="106" s="1"/>
  <c r="D74" i="29"/>
  <c r="K53" i="29"/>
  <c r="B1122" i="106" s="1"/>
  <c r="D1122" i="106" s="1"/>
  <c r="F52" i="34"/>
  <c r="B1144" i="106"/>
  <c r="D1144" i="106" s="1"/>
  <c r="C14" i="4"/>
  <c r="B2558" i="106" s="1"/>
  <c r="D2558" i="106" s="1"/>
  <c r="G39" i="108"/>
  <c r="E39" i="108"/>
  <c r="B2088" i="106"/>
  <c r="D2088" i="106" s="1"/>
  <c r="K102" i="29"/>
  <c r="F94" i="34"/>
  <c r="B5096" i="106"/>
  <c r="D5096" i="106" s="1"/>
  <c r="F114" i="29"/>
  <c r="B931" i="106" s="1"/>
  <c r="D931" i="106" s="1"/>
  <c r="B7037" i="106"/>
  <c r="D7037" i="106" s="1"/>
  <c r="I151" i="29"/>
  <c r="B109" i="106"/>
  <c r="D109" i="106" s="1"/>
  <c r="B5334" i="106"/>
  <c r="D5334" i="106" s="1"/>
  <c r="B5341" i="106"/>
  <c r="D5341" i="106" s="1"/>
  <c r="D67" i="5"/>
  <c r="B5342" i="106" s="1"/>
  <c r="D5342" i="106" s="1"/>
  <c r="K149" i="29"/>
  <c r="B7048" i="106"/>
  <c r="D7048" i="106" s="1"/>
  <c r="B1745" i="106"/>
  <c r="D1745" i="106" s="1"/>
  <c r="D5" i="7"/>
  <c r="B1761" i="106" s="1"/>
  <c r="D1761" i="106" s="1"/>
  <c r="B1239" i="106"/>
  <c r="D1239" i="106" s="1"/>
  <c r="E129" i="29"/>
  <c r="B1266" i="106"/>
  <c r="D1266" i="106" s="1"/>
  <c r="H151" i="29"/>
  <c r="B1273" i="106" s="1"/>
  <c r="D1273" i="106" s="1"/>
  <c r="D267" i="5"/>
  <c r="D170" i="5"/>
  <c r="B1258" i="106"/>
  <c r="D1258" i="106" s="1"/>
  <c r="G151" i="29"/>
  <c r="B3725" i="106"/>
  <c r="D3725" i="106" s="1"/>
  <c r="D13" i="7"/>
  <c r="B3726" i="106" s="1"/>
  <c r="D3726" i="106" s="1"/>
  <c r="B122" i="106"/>
  <c r="D122" i="106" s="1"/>
  <c r="B1281" i="106"/>
  <c r="D1281" i="106" s="1"/>
  <c r="D13" i="4"/>
  <c r="K139" i="29"/>
  <c r="K151" i="29" s="1"/>
  <c r="B2093" i="106"/>
  <c r="D2093" i="106" s="1"/>
  <c r="B1233" i="106"/>
  <c r="D1233" i="106" s="1"/>
  <c r="D151" i="29"/>
  <c r="B1234" i="106" s="1"/>
  <c r="D1234" i="106" s="1"/>
  <c r="F19" i="145"/>
  <c r="G15" i="145"/>
  <c r="G19" i="145" s="1"/>
  <c r="J20" i="145" s="1"/>
  <c r="F60" i="34"/>
  <c r="E15" i="4"/>
  <c r="E7" i="4"/>
  <c r="B4443" i="106" s="1"/>
  <c r="D4443" i="106" s="1"/>
  <c r="B4434" i="106"/>
  <c r="D4434" i="106" s="1"/>
  <c r="B5513" i="106"/>
  <c r="D5513" i="106" s="1"/>
  <c r="E109" i="5"/>
  <c r="K172" i="29"/>
  <c r="B1328" i="106"/>
  <c r="D1328" i="106" s="1"/>
  <c r="D6" i="7"/>
  <c r="B1762" i="106" s="1"/>
  <c r="D1762" i="106" s="1"/>
  <c r="B1746" i="106"/>
  <c r="D1746" i="106" s="1"/>
  <c r="H174" i="29"/>
  <c r="B1318" i="106" s="1"/>
  <c r="D1318" i="106" s="1"/>
  <c r="B1317" i="106"/>
  <c r="D1317" i="106" s="1"/>
  <c r="B5544" i="106"/>
  <c r="D5544" i="106" s="1"/>
  <c r="E6" i="4"/>
  <c r="B2631" i="106" s="1"/>
  <c r="D2631" i="106" s="1"/>
  <c r="B1380" i="106"/>
  <c r="D1380" i="106" s="1"/>
  <c r="E38" i="108"/>
  <c r="G38" i="108"/>
  <c r="B2837" i="106"/>
  <c r="D2837" i="106" s="1"/>
  <c r="K196" i="29"/>
  <c r="K208" i="29"/>
  <c r="B4157" i="106"/>
  <c r="D4157" i="106" s="1"/>
  <c r="B4087" i="106"/>
  <c r="D4087" i="106" s="1"/>
  <c r="B5557" i="106"/>
  <c r="D5557" i="106" s="1"/>
  <c r="F109" i="5"/>
  <c r="B1370" i="106"/>
  <c r="D1370" i="106" s="1"/>
  <c r="H210" i="29"/>
  <c r="B1376" i="106" s="1"/>
  <c r="D1376" i="106" s="1"/>
  <c r="B1339" i="106"/>
  <c r="D1339" i="106" s="1"/>
  <c r="C210" i="29"/>
  <c r="B1340" i="106" s="1"/>
  <c r="D1340" i="106" s="1"/>
  <c r="B1747" i="106"/>
  <c r="D1747" i="106" s="1"/>
  <c r="D7" i="7"/>
  <c r="B1763" i="106" s="1"/>
  <c r="D1763" i="106" s="1"/>
  <c r="B7071" i="106"/>
  <c r="D7071" i="106" s="1"/>
  <c r="F66" i="34"/>
  <c r="E210" i="29"/>
  <c r="B1353" i="106" s="1"/>
  <c r="D1353" i="106" s="1"/>
  <c r="B1364" i="106"/>
  <c r="D1364" i="106" s="1"/>
  <c r="G210" i="29"/>
  <c r="B169" i="106"/>
  <c r="D169" i="106" s="1"/>
  <c r="B3252" i="106"/>
  <c r="D3252" i="106" s="1"/>
  <c r="F77" i="4"/>
  <c r="B3255" i="106" s="1"/>
  <c r="D3255" i="106" s="1"/>
  <c r="F6" i="4"/>
  <c r="B2593" i="106" s="1"/>
  <c r="D2593" i="106" s="1"/>
  <c r="B5653" i="106"/>
  <c r="D5653" i="106" s="1"/>
  <c r="B157" i="106"/>
  <c r="D157" i="106" s="1"/>
  <c r="B1354" i="106"/>
  <c r="D1354" i="106" s="1"/>
  <c r="F184" i="29"/>
  <c r="K182" i="29"/>
  <c r="F7" i="4"/>
  <c r="B2594" i="106" s="1"/>
  <c r="D2594" i="106" s="1"/>
  <c r="B5719" i="106"/>
  <c r="D5719" i="106" s="1"/>
  <c r="B5725" i="106"/>
  <c r="D5725" i="106" s="1"/>
  <c r="B1501" i="106"/>
  <c r="D1501" i="106" s="1"/>
  <c r="K277" i="29"/>
  <c r="B1508" i="106" s="1"/>
  <c r="D1508" i="106" s="1"/>
  <c r="B3724" i="106"/>
  <c r="D3724" i="106" s="1"/>
  <c r="F73" i="34"/>
  <c r="G15" i="4"/>
  <c r="B6032" i="106" s="1"/>
  <c r="D6032" i="106" s="1"/>
  <c r="B1515" i="106"/>
  <c r="D1515" i="106" s="1"/>
  <c r="G16" i="4"/>
  <c r="B2611" i="106" s="1"/>
  <c r="D2611" i="106" s="1"/>
  <c r="B1474" i="106"/>
  <c r="D1474" i="106" s="1"/>
  <c r="G12" i="4"/>
  <c r="B1748" i="106"/>
  <c r="D1748" i="106" s="1"/>
  <c r="D8" i="7"/>
  <c r="B1764" i="106" s="1"/>
  <c r="D1764" i="106" s="1"/>
  <c r="B5869" i="106"/>
  <c r="D5869" i="106" s="1"/>
  <c r="G7" i="4"/>
  <c r="B2605" i="106" s="1"/>
  <c r="D2605" i="106" s="1"/>
  <c r="B3446" i="106"/>
  <c r="D3446" i="106" s="1"/>
  <c r="D16" i="7"/>
  <c r="B3447" i="106" s="1"/>
  <c r="D3447" i="106" s="1"/>
  <c r="B180" i="106"/>
  <c r="D180" i="106" s="1"/>
  <c r="B5803" i="106"/>
  <c r="D5803" i="106" s="1"/>
  <c r="F126" i="34"/>
  <c r="F174" i="34" s="1"/>
  <c r="G170" i="5"/>
  <c r="B5770" i="106"/>
  <c r="D5770" i="106" s="1"/>
  <c r="D295" i="29"/>
  <c r="B1448" i="106" s="1"/>
  <c r="D1448" i="106" s="1"/>
  <c r="B1446" i="106"/>
  <c r="D1446" i="106" s="1"/>
  <c r="B5732" i="106"/>
  <c r="D5732" i="106" s="1"/>
  <c r="G67" i="5"/>
  <c r="B5733" i="106" s="1"/>
  <c r="D5733" i="106" s="1"/>
  <c r="K279" i="29"/>
  <c r="B1481" i="106"/>
  <c r="D1481" i="106" s="1"/>
  <c r="B1756" i="106"/>
  <c r="D1756" i="106" s="1"/>
  <c r="D15" i="7"/>
  <c r="B1772" i="106" s="1"/>
  <c r="D1772" i="106" s="1"/>
  <c r="B6025" i="106"/>
  <c r="D6025" i="106" s="1"/>
  <c r="H268" i="5"/>
  <c r="H4" i="4"/>
  <c r="H7" i="4"/>
  <c r="B2657" i="106" s="1"/>
  <c r="D2657" i="106" s="1"/>
  <c r="B5914" i="106"/>
  <c r="D5914" i="106" s="1"/>
  <c r="B2102" i="106"/>
  <c r="D2102" i="106" s="1"/>
  <c r="H15" i="4"/>
  <c r="B2660" i="106" s="1"/>
  <c r="D2660" i="106" s="1"/>
  <c r="B203" i="106"/>
  <c r="D203" i="106" s="1"/>
  <c r="B5906" i="106"/>
  <c r="D5906" i="106" s="1"/>
  <c r="H6" i="4"/>
  <c r="B2656" i="106" s="1"/>
  <c r="D2656" i="106" s="1"/>
  <c r="B3274" i="106"/>
  <c r="D3274" i="106" s="1"/>
  <c r="E77" i="4"/>
  <c r="H13" i="4"/>
  <c r="K312" i="29"/>
  <c r="B1560" i="106" s="1"/>
  <c r="D1560" i="106" s="1"/>
  <c r="B1559" i="106"/>
  <c r="D1559" i="106" s="1"/>
  <c r="B4216" i="106"/>
  <c r="D4216" i="106" s="1"/>
  <c r="I6" i="4"/>
  <c r="B5011" i="106" s="1"/>
  <c r="D5011" i="106" s="1"/>
  <c r="B5918" i="106"/>
  <c r="D5918" i="106" s="1"/>
  <c r="I109" i="5"/>
  <c r="B2888" i="106"/>
  <c r="D2888" i="106" s="1"/>
  <c r="B7054" i="106"/>
  <c r="D7054" i="106" s="1"/>
  <c r="J7" i="4"/>
  <c r="B6222" i="106" s="1"/>
  <c r="D6222" i="106" s="1"/>
  <c r="B6397" i="106"/>
  <c r="D6397" i="106" s="1"/>
  <c r="J6" i="4"/>
  <c r="B6221" i="106" s="1"/>
  <c r="D6221" i="106" s="1"/>
  <c r="B6301" i="106"/>
  <c r="D6301" i="106" s="1"/>
  <c r="J109" i="5"/>
  <c r="B1752" i="106"/>
  <c r="D1752" i="106" s="1"/>
  <c r="D11" i="7"/>
  <c r="B1768" i="106" s="1"/>
  <c r="D1768" i="106" s="1"/>
  <c r="B7207" i="106"/>
  <c r="D7207" i="106" s="1"/>
  <c r="G23" i="108"/>
  <c r="E23" i="108"/>
  <c r="J13" i="4"/>
  <c r="K342" i="29"/>
  <c r="B6124" i="106"/>
  <c r="D6124" i="106" s="1"/>
  <c r="B7215" i="106"/>
  <c r="D7215" i="106" s="1"/>
  <c r="J16" i="4"/>
  <c r="B6226" i="106" s="1"/>
  <c r="D6226" i="106" s="1"/>
  <c r="B3670" i="106"/>
  <c r="D3670" i="106" s="1"/>
  <c r="K352" i="29"/>
  <c r="J367" i="29"/>
  <c r="B7245" i="106" s="1"/>
  <c r="D7245" i="106" s="1"/>
  <c r="B7235" i="106"/>
  <c r="D7235" i="106" s="1"/>
  <c r="B3621" i="106"/>
  <c r="D3621" i="106" s="1"/>
  <c r="C367" i="29"/>
  <c r="B3622" i="106" s="1"/>
  <c r="D3622" i="106" s="1"/>
  <c r="I367" i="29"/>
  <c r="B7234" i="106"/>
  <c r="D7234" i="106" s="1"/>
  <c r="B3565" i="106"/>
  <c r="D3565" i="106" s="1"/>
  <c r="B1753" i="106"/>
  <c r="D1753" i="106" s="1"/>
  <c r="B19" i="7"/>
  <c r="B1759" i="106" s="1"/>
  <c r="D1759" i="106" s="1"/>
  <c r="D12" i="7"/>
  <c r="B3318" i="106"/>
  <c r="D3318" i="106" s="1"/>
  <c r="I77" i="4"/>
  <c r="B3676" i="106"/>
  <c r="D3676" i="106" s="1"/>
  <c r="K365" i="29"/>
  <c r="B5987" i="106"/>
  <c r="D5987" i="106" s="1"/>
  <c r="K109" i="5"/>
  <c r="B3649" i="106"/>
  <c r="D3649" i="106" s="1"/>
  <c r="G367" i="29"/>
  <c r="B3650" i="106" s="1"/>
  <c r="D3650" i="106" s="1"/>
  <c r="B3656" i="106"/>
  <c r="D3656" i="106" s="1"/>
  <c r="H367" i="29"/>
  <c r="B3660" i="106" s="1"/>
  <c r="D3660" i="106" s="1"/>
  <c r="D367" i="29"/>
  <c r="B3629" i="106" s="1"/>
  <c r="D3629" i="106" s="1"/>
  <c r="B3628" i="106"/>
  <c r="D3628" i="106" s="1"/>
  <c r="K6" i="4"/>
  <c r="B3570" i="106" s="1"/>
  <c r="D3570" i="106" s="1"/>
  <c r="B6014" i="106"/>
  <c r="D6014" i="106" s="1"/>
  <c r="B6022" i="106"/>
  <c r="D6022" i="106" s="1"/>
  <c r="K7" i="4"/>
  <c r="F367" i="29"/>
  <c r="B3643" i="106" s="1"/>
  <c r="D3643" i="106" s="1"/>
  <c r="B3642" i="106"/>
  <c r="D3642" i="106" s="1"/>
  <c r="C170" i="5" l="1"/>
  <c r="K74" i="29"/>
  <c r="B1045" i="106"/>
  <c r="D1045" i="106" s="1"/>
  <c r="H114" i="29"/>
  <c r="B1054" i="106" s="1"/>
  <c r="D1054" i="106" s="1"/>
  <c r="B7020" i="106"/>
  <c r="D7020" i="106" s="1"/>
  <c r="F55" i="34"/>
  <c r="G114" i="29"/>
  <c r="C12" i="4"/>
  <c r="B1108" i="106"/>
  <c r="D1108" i="106" s="1"/>
  <c r="K114" i="29"/>
  <c r="E19" i="108"/>
  <c r="G19" i="108"/>
  <c r="F53" i="34"/>
  <c r="C15" i="4"/>
  <c r="B2559" i="106" s="1"/>
  <c r="D2559" i="106" s="1"/>
  <c r="B1145" i="106"/>
  <c r="D1145" i="106" s="1"/>
  <c r="B813" i="106"/>
  <c r="D813" i="106" s="1"/>
  <c r="D114" i="29"/>
  <c r="B815" i="106" s="1"/>
  <c r="D815" i="106" s="1"/>
  <c r="C267" i="5"/>
  <c r="C268" i="5" s="1"/>
  <c r="B7019" i="106"/>
  <c r="D7019" i="106" s="1"/>
  <c r="C16" i="4"/>
  <c r="B2560" i="106" s="1"/>
  <c r="D2560" i="106" s="1"/>
  <c r="B5121" i="106"/>
  <c r="D5121" i="106" s="1"/>
  <c r="C4" i="4"/>
  <c r="B1241" i="106"/>
  <c r="D1241" i="106" s="1"/>
  <c r="E151" i="29"/>
  <c r="B1242" i="106" s="1"/>
  <c r="D1242" i="106" s="1"/>
  <c r="D109" i="5"/>
  <c r="F57" i="34"/>
  <c r="B1282" i="106"/>
  <c r="D1282" i="106" s="1"/>
  <c r="D15" i="4"/>
  <c r="B2571" i="106" s="1"/>
  <c r="D2571" i="106" s="1"/>
  <c r="F58" i="34"/>
  <c r="B1259" i="106"/>
  <c r="D1259" i="106" s="1"/>
  <c r="B2569" i="106"/>
  <c r="D2569" i="106" s="1"/>
  <c r="B1288" i="106"/>
  <c r="D1288" i="106" s="1"/>
  <c r="F9" i="34"/>
  <c r="B5421" i="106"/>
  <c r="D5421" i="106" s="1"/>
  <c r="D6" i="4"/>
  <c r="B2566" i="106" s="1"/>
  <c r="D2566" i="106" s="1"/>
  <c r="F59" i="34"/>
  <c r="B7051" i="106"/>
  <c r="D7051" i="106" s="1"/>
  <c r="D7" i="4"/>
  <c r="B2567" i="106" s="1"/>
  <c r="D2567" i="106" s="1"/>
  <c r="B5507" i="106"/>
  <c r="D5507" i="106" s="1"/>
  <c r="D16" i="4"/>
  <c r="B2572" i="106" s="1"/>
  <c r="D2572" i="106" s="1"/>
  <c r="B1287" i="106"/>
  <c r="D1287" i="106" s="1"/>
  <c r="K174" i="29"/>
  <c r="B1331" i="106"/>
  <c r="D1331" i="106" s="1"/>
  <c r="E16" i="4"/>
  <c r="B2634" i="106" s="1"/>
  <c r="D2634" i="106" s="1"/>
  <c r="E4" i="4"/>
  <c r="B5527" i="106"/>
  <c r="D5527" i="106" s="1"/>
  <c r="E268" i="5"/>
  <c r="B2633" i="106"/>
  <c r="D2633" i="106" s="1"/>
  <c r="E17" i="4"/>
  <c r="F65" i="34"/>
  <c r="B1365" i="106"/>
  <c r="D1365" i="106" s="1"/>
  <c r="B1387" i="106"/>
  <c r="D1387" i="106" s="1"/>
  <c r="F16" i="4"/>
  <c r="B2599" i="106" s="1"/>
  <c r="D2599" i="106" s="1"/>
  <c r="B1382" i="106"/>
  <c r="D1382" i="106" s="1"/>
  <c r="F63" i="34"/>
  <c r="F15" i="4"/>
  <c r="B2598" i="106" s="1"/>
  <c r="D2598" i="106" s="1"/>
  <c r="F4" i="4"/>
  <c r="B5588" i="106"/>
  <c r="D5588" i="106" s="1"/>
  <c r="F268" i="5"/>
  <c r="B1377" i="106"/>
  <c r="D1377" i="106" s="1"/>
  <c r="E29" i="108"/>
  <c r="E41" i="108" s="1"/>
  <c r="E44" i="108" s="1"/>
  <c r="E45" i="108" s="1"/>
  <c r="G29" i="108"/>
  <c r="G41" i="108" s="1"/>
  <c r="G44" i="108" s="1"/>
  <c r="G45" i="108" s="1"/>
  <c r="F210" i="29"/>
  <c r="B1359" i="106" s="1"/>
  <c r="D1359" i="106" s="1"/>
  <c r="B1358" i="106"/>
  <c r="D1358" i="106" s="1"/>
  <c r="K184" i="29"/>
  <c r="B1510" i="106"/>
  <c r="D1510" i="106" s="1"/>
  <c r="G13" i="4"/>
  <c r="B2608" i="106" s="1"/>
  <c r="D2608" i="106" s="1"/>
  <c r="K295" i="29"/>
  <c r="B2607" i="106"/>
  <c r="D2607" i="106" s="1"/>
  <c r="G109" i="5"/>
  <c r="B5778" i="106"/>
  <c r="D5778" i="106" s="1"/>
  <c r="G6" i="4"/>
  <c r="B2604" i="106" s="1"/>
  <c r="D2604" i="106" s="1"/>
  <c r="B2659" i="106"/>
  <c r="D2659" i="106" s="1"/>
  <c r="H17" i="4"/>
  <c r="B3277" i="106"/>
  <c r="D3277" i="106" s="1"/>
  <c r="B2655" i="106"/>
  <c r="D2655" i="106" s="1"/>
  <c r="H8" i="4"/>
  <c r="B5915" i="106"/>
  <c r="D5915" i="106" s="1"/>
  <c r="K313" i="29"/>
  <c r="B1561" i="106" s="1"/>
  <c r="D1561" i="106" s="1"/>
  <c r="B6026" i="106"/>
  <c r="D6026" i="106" s="1"/>
  <c r="I268" i="5"/>
  <c r="B5946" i="106" s="1"/>
  <c r="D5946" i="106" s="1"/>
  <c r="I4" i="4"/>
  <c r="J4" i="4"/>
  <c r="B6352" i="106"/>
  <c r="D6352" i="106" s="1"/>
  <c r="J268" i="5"/>
  <c r="F13" i="34"/>
  <c r="B7224" i="106"/>
  <c r="D7224" i="106" s="1"/>
  <c r="B7042" i="106"/>
  <c r="D7042" i="106" s="1"/>
  <c r="J17" i="4"/>
  <c r="B3319" i="106"/>
  <c r="D3319" i="106" s="1"/>
  <c r="B7244" i="106"/>
  <c r="D7244" i="106" s="1"/>
  <c r="F17" i="11"/>
  <c r="B3718" i="106"/>
  <c r="D3718" i="106" s="1"/>
  <c r="B1769" i="106"/>
  <c r="D1769" i="106" s="1"/>
  <c r="D19" i="7"/>
  <c r="B1775" i="106" s="1"/>
  <c r="D1775" i="106" s="1"/>
  <c r="K4" i="4"/>
  <c r="B6028" i="106"/>
  <c r="D6028" i="106" s="1"/>
  <c r="K268" i="5"/>
  <c r="K367" i="29"/>
  <c r="B3678" i="106" s="1"/>
  <c r="D3678" i="106" s="1"/>
  <c r="K13" i="4"/>
  <c r="B3672" i="106"/>
  <c r="D3672" i="106" s="1"/>
  <c r="B7243" i="106"/>
  <c r="D7243" i="106" s="1"/>
  <c r="K16" i="4"/>
  <c r="B3574" i="106" s="1"/>
  <c r="D3574" i="106" s="1"/>
  <c r="D17" i="4" l="1"/>
  <c r="K115" i="29"/>
  <c r="B1153" i="106" s="1"/>
  <c r="D1153" i="106" s="1"/>
  <c r="B5327" i="106"/>
  <c r="D5327" i="106" s="1"/>
  <c r="B2556" i="106"/>
  <c r="D2556" i="106" s="1"/>
  <c r="B989" i="106"/>
  <c r="D989" i="106" s="1"/>
  <c r="F54" i="34"/>
  <c r="F76" i="34" s="1"/>
  <c r="B2551" i="106"/>
  <c r="D2551" i="106" s="1"/>
  <c r="B5326" i="106"/>
  <c r="D5326" i="106" s="1"/>
  <c r="C7" i="4"/>
  <c r="B1152" i="106"/>
  <c r="D1152" i="106" s="1"/>
  <c r="F8" i="34"/>
  <c r="C13" i="4"/>
  <c r="B2557" i="106" s="1"/>
  <c r="D2557" i="106" s="1"/>
  <c r="B1143" i="106"/>
  <c r="D1143" i="106" s="1"/>
  <c r="B5223" i="106"/>
  <c r="D5223" i="106" s="1"/>
  <c r="C6" i="4"/>
  <c r="B2553" i="106" s="1"/>
  <c r="D2553" i="106" s="1"/>
  <c r="B5356" i="106"/>
  <c r="D5356" i="106" s="1"/>
  <c r="D4" i="4"/>
  <c r="D268" i="5"/>
  <c r="B2573" i="106"/>
  <c r="D2573" i="106" s="1"/>
  <c r="D19" i="4"/>
  <c r="B4137" i="106" s="1"/>
  <c r="D4137" i="106" s="1"/>
  <c r="C9" i="146"/>
  <c r="E19" i="4"/>
  <c r="B4138" i="106" s="1"/>
  <c r="D4138" i="106" s="1"/>
  <c r="B2635" i="106"/>
  <c r="D2635" i="106" s="1"/>
  <c r="K175" i="29"/>
  <c r="B1333" i="106" s="1"/>
  <c r="D1333" i="106" s="1"/>
  <c r="B5552" i="106"/>
  <c r="D5552" i="106" s="1"/>
  <c r="B140" i="106"/>
  <c r="D140" i="106" s="1"/>
  <c r="E41" i="3"/>
  <c r="B2630" i="106"/>
  <c r="D2630" i="106" s="1"/>
  <c r="E8" i="4"/>
  <c r="F10" i="34"/>
  <c r="B1332" i="106"/>
  <c r="D1332" i="106" s="1"/>
  <c r="B5720" i="106"/>
  <c r="D5720" i="106" s="1"/>
  <c r="F13" i="4"/>
  <c r="B1381" i="106"/>
  <c r="D1381" i="106" s="1"/>
  <c r="K210" i="29"/>
  <c r="B2591" i="106"/>
  <c r="D2591" i="106" s="1"/>
  <c r="F8" i="4"/>
  <c r="G4" i="4"/>
  <c r="B6024" i="106"/>
  <c r="D6024" i="106" s="1"/>
  <c r="G268" i="5"/>
  <c r="G17" i="4"/>
  <c r="F12" i="34"/>
  <c r="B1517" i="106"/>
  <c r="D1517" i="106" s="1"/>
  <c r="B2658" i="106"/>
  <c r="D2658" i="106" s="1"/>
  <c r="H10" i="4"/>
  <c r="B4127" i="106" s="1"/>
  <c r="D4127" i="106" s="1"/>
  <c r="H20" i="4"/>
  <c r="H19" i="4"/>
  <c r="B4141" i="106" s="1"/>
  <c r="D4141" i="106" s="1"/>
  <c r="B2661" i="106"/>
  <c r="D2661" i="106" s="1"/>
  <c r="B2912" i="106"/>
  <c r="D2912" i="106" s="1"/>
  <c r="I41" i="3"/>
  <c r="B3225" i="106"/>
  <c r="D3225" i="106" s="1"/>
  <c r="I8" i="4"/>
  <c r="B6227" i="106"/>
  <c r="D6227" i="106" s="1"/>
  <c r="J19" i="4"/>
  <c r="B6229" i="106" s="1"/>
  <c r="D6229" i="106" s="1"/>
  <c r="B7055" i="106"/>
  <c r="D7055" i="106" s="1"/>
  <c r="K343" i="29"/>
  <c r="B7225" i="106" s="1"/>
  <c r="D7225" i="106" s="1"/>
  <c r="B6220" i="106"/>
  <c r="D6220" i="106" s="1"/>
  <c r="J8" i="4"/>
  <c r="B3572" i="106"/>
  <c r="D3572" i="106" s="1"/>
  <c r="K17" i="4"/>
  <c r="B7624" i="106"/>
  <c r="D7624" i="106" s="1"/>
  <c r="I17" i="11"/>
  <c r="B6023" i="106"/>
  <c r="D6023" i="106" s="1"/>
  <c r="K368" i="29"/>
  <c r="B3681" i="106" s="1"/>
  <c r="D3681" i="106" s="1"/>
  <c r="K8" i="4"/>
  <c r="B3569" i="106"/>
  <c r="D3569" i="106" s="1"/>
  <c r="C17" i="4" l="1"/>
  <c r="B2554" i="106"/>
  <c r="D2554" i="106" s="1"/>
  <c r="D10" i="171"/>
  <c r="D19" i="171" s="1"/>
  <c r="D32" i="171" s="1"/>
  <c r="D49" i="171" s="1"/>
  <c r="C8" i="4"/>
  <c r="B5508" i="106"/>
  <c r="D5508" i="106" s="1"/>
  <c r="K152" i="29"/>
  <c r="B1289" i="106" s="1"/>
  <c r="D1289" i="106" s="1"/>
  <c r="B2564" i="106"/>
  <c r="D2564" i="106" s="1"/>
  <c r="D8" i="4"/>
  <c r="H18" i="118" s="1"/>
  <c r="B2632" i="106"/>
  <c r="D2632" i="106" s="1"/>
  <c r="E20" i="4"/>
  <c r="E10" i="4"/>
  <c r="B4124" i="106" s="1"/>
  <c r="D4124" i="106" s="1"/>
  <c r="B141" i="106"/>
  <c r="D141" i="106" s="1"/>
  <c r="D46" i="36"/>
  <c r="F10" i="4"/>
  <c r="B4125" i="106" s="1"/>
  <c r="D4125" i="106" s="1"/>
  <c r="D8" i="146"/>
  <c r="B2595" i="106"/>
  <c r="D2595" i="106" s="1"/>
  <c r="F11" i="34"/>
  <c r="B1388" i="106"/>
  <c r="D1388" i="106" s="1"/>
  <c r="F14" i="34"/>
  <c r="F77" i="34" s="1"/>
  <c r="F175" i="34" s="1"/>
  <c r="B2596" i="106"/>
  <c r="D2596" i="106" s="1"/>
  <c r="F17" i="4"/>
  <c r="F20" i="4" s="1"/>
  <c r="K211" i="29"/>
  <c r="B1389" i="106" s="1"/>
  <c r="D1389" i="106" s="1"/>
  <c r="B2612" i="106"/>
  <c r="D2612" i="106" s="1"/>
  <c r="G19" i="4"/>
  <c r="B4140" i="106" s="1"/>
  <c r="D4140" i="106" s="1"/>
  <c r="B5870" i="106"/>
  <c r="D5870" i="106" s="1"/>
  <c r="K296" i="29"/>
  <c r="B1518" i="106" s="1"/>
  <c r="D1518" i="106" s="1"/>
  <c r="B189" i="106"/>
  <c r="D189" i="106" s="1"/>
  <c r="G41" i="3"/>
  <c r="B2603" i="106"/>
  <c r="D2603" i="106" s="1"/>
  <c r="G8" i="4"/>
  <c r="B2662" i="106"/>
  <c r="D2662" i="106" s="1"/>
  <c r="H78" i="4"/>
  <c r="I10" i="4"/>
  <c r="B4128" i="106" s="1"/>
  <c r="D4128" i="106" s="1"/>
  <c r="E8" i="146"/>
  <c r="B3226" i="106"/>
  <c r="D3226" i="106" s="1"/>
  <c r="I20" i="4"/>
  <c r="B2913" i="106"/>
  <c r="D2913" i="106" s="1"/>
  <c r="D50" i="36"/>
  <c r="J20" i="4"/>
  <c r="J10" i="4"/>
  <c r="B6225" i="106" s="1"/>
  <c r="D6225" i="106" s="1"/>
  <c r="B6223" i="106"/>
  <c r="D6223" i="106" s="1"/>
  <c r="B6215" i="106"/>
  <c r="D6215" i="106" s="1"/>
  <c r="J41" i="3"/>
  <c r="B7625" i="106"/>
  <c r="D7625" i="106" s="1"/>
  <c r="I18" i="11"/>
  <c r="B3575" i="106"/>
  <c r="D3575" i="106" s="1"/>
  <c r="K19" i="4"/>
  <c r="B4144" i="106" s="1"/>
  <c r="D4144" i="106" s="1"/>
  <c r="K10" i="4"/>
  <c r="B4130" i="106" s="1"/>
  <c r="D4130" i="106" s="1"/>
  <c r="B3571" i="106"/>
  <c r="D3571" i="106" s="1"/>
  <c r="K20" i="4"/>
  <c r="D16" i="37" l="1"/>
  <c r="H13" i="118"/>
  <c r="B8" i="146"/>
  <c r="B2555" i="106"/>
  <c r="D2555" i="106" s="1"/>
  <c r="C20" i="4"/>
  <c r="C10" i="4"/>
  <c r="B4122" i="106" s="1"/>
  <c r="D4122" i="106" s="1"/>
  <c r="B9" i="146"/>
  <c r="B2561" i="106"/>
  <c r="D2561" i="106" s="1"/>
  <c r="C19" i="4"/>
  <c r="B4136" i="106" s="1"/>
  <c r="D4136" i="106" s="1"/>
  <c r="C8" i="146"/>
  <c r="C10" i="146" s="1"/>
  <c r="D10" i="4"/>
  <c r="B4123" i="106" s="1"/>
  <c r="D4123" i="106" s="1"/>
  <c r="B2568" i="106"/>
  <c r="D2568" i="106" s="1"/>
  <c r="D20" i="4"/>
  <c r="B123" i="106"/>
  <c r="D123" i="106" s="1"/>
  <c r="D41" i="3"/>
  <c r="B282" i="106"/>
  <c r="D282" i="106" s="1"/>
  <c r="N23" i="3"/>
  <c r="B2636" i="106"/>
  <c r="D2636" i="106" s="1"/>
  <c r="E78" i="4"/>
  <c r="F78" i="4"/>
  <c r="B2601" i="106"/>
  <c r="D2601" i="106" s="1"/>
  <c r="F79" i="34"/>
  <c r="D9" i="146"/>
  <c r="F19" i="4"/>
  <c r="B4139" i="106" s="1"/>
  <c r="D4139" i="106" s="1"/>
  <c r="F16" i="37"/>
  <c r="H16" i="37" s="1"/>
  <c r="B2600" i="106"/>
  <c r="D2600" i="106" s="1"/>
  <c r="H17" i="118"/>
  <c r="H25" i="118" s="1"/>
  <c r="K24" i="118" s="1"/>
  <c r="O23" i="118" s="1"/>
  <c r="O25" i="118" s="1"/>
  <c r="G20" i="4"/>
  <c r="B2606" i="106"/>
  <c r="D2606" i="106" s="1"/>
  <c r="G10" i="4"/>
  <c r="B4126" i="106" s="1"/>
  <c r="D4126" i="106" s="1"/>
  <c r="B190" i="106"/>
  <c r="D190" i="106" s="1"/>
  <c r="D48" i="36"/>
  <c r="B3300" i="106"/>
  <c r="D3300" i="106" s="1"/>
  <c r="H81" i="4"/>
  <c r="D62" i="36" s="1"/>
  <c r="B212" i="106"/>
  <c r="D212" i="106" s="1"/>
  <c r="H41" i="3"/>
  <c r="B3227" i="106"/>
  <c r="D3227" i="106" s="1"/>
  <c r="I78" i="4"/>
  <c r="E10" i="146"/>
  <c r="F8" i="146"/>
  <c r="B6216" i="106"/>
  <c r="D6216" i="106" s="1"/>
  <c r="D51" i="36"/>
  <c r="B6230" i="106"/>
  <c r="D6230" i="106" s="1"/>
  <c r="J78" i="4"/>
  <c r="B7631" i="106"/>
  <c r="D7631" i="106" s="1"/>
  <c r="F176" i="34"/>
  <c r="F177" i="34" s="1"/>
  <c r="F179" i="34" s="1"/>
  <c r="B3567" i="106"/>
  <c r="D3567" i="106" s="1"/>
  <c r="K41" i="3"/>
  <c r="K78" i="4"/>
  <c r="B3576" i="106"/>
  <c r="D3576" i="106" s="1"/>
  <c r="D76" i="36"/>
  <c r="B10" i="146" l="1"/>
  <c r="B92" i="106"/>
  <c r="D92" i="106" s="1"/>
  <c r="C41" i="3"/>
  <c r="B2562" i="106"/>
  <c r="D2562" i="106" s="1"/>
  <c r="C78" i="4"/>
  <c r="B124" i="106"/>
  <c r="D124" i="106" s="1"/>
  <c r="D45" i="36"/>
  <c r="B2574" i="106"/>
  <c r="D2574" i="106" s="1"/>
  <c r="D78" i="4"/>
  <c r="B3278" i="106"/>
  <c r="D3278" i="106" s="1"/>
  <c r="E81" i="4"/>
  <c r="B284" i="106"/>
  <c r="D284" i="106" s="1"/>
  <c r="D55" i="36"/>
  <c r="F81" i="4"/>
  <c r="D60" i="36" s="1"/>
  <c r="B3256" i="106"/>
  <c r="D3256" i="106" s="1"/>
  <c r="D10" i="146"/>
  <c r="F9" i="146"/>
  <c r="F10" i="146"/>
  <c r="B170" i="106"/>
  <c r="D170" i="106" s="1"/>
  <c r="F41" i="3"/>
  <c r="K17" i="118"/>
  <c r="G78" i="4"/>
  <c r="B2613" i="106"/>
  <c r="D2613" i="106" s="1"/>
  <c r="B213" i="106"/>
  <c r="D213" i="106" s="1"/>
  <c r="D49" i="36"/>
  <c r="B1700" i="106"/>
  <c r="D1700" i="106" s="1"/>
  <c r="H82" i="4"/>
  <c r="I81" i="4"/>
  <c r="B3320" i="106"/>
  <c r="D3320" i="106" s="1"/>
  <c r="J81" i="4"/>
  <c r="B6263" i="106"/>
  <c r="D6263" i="106" s="1"/>
  <c r="K81" i="4"/>
  <c r="B3588" i="106"/>
  <c r="D3588" i="106" s="1"/>
  <c r="B3568" i="106"/>
  <c r="D3568" i="106" s="1"/>
  <c r="D52" i="36"/>
  <c r="C81" i="4" l="1"/>
  <c r="B3233" i="106"/>
  <c r="D3233" i="106" s="1"/>
  <c r="B93" i="106"/>
  <c r="D93" i="106" s="1"/>
  <c r="D44" i="36"/>
  <c r="D81" i="4"/>
  <c r="B3239" i="106"/>
  <c r="D3239" i="106" s="1"/>
  <c r="D59" i="36"/>
  <c r="E82" i="4"/>
  <c r="B1658" i="106"/>
  <c r="D1658" i="106" s="1"/>
  <c r="B171" i="106"/>
  <c r="D171" i="106" s="1"/>
  <c r="D47" i="36"/>
  <c r="O16" i="118"/>
  <c r="J20" i="118"/>
  <c r="K20" i="118"/>
  <c r="F82" i="4"/>
  <c r="B1672" i="106"/>
  <c r="D1672" i="106" s="1"/>
  <c r="D11" i="146"/>
  <c r="G81" i="4"/>
  <c r="B3262" i="106"/>
  <c r="D3262" i="106" s="1"/>
  <c r="H83" i="4"/>
  <c r="B6281" i="106" s="1"/>
  <c r="D6281" i="106" s="1"/>
  <c r="B6272" i="106"/>
  <c r="D6272" i="106" s="1"/>
  <c r="J16" i="37"/>
  <c r="B4269" i="106" s="1"/>
  <c r="D4269" i="106" s="1"/>
  <c r="E11" i="146"/>
  <c r="D63" i="36"/>
  <c r="B3323" i="106"/>
  <c r="D3323" i="106" s="1"/>
  <c r="I82" i="4"/>
  <c r="J82" i="4"/>
  <c r="B6266" i="106"/>
  <c r="D6266" i="106" s="1"/>
  <c r="D64" i="36"/>
  <c r="B3591" i="106"/>
  <c r="D3591" i="106" s="1"/>
  <c r="K82" i="4"/>
  <c r="D65" i="36"/>
  <c r="C82" i="4" l="1"/>
  <c r="B1630" i="106"/>
  <c r="D1630" i="106" s="1"/>
  <c r="B11" i="146"/>
  <c r="D57" i="36"/>
  <c r="D82" i="4"/>
  <c r="B1644" i="106"/>
  <c r="D1644" i="106" s="1"/>
  <c r="C11" i="146"/>
  <c r="F11" i="146" s="1"/>
  <c r="D58" i="36"/>
  <c r="E83" i="4"/>
  <c r="B6278" i="106" s="1"/>
  <c r="D6278" i="106" s="1"/>
  <c r="B6269" i="106"/>
  <c r="D6269" i="106" s="1"/>
  <c r="O17" i="118"/>
  <c r="O20" i="118" s="1"/>
  <c r="B6270" i="106"/>
  <c r="D6270" i="106" s="1"/>
  <c r="F83" i="4"/>
  <c r="B6279" i="106" s="1"/>
  <c r="D6279" i="106" s="1"/>
  <c r="G82" i="4"/>
  <c r="B1686" i="106"/>
  <c r="D1686" i="106" s="1"/>
  <c r="D61" i="36"/>
  <c r="H12" i="118"/>
  <c r="K12" i="118" s="1"/>
  <c r="O11" i="118" s="1"/>
  <c r="O13" i="118" s="1"/>
  <c r="I83" i="4"/>
  <c r="B6282" i="106" s="1"/>
  <c r="D6282" i="106" s="1"/>
  <c r="B6273" i="106"/>
  <c r="D6273" i="106" s="1"/>
  <c r="J83" i="4"/>
  <c r="B6283" i="106" s="1"/>
  <c r="D6283" i="106" s="1"/>
  <c r="B6274" i="106"/>
  <c r="D6274" i="106" s="1"/>
  <c r="K83" i="4"/>
  <c r="B6284" i="106" s="1"/>
  <c r="D6284" i="106" s="1"/>
  <c r="B6275" i="106"/>
  <c r="D6275" i="106" s="1"/>
  <c r="C12" i="146" l="1"/>
  <c r="D29" i="36"/>
  <c r="J24" i="24" s="1"/>
  <c r="O35" i="118"/>
  <c r="O37" i="118" s="1"/>
  <c r="C83" i="4"/>
  <c r="B6276" i="106" s="1"/>
  <c r="D6276" i="106" s="1"/>
  <c r="B6267" i="106"/>
  <c r="D6267" i="106" s="1"/>
  <c r="D83" i="4"/>
  <c r="B6277" i="106" s="1"/>
  <c r="D6277" i="106" s="1"/>
  <c r="B6268" i="106"/>
  <c r="D6268" i="106" s="1"/>
  <c r="G83" i="4"/>
  <c r="B6280" i="106" s="1"/>
  <c r="D6280" i="106" s="1"/>
  <c r="B6271" i="106"/>
  <c r="D6271"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<sst xmlns="http://schemas.openxmlformats.org/spreadsheetml/2006/main" count="5186" uniqueCount="2150">
  <si>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</si>
  <si>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</si>
  <si>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</si>
  <si>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</si>
  <si>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</si>
  <si>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</si>
  <si>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</si>
  <si>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</si>
  <si>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</si>
  <si>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</si>
  <si>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</si>
  <si>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</si>
  <si>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</si>
  <si>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</si>
  <si>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</si>
  <si>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</si>
  <si>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</si>
  <si>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</si>
  <si>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</si>
  <si>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</si>
  <si>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</si>
  <si>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</si>
  <si>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</si>
  <si>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</si>
  <si>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</si>
  <si>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</si>
  <si>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</si>
  <si>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</si>
  <si>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</si>
  <si>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</si>
  <si>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</si>
  <si>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</si>
  <si>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</si>
  <si>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</si>
  <si>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</si>
  <si>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</si>
  <si>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</si>
  <si>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</si>
  <si>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</si>
  <si>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</si>
  <si>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</si>
  <si>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</si>
  <si>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</si>
  <si>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</si>
  <si>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</si>
  <si>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</si>
  <si>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</si>
  <si>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</si>
  <si>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</si>
  <si>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</si>
  <si>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</si>
  <si>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</si>
  <si>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</si>
  <si>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</si>
  <si>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</si>
  <si>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</si>
  <si>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</si>
  <si>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</si>
  <si>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</si>
  <si>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</si>
  <si>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</si>
  <si>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</si>
  <si>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</si>
  <si>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</si>
  <si>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</si>
  <si>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</si>
  <si>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</si>
  <si>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</si>
  <si>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</si>
  <si>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</si>
  <si>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</si>
  <si>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</si>
  <si>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</si>
  <si>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</si>
  <si>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</si>
  <si>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</si>
  <si>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</si>
  <si>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</si>
  <si>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</si>
  <si>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</si>
  <si>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</si>
  <si>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</si>
  <si>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</si>
  <si>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</si>
  <si>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</si>
  <si>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</si>
  <si>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</si>
  <si>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</si>
  <si>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</si>
  <si>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</si>
  <si>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</si>
  <si>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</si>
  <si>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</si>
  <si>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</si>
  <si>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</si>
  <si>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</si>
  <si>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</si>
  <si>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</si>
  <si>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</si>
  <si>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</si>
  <si>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</si>
  <si>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</si>
  <si>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</si>
  <si>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</si>
  <si>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</si>
  <si>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</si>
  <si>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</si>
  <si>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</si>
  <si>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</si>
  <si>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</si>
  <si>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</si>
  <si>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</si>
  <si>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</si>
  <si>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</si>
  <si>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</si>
  <si>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</si>
  <si>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</si>
  <si>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</si>
  <si>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</si>
  <si>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</si>
  <si>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</si>
  <si>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</si>
  <si>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</si>
  <si>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</si>
  <si>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</si>
  <si>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</si>
  <si>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</si>
  <si>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</si>
  <si>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</si>
  <si>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</si>
  <si>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</si>
  <si>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</si>
  <si>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</si>
  <si>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</si>
  <si>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</si>
  <si>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</si>
  <si>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</si>
  <si>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</si>
  <si>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</si>
  <si>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</si>
  <si>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</si>
  <si>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</si>
  <si>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</si>
  <si>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</si>
  <si>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</si>
  <si>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</si>
  <si>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</si>
  <si>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</si>
  <si>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</si>
  <si>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</si>
  <si>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</si>
  <si>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</si>
  <si>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</si>
  <si>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</si>
  <si>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</si>
  <si>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</si>
  <si>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</si>
  <si>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</si>
  <si>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</si>
  <si>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</si>
  <si>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</si>
  <si>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</si>
  <si>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</si>
  <si>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</si>
  <si>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</si>
  <si>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</si>
  <si>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</si>
  <si>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</si>
  <si>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</si>
  <si>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</si>
  <si>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</si>
  <si>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</si>
  <si>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</si>
  <si>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</si>
  <si>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</si>
  <si>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</si>
  <si>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</si>
  <si>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</si>
  <si>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</si>
  <si>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</si>
  <si>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</si>
  <si>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</si>
  <si>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</si>
  <si>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</si>
  <si>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</si>
  <si>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</si>
  <si>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</si>
  <si>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</si>
  <si>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</si>
  <si>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</si>
  <si>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</si>
  <si>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</si>
  <si>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</si>
  <si>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</si>
  <si>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</si>
  <si>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</si>
  <si>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</si>
  <si>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</si>
  <si>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</si>
  <si>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</si>
  <si>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</si>
  <si>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</si>
  <si>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</si>
  <si>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</si>
  <si>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</si>
  <si>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</si>
  <si>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</si>
  <si>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</si>
  <si>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</si>
  <si>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</si>
  <si>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</si>
  <si>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</si>
  <si>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</si>
  <si>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</si>
  <si>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</si>
  <si>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</si>
  <si>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</si>
  <si>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</si>
  <si>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</si>
  <si>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</si>
  <si>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</si>
  <si>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</si>
  <si>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</si>
  <si>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</si>
  <si>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</si>
  <si>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</si>
  <si>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</si>
  <si>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</si>
  <si>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</si>
  <si>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</si>
  <si>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</si>
  <si>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</si>
  <si>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</si>
  <si>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</si>
  <si>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</si>
  <si>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</si>
  <si>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</si>
  <si>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</si>
  <si>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</si>
  <si>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</si>
  <si>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</si>
  <si>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</si>
  <si>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</si>
  <si>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</si>
  <si>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</si>
  <si>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</si>
  <si>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</si>
  <si>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</si>
  <si>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</si>
  <si>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</si>
  <si>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</si>
  <si>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</si>
  <si>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</si>
  <si>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</si>
  <si>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</si>
  <si>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</si>
  <si>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</si>
  <si>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</si>
  <si>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</si>
  <si>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</si>
  <si>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</si>
  <si>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</si>
  <si>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</si>
  <si>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</si>
  <si>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</si>
  <si>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</si>
  <si>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</si>
  <si>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</si>
  <si>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</si>
  <si>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</si>
  <si>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</si>
  <si>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</si>
  <si>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</si>
  <si>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</si>
  <si>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</si>
  <si>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</si>
  <si>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</si>
  <si>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</si>
  <si>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</si>
  <si>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</si>
  <si>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</si>
  <si>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</si>
  <si>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</si>
  <si>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</si>
  <si>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</si>
  <si>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</si>
  <si>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</si>
  <si>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</si>
  <si>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</si>
  <si>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</si>
  <si>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</si>
  <si>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</si>
  <si>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</si>
  <si>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</si>
  <si>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</si>
  <si>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</si>
  <si>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</si>
  <si>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</si>
  <si>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</si>
  <si>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</si>
  <si>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</si>
  <si>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</si>
  <si>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</si>
  <si>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</si>
  <si>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</si>
  <si>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</si>
  <si>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</si>
  <si>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</si>
  <si>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</si>
  <si>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</si>
  <si>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</si>
  <si>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</si>
  <si>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</si>
  <si>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</si>
  <si>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</si>
  <si>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</si>
  <si>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</si>
  <si>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</si>
  <si>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</si>
  <si>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</si>
  <si>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</si>
  <si>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</si>
  <si>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</si>
  <si>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</si>
  <si>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</si>
  <si>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</si>
  <si>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</si>
  <si>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</si>
  <si>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</si>
  <si>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</si>
  <si>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</si>
  <si>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</si>
  <si>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</si>
  <si>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</si>
  <si>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</si>
  <si>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</si>
  <si>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</si>
  <si>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</si>
  <si>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</si>
  <si>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</si>
  <si>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</si>
  <si>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</si>
  <si>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</si>
  <si>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</si>
  <si>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</si>
  <si>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</si>
  <si>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</si>
  <si>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</si>
  <si>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</si>
  <si>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</si>
  <si>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</si>
  <si>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</si>
  <si>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</si>
  <si>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</si>
  <si>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</si>
  <si>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</si>
  <si>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</si>
  <si>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</si>
  <si>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</si>
  <si>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</si>
  <si>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</si>
  <si>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</si>
  <si>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</si>
  <si>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</si>
  <si>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</si>
  <si>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</si>
  <si>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</si>
  <si>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</si>
  <si>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</si>
  <si>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</si>
  <si>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</si>
  <si>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</si>
  <si>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</si>
  <si>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</si>
  <si>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</si>
  <si>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</si>
  <si>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</si>
  <si>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</si>
  <si>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</si>
  <si>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</si>
  <si>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</si>
  <si>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</si>
  <si>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</si>
  <si>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</si>
  <si>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</si>
  <si>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</si>
  <si>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</si>
  <si>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</si>
  <si>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</si>
  <si>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</si>
  <si>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</si>
  <si>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</si>
  <si>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</si>
  <si>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</si>
  <si>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</si>
  <si>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</si>
  <si>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</si>
  <si>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</si>
  <si>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</si>
  <si>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</si>
  <si>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</si>
  <si>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</si>
  <si>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</si>
  <si>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</si>
  <si>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</si>
  <si>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</si>
  <si>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</si>
  <si>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</si>
  <si>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</si>
  <si>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</si>
  <si>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</si>
  <si>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</si>
  <si>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</si>
  <si>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</si>
  <si>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</si>
  <si>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</si>
  <si>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</si>
  <si>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</si>
  <si>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</si>
  <si>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</si>
  <si>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</si>
  <si>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</si>
  <si>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</si>
  <si>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</si>
  <si>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</si>
  <si>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</si>
  <si>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</si>
  <si>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</si>
  <si>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</si>
  <si>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</si>
  <si>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</si>
  <si>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</si>
  <si>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</si>
  <si>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</si>
  <si>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</si>
  <si>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</si>
  <si>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</si>
  <si>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</si>
  <si>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</si>
  <si>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</si>
  <si>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</si>
  <si>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</si>
  <si>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</si>
  <si>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</si>
  <si>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</si>
  <si>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</si>
  <si>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</si>
  <si>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</si>
  <si>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</si>
  <si>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</si>
  <si>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</si>
  <si>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</si>
  <si>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</si>
  <si>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</si>
  <si>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</si>
  <si>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</si>
  <si>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</si>
  <si>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</si>
  <si>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</si>
  <si>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</si>
  <si>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</si>
  <si>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</si>
  <si>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</si>
  <si>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</si>
  <si>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</si>
  <si>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</si>
  <si>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</si>
  <si>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</si>
  <si>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</si>
  <si>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</si>
  <si>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</si>
  <si>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</si>
  <si>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</si>
  <si>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</si>
  <si>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</si>
  <si>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</si>
  <si>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</si>
  <si>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</si>
  <si>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</si>
  <si>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</si>
  <si>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</si>
  <si>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</si>
  <si>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</si>
  <si>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</si>
  <si>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</si>
  <si>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</si>
  <si>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</si>
  <si>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</si>
  <si>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</si>
  <si>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</si>
  <si>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</si>
  <si>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</si>
  <si>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</si>
  <si>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</si>
  <si>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</si>
  <si>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</si>
  <si>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</si>
  <si>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</si>
  <si>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</si>
  <si>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</si>
  <si>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</si>
  <si>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</si>
  <si>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</si>
  <si>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</si>
  <si>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</si>
  <si>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</si>
  <si>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</si>
  <si>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</si>
  <si>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</si>
  <si>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</si>
  <si>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</si>
  <si>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</si>
  <si>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</si>
  <si>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</si>
  <si>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</si>
  <si>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</si>
  <si>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</si>
  <si>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</si>
  <si>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</si>
  <si>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</si>
  <si>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</si>
  <si>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</si>
  <si>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</si>
  <si>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</si>
  <si>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</si>
  <si>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</si>
  <si>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</si>
  <si>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</si>
  <si>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</si>
  <si>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</si>
  <si>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</si>
  <si>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</si>
  <si>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</si>
  <si>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</si>
  <si>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</si>
  <si>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</si>
  <si>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</si>
  <si>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</si>
  <si>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</si>
  <si>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</si>
  <si>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</si>
  <si>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</si>
  <si>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</si>
  <si>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</si>
  <si>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</si>
  <si>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</si>
  <si>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</si>
  <si>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</si>
  <si>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</si>
  <si>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</si>
  <si>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</si>
  <si>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</si>
  <si>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</si>
  <si>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</si>
  <si>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</si>
  <si>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</si>
  <si>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</si>
  <si>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</si>
  <si>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</si>
  <si>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</si>
  <si>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</si>
  <si>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</si>
  <si>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</si>
  <si>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</si>
  <si>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</si>
  <si>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</si>
  <si>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</si>
  <si>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</si>
  <si>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</si>
  <si>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</si>
  <si>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</si>
  <si>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</si>
  <si>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</si>
  <si>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</si>
  <si>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</si>
  <si>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</si>
  <si>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</si>
  <si>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</si>
  <si>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</si>
  <si>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</si>
  <si>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</si>
  <si>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</si>
  <si>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</si>
  <si>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</si>
  <si>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</si>
  <si>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</si>
  <si>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</si>
  <si>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</si>
  <si>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</si>
  <si>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</si>
  <si>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</si>
  <si>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</si>
  <si>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</si>
  <si>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</si>
  <si>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</si>
  <si>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</si>
  <si>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</si>
  <si>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</si>
  <si>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</si>
  <si>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</si>
  <si>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</si>
  <si>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</si>
  <si>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</si>
  <si>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</si>
  <si>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</si>
  <si>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</si>
  <si>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</si>
  <si>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</si>
  <si>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</si>
  <si>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</si>
  <si>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</si>
  <si>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</si>
  <si>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</si>
  <si>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</si>
  <si>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</si>
  <si>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</si>
  <si>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</si>
  <si>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</si>
  <si>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</si>
  <si>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</si>
  <si>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</si>
  <si>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</si>
  <si>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</si>
  <si>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</si>
  <si>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</si>
  <si>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</si>
  <si>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</si>
  <si>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</si>
  <si>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</si>
  <si>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</si>
  <si>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</si>
  <si>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</si>
  <si>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</si>
  <si>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</si>
  <si>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</si>
  <si>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</si>
  <si>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</si>
  <si>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</si>
  <si>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</si>
  <si>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</si>
  <si>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</si>
  <si>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</si>
  <si>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</si>
  <si>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</si>
  <si>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</si>
  <si>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</si>
  <si>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</si>
  <si>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</si>
  <si>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</si>
  <si>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</si>
  <si>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</si>
  <si>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</si>
  <si>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</si>
  <si>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</si>
  <si>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</si>
  <si>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</si>
  <si>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</si>
  <si>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</si>
  <si>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</si>
  <si>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</si>
  <si>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</si>
  <si>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</si>
  <si>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</si>
  <si>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</si>
  <si>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</si>
  <si>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</si>
  <si>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</si>
  <si>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</si>
  <si>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</si>
  <si>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</si>
  <si>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</si>
  <si>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</si>
  <si>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</si>
  <si>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</si>
  <si>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</si>
  <si>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</si>
  <si>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</si>
  <si>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</si>
  <si>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</si>
  <si>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</si>
  <si>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</si>
  <si>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</si>
  <si>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</si>
  <si>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</si>
  <si>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</si>
  <si>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</si>
  <si>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</si>
  <si>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</si>
  <si>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</si>
  <si>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</si>
  <si>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</si>
  <si>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</si>
  <si>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</si>
  <si>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</si>
  <si>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</si>
  <si>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</si>
  <si>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</si>
  <si>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</si>
  <si>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</si>
  <si>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</si>
  <si>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</si>
  <si>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</si>
  <si>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</si>
  <si>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</si>
  <si>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</si>
  <si>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</si>
  <si>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</si>
  <si>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</si>
  <si>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</si>
  <si>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</si>
  <si>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</si>
  <si>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</si>
  <si>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</si>
  <si>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</si>
  <si>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</si>
  <si>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</si>
  <si>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</si>
  <si>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</si>
  <si>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</si>
  <si>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</si>
  <si>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</si>
  <si>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</si>
  <si>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</si>
  <si>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</si>
  <si>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</si>
  <si>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</si>
  <si>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</si>
  <si>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</si>
  <si>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</si>
  <si>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</si>
  <si>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</si>
  <si>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</si>
  <si>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</si>
  <si>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</si>
  <si>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</si>
  <si>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</si>
  <si>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</si>
  <si>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</si>
  <si>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</si>
  <si>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</si>
  <si>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</si>
  <si>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</si>
  <si>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</si>
  <si>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</si>
  <si>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</si>
  <si>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</si>
  <si>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</si>
  <si>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</si>
  <si>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</si>
  <si>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</si>
  <si>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</si>
  <si>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</si>
  <si>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</si>
  <si>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</si>
  <si>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</si>
  <si>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</si>
  <si>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</si>
  <si>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</si>
  <si>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</si>
  <si>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</si>
  <si>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</si>
  <si>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</si>
  <si>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</si>
  <si>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</si>
  <si>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</si>
  <si>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</si>
  <si>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</si>
  <si>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</si>
  <si>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</si>
  <si>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</si>
  <si>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</si>
  <si>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</si>
  <si>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</si>
  <si>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</si>
  <si>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</si>
  <si>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</si>
  <si>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</si>
  <si>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</si>
  <si>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</si>
  <si>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</si>
  <si>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</si>
  <si>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</si>
  <si>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</si>
  <si>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</si>
  <si>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</si>
  <si>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</si>
  <si>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</si>
  <si>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</si>
  <si>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</si>
  <si>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</si>
  <si>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</si>
  <si>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</si>
  <si>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</si>
  <si>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</si>
  <si>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</si>
  <si>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</si>
  <si>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</si>
  <si>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</si>
  <si>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</si>
  <si>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</si>
  <si>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</si>
  <si>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</si>
  <si>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</si>
  <si>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</si>
  <si>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</si>
  <si>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</si>
  <si>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</si>
  <si>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</si>
  <si>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</si>
  <si>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</si>
  <si>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</si>
  <si>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</si>
  <si>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</si>
  <si>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</si>
  <si>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</si>
  <si>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</si>
  <si>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</si>
  <si>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</si>
  <si>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</si>
  <si>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</si>
  <si>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</si>
  <si>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</si>
  <si>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</si>
  <si>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</si>
  <si>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</si>
  <si>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</si>
  <si>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</si>
  <si>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</si>
  <si>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</si>
  <si>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</si>
  <si>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</si>
  <si>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</si>
  <si>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</si>
  <si>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</si>
  <si>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</si>
  <si>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</si>
  <si>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</si>
  <si>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</si>
  <si>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</si>
  <si>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</si>
  <si>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</si>
  <si>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</si>
  <si>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</si>
  <si>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</si>
  <si>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</si>
  <si>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</si>
  <si>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</si>
  <si>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</si>
  <si>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</si>
  <si>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</si>
  <si>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</si>
  <si>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</si>
  <si>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</si>
  <si>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</si>
  <si>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</si>
  <si>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</si>
  <si>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</si>
  <si>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</si>
  <si>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</si>
  <si>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</si>
  <si>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</si>
  <si>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</si>
  <si>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</si>
  <si>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</si>
  <si>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</si>
  <si>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</si>
  <si>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</si>
  <si>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</si>
  <si>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</si>
  <si>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</si>
  <si>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</si>
  <si>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</si>
  <si>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</si>
  <si>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</si>
  <si>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</si>
  <si>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</si>
  <si>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</si>
  <si>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</si>
  <si>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</si>
  <si>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</si>
  <si>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</si>
  <si>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</si>
  <si>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</si>
  <si>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</si>
  <si>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</si>
  <si>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</si>
  <si>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</si>
  <si>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</si>
  <si>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</si>
  <si>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</si>
  <si>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</si>
  <si>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</si>
  <si>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</si>
  <si>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</si>
  <si>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</si>
  <si>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</si>
  <si>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</si>
  <si>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</si>
  <si>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</si>
  <si>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</si>
  <si>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</si>
  <si>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</si>
  <si>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</si>
  <si>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</si>
  <si>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</si>
  <si>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</si>
  <si>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</si>
  <si>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</si>
  <si>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</si>
  <si>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</si>
  <si>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</si>
  <si>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</si>
  <si>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</si>
  <si>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</si>
  <si>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</si>
  <si>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</si>
  <si>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</si>
  <si>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</si>
  <si>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</si>
  <si>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</si>
  <si>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</si>
  <si>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</si>
  <si>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</si>
  <si>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</si>
  <si>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</si>
  <si>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</si>
  <si>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</si>
  <si>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</si>
  <si>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</si>
  <si>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</si>
  <si>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</si>
  <si>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</si>
  <si>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</si>
  <si>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</si>
  <si>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</si>
  <si>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</si>
  <si>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</si>
  <si>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</si>
  <si>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</si>
  <si>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</si>
  <si>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</si>
  <si>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</si>
  <si>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</si>
  <si>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</si>
  <si>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</si>
  <si>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</si>
  <si>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</si>
  <si>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</si>
  <si>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</si>
  <si>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</si>
  <si>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</si>
  <si>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</si>
  <si>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</si>
  <si>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</si>
  <si>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</si>
  <si>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</si>
  <si>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</si>
  <si>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</si>
  <si>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</si>
  <si>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</si>
  <si>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</si>
  <si>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</si>
  <si>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</si>
  <si>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</si>
  <si>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</si>
  <si>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</si>
  <si>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</si>
  <si>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</si>
  <si>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</si>
  <si>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</si>
  <si>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</si>
  <si>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</si>
  <si>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</si>
  <si>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</si>
  <si>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</si>
  <si>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</si>
  <si>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</si>
  <si>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</si>
  <si>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</si>
  <si>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</si>
  <si>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</si>
  <si>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</si>
  <si>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</si>
  <si>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</si>
  <si>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</si>
  <si>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</si>
  <si>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</si>
  <si>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</si>
  <si>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</si>
  <si>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</si>
  <si>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</si>
  <si>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</si>
  <si>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</si>
  <si>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</si>
  <si>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</si>
  <si>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</si>
  <si>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</si>
  <si>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</si>
  <si>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</si>
  <si>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</si>
  <si>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</si>
  <si>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</si>
  <si>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</si>
  <si>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</si>
  <si>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</si>
  <si>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</si>
  <si>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</si>
  <si>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</si>
  <si>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</si>
  <si>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</si>
  <si>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</si>
  <si>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</si>
  <si>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</si>
  <si>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</si>
  <si>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</si>
  <si>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</si>
  <si>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</si>
  <si>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</si>
  <si>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</si>
  <si>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</si>
  <si>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</si>
  <si>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</si>
  <si>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</si>
  <si>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</si>
  <si>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</si>
  <si>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</si>
  <si>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</si>
  <si>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</si>
  <si>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</si>
  <si>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</si>
  <si>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</si>
  <si>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</si>
  <si>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</si>
  <si>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</si>
  <si>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</si>
  <si>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</si>
  <si>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</si>
  <si>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</si>
  <si>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</si>
  <si>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</si>
  <si>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</si>
  <si>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</si>
  <si>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</si>
  <si>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</si>
  <si>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</si>
  <si>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</si>
  <si>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</si>
  <si>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</si>
  <si>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</si>
  <si>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</si>
  <si>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</si>
  <si>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</si>
  <si>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</si>
  <si>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</si>
  <si>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</si>
  <si>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</si>
  <si>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</si>
  <si>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</si>
  <si>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</si>
  <si>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</si>
  <si>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</si>
  <si>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</si>
  <si>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</si>
  <si>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</si>
  <si>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</si>
  <si>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</si>
  <si>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</si>
  <si>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</si>
  <si>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</si>
  <si>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</si>
  <si>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</si>
  <si>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</si>
  <si>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</si>
  <si>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</si>
  <si>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</si>
  <si>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</si>
  <si>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</si>
  <si>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</si>
  <si>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</si>
  <si>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</si>
  <si>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</si>
  <si>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</si>
  <si>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</si>
  <si>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</si>
  <si>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</si>
  <si>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</si>
  <si>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</si>
  <si>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</si>
  <si>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</si>
  <si>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</si>
  <si>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</si>
  <si>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</si>
  <si>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</si>
  <si>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</si>
  <si>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</si>
  <si>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</si>
  <si>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</si>
  <si>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</si>
  <si>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</si>
  <si>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</si>
  <si>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</si>
  <si>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</si>
  <si>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</si>
  <si>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</si>
  <si>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</si>
  <si>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</si>
  <si>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</si>
  <si>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</si>
  <si>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</si>
  <si>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</si>
  <si>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</si>
  <si>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</si>
  <si>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</si>
  <si>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</si>
  <si>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</si>
  <si>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</si>
  <si>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</si>
  <si>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</si>
  <si>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</si>
  <si>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</si>
  <si>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</si>
  <si>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</si>
  <si>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</si>
  <si>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</si>
  <si>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</si>
  <si>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</si>
  <si>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</si>
  <si>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</si>
  <si>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</si>
  <si>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</si>
  <si>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</si>
  <si>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</si>
  <si>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</si>
  <si>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</si>
  <si>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</si>
  <si>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</si>
  <si>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</si>
  <si>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</si>
  <si>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</si>
  <si>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</si>
  <si>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</si>
  <si>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</si>
  <si>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</si>
  <si>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</si>
  <si>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</si>
  <si>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</si>
  <si>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</si>
  <si>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</si>
  <si>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</si>
  <si>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</si>
  <si>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</si>
  <si>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</si>
  <si>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</si>
  <si>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</si>
  <si>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</si>
  <si>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</si>
  <si>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</si>
  <si>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</si>
  <si>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</si>
  <si>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</si>
  <si>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</si>
  <si>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</si>
  <si>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</si>
  <si>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</si>
  <si>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</si>
  <si>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</si>
  <si>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</si>
  <si>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</si>
  <si>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</si>
  <si>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</si>
  <si>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</si>
  <si>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</si>
  <si>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</si>
  <si>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</si>
  <si>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</si>
  <si>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</si>
  <si>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</si>
  <si>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</si>
  <si>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</si>
  <si>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</si>
  <si>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</si>
  <si>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</si>
  <si>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</si>
  <si>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</si>
  <si>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</si>
  <si>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</si>
  <si>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</si>
  <si>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</si>
  <si>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</si>
  <si>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</si>
  <si>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</si>
  <si>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</si>
  <si>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</si>
  <si>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</si>
  <si>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</si>
  <si>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</si>
  <si>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</si>
  <si>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</si>
  <si>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</si>
  <si>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</si>
  <si>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</si>
  <si>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</si>
  <si>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</si>
  <si>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</si>
  <si>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</si>
  <si>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</si>
  <si>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</si>
  <si>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</si>
  <si>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</si>
  <si>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</si>
  <si>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</si>
  <si>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</si>
  <si>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</si>
  <si>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</si>
  <si>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</si>
  <si>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</si>
  <si>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</si>
  <si>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</si>
  <si>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</si>
  <si>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</si>
  <si>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</si>
  <si>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</si>
  <si>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</si>
  <si>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</si>
  <si>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</si>
  <si>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</si>
  <si>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</si>
  <si>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</si>
  <si>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</si>
  <si>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</si>
  <si>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</si>
  <si>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</si>
  <si>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</si>
  <si>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</si>
  <si>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</si>
  <si>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</si>
  <si>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</si>
  <si>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</si>
  <si>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</si>
  <si>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</si>
  <si>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</si>
  <si>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</si>
  <si>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</si>
  <si>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</si>
  <si>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</si>
  <si>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</si>
  <si>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</si>
  <si>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</si>
  <si>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</si>
  <si>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</si>
  <si>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</si>
  <si>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</si>
  <si>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</si>
  <si>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</si>
  <si>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</si>
  <si>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</si>
  <si>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</si>
  <si>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</si>
  <si>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</si>
  <si>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</si>
  <si>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</si>
  <si>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</si>
  <si>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</si>
  <si>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</si>
  <si>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</si>
  <si>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</si>
  <si>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</si>
  <si>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</si>
  <si>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</si>
  <si>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</si>
  <si>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</si>
  <si>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</si>
  <si>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</si>
  <si>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</si>
  <si>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</si>
  <si>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</si>
  <si>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</si>
  <si>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</si>
  <si>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</si>
  <si>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</si>
  <si>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</si>
  <si>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</si>
  <si>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</si>
  <si>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</si>
  <si>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</si>
  <si>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</si>
  <si>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</si>
  <si>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</si>
  <si>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</si>
  <si>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</si>
  <si>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</si>
  <si>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</si>
  <si>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</si>
  <si>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</si>
  <si>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</si>
  <si>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</si>
  <si>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</si>
  <si>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</si>
  <si>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</si>
  <si>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</si>
  <si>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</si>
  <si>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</si>
  <si>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</si>
  <si>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</si>
  <si>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</si>
  <si>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</si>
  <si>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</si>
  <si>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</si>
  <si>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</si>
  <si>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</si>
  <si>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</si>
  <si>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</si>
  <si>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</si>
  <si>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</si>
  <si>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</si>
  <si>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</si>
  <si>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</si>
  <si>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</si>
  <si>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</si>
  <si>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</si>
  <si>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</si>
  <si>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</si>
  <si>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</si>
  <si>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</si>
  <si>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</si>
  <si>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</si>
  <si>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</si>
  <si>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</si>
  <si>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</si>
  <si>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</si>
  <si>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</si>
  <si>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</si>
  <si>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</si>
  <si>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</si>
  <si>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</si>
  <si>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</si>
  <si>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</si>
  <si>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</si>
  <si>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</si>
  <si>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</si>
  <si>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</si>
  <si>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</si>
  <si>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</si>
  <si>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</si>
  <si>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</si>
  <si>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</si>
  <si>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</si>
  <si>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</si>
  <si>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</si>
  <si>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</si>
  <si>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</si>
  <si>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</si>
  <si>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</si>
  <si>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</si>
  <si>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</si>
  <si>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</si>
  <si>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</si>
  <si>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</si>
  <si>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</si>
  <si>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</si>
  <si>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</si>
  <si>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</si>
  <si>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</si>
  <si>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</si>
  <si>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</si>
  <si>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</si>
  <si>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</si>
  <si>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</si>
  <si>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</si>
  <si>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</si>
  <si>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</si>
  <si>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</si>
  <si>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</si>
  <si>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</si>
  <si>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</si>
  <si>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</si>
  <si>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</si>
  <si>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</si>
  <si>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</si>
  <si>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</si>
  <si>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</si>
  <si>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</si>
  <si>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</si>
  <si>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</si>
  <si>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</si>
  <si>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</si>
  <si>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</si>
  <si>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</si>
  <si>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</si>
  <si>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</si>
  <si>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</si>
  <si>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</si>
  <si>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</si>
  <si>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</si>
  <si>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</si>
  <si>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</si>
  <si>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</si>
  <si>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</si>
  <si>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</si>
  <si>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</si>
  <si>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</si>
  <si>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</si>
  <si>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</si>
  <si>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</si>
  <si>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</si>
  <si>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</si>
  <si>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</si>
  <si>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</si>
  <si>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</si>
  <si>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</si>
  <si>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</si>
  <si>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</si>
  <si>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</si>
  <si>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</si>
  <si>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</si>
  <si>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</si>
  <si>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</si>
  <si>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</si>
  <si>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</si>
  <si>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</si>
  <si>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</si>
  <si>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</si>
  <si>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</si>
  <si>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</si>
  <si>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</si>
  <si>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</si>
  <si>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</si>
  <si>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</si>
  <si>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</si>
  <si>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</si>
  <si>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</si>
  <si>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</si>
  <si>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</si>
  <si>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</si>
  <si>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</si>
  <si>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</si>
  <si>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</si>
  <si>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</si>
  <si>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</si>
  <si>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</si>
  <si>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</si>
  <si>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</si>
  <si>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</si>
  <si>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</si>
  <si>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</si>
  <si>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</si>
  <si>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</si>
  <si>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</si>
  <si>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</si>
  <si>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</si>
  <si>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</si>
  <si>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</si>
  <si>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</si>
  <si>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</si>
  <si>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</si>
  <si>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</si>
  <si>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</si>
  <si>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</si>
  <si>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</si>
  <si>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</si>
  <si>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</si>
  <si>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</si>
  <si>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</si>
  <si>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</si>
  <si>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</si>
  <si>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</si>
  <si>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</si>
  <si>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</si>
  <si>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</si>
  <si>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</si>
  <si>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</si>
  <si>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</si>
  <si>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</si>
  <si>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</si>
  <si>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</si>
  <si>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</si>
  <si>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</si>
  <si>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</si>
  <si>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</si>
  <si>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</si>
  <si>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</si>
  <si>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</si>
  <si>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</si>
  <si>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</si>
  <si>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</si>
  <si>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</si>
  <si>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</si>
  <si>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</si>
  <si>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</si>
  <si>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</si>
  <si>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</si>
  <si>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</si>
  <si>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</si>
  <si>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</si>
  <si>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</si>
  <si>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</si>
  <si>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</si>
  <si>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</si>
  <si>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</si>
  <si>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</si>
  <si>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</si>
  <si>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</si>
  <si>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</si>
  <si>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</si>
  <si>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</si>
  <si>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</si>
  <si>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</si>
  <si>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</si>
  <si>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</si>
  <si>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</si>
  <si>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</si>
  <si>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</si>
  <si>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</si>
  <si>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</si>
  <si>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</si>
  <si>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</si>
  <si>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</si>
  <si>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</si>
  <si>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</si>
  <si>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</si>
  <si>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</si>
  <si>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</si>
  <si>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</si>
  <si>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</si>
  <si>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</si>
  <si>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</si>
  <si>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</si>
  <si>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</si>
  <si>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</si>
  <si>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</si>
  <si>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</si>
  <si>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</si>
  <si>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</si>
  <si>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</si>
  <si>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</si>
  <si>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</si>
  <si>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</si>
  <si>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</si>
  <si>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</si>
  <si>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</si>
  <si>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</si>
  <si>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</si>
  <si>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</si>
  <si>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</si>
  <si>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</si>
  <si>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</si>
  <si>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</si>
  <si>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</si>
  <si>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</si>
  <si>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</si>
  <si>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</si>
  <si>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</si>
  <si>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</si>
  <si>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</si>
  <si>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</si>
  <si>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</si>
  <si>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</si>
  <si>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</si>
  <si>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</si>
  <si>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</si>
  <si>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</si>
  <si>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</si>
  <si>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</si>
  <si>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</si>
  <si>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</si>
  <si>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</si>
  <si>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</si>
  <si>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</si>
  <si>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</si>
  <si>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</si>
  <si>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</si>
  <si>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</si>
  <si>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</si>
  <si>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</si>
  <si>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</si>
  <si>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</si>
  <si>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</si>
  <si>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</si>
  <si>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</si>
  <si>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</si>
  <si>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</si>
  <si>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</si>
  <si>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</si>
  <si>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</si>
  <si>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</si>
  <si>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</si>
  <si>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</si>
  <si>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</si>
  <si>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</si>
  <si>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</si>
  <si>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</si>
  <si>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</si>
  <si>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</si>
  <si>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</si>
  <si>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</si>
  <si>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</si>
  <si>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</si>
  <si>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</si>
  <si>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</si>
  <si>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</si>
  <si>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</si>
  <si>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</si>
  <si>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</si>
  <si>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</si>
  <si>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</si>
  <si>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</si>
  <si>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</si>
  <si>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</si>
  <si>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</si>
  <si>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</si>
  <si>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</si>
  <si>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</si>
  <si>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</si>
  <si>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</si>
  <si>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</si>
  <si>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</si>
  <si>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</si>
  <si>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</si>
  <si>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</si>
  <si>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</si>
  <si>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</si>
  <si>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</si>
  <si>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</si>
  <si>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</si>
  <si>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</si>
  <si>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</si>
  <si>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</si>
  <si>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</si>
  <si>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</si>
  <si>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</si>
  <si>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</si>
  <si>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</si>
  <si>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</si>
  <si>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</si>
  <si>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</si>
  <si>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</si>
  <si>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</si>
  <si>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</si>
  <si>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</si>
  <si>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</si>
  <si>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</si>
  <si>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</si>
  <si>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</si>
  <si>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</si>
  <si>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</si>
  <si>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</si>
  <si>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</si>
  <si>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</si>
  <si>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</si>
  <si>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</si>
  <si>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</si>
  <si>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</si>
  <si>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</si>
  <si>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</si>
  <si>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</si>
  <si>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</si>
  <si>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</si>
  <si>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</si>
  <si>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</si>
  <si>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</si>
  <si>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</si>
  <si>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</si>
  <si>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</si>
  <si>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</si>
  <si>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</si>
  <si>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</si>
  <si>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</si>
  <si>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</si>
  <si>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</si>
  <si>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</si>
  <si>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</si>
  <si>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</si>
  <si>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</si>
  <si>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</si>
  <si>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</si>
  <si>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</si>
  <si>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</si>
  <si>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</si>
  <si>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</si>
  <si>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</si>
  <si>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</si>
  <si>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</si>
  <si>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</si>
  <si>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</si>
  <si>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</si>
  <si>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</si>
  <si>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</si>
  <si>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</si>
  <si>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</si>
  <si>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</si>
  <si>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</si>
  <si>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</si>
  <si>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</si>
  <si>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</si>
  <si>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</si>
  <si>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</si>
  <si>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</si>
  <si>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</si>
  <si>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</si>
  <si>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</si>
  <si>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</si>
  <si>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</si>
  <si>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</si>
  <si>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</si>
  <si>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</si>
  <si>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</si>
  <si>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</si>
  <si>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</si>
  <si>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</si>
  <si>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</si>
  <si>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</si>
  <si>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</si>
  <si>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</si>
  <si>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</si>
  <si>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</si>
  <si>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</si>
  <si>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</si>
  <si>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</si>
  <si>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</si>
  <si>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</si>
  <si>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</si>
  <si>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</si>
  <si>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</si>
  <si>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</si>
  <si>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</si>
  <si>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</si>
  <si>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</si>
  <si>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</si>
  <si>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</si>
  <si>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</si>
  <si>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</si>
  <si>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</si>
  <si>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</si>
  <si>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</si>
  <si>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</si>
  <si>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</si>
  <si>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</si>
  <si>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</si>
  <si>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</si>
  <si>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</si>
  <si>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</si>
  <si>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</si>
  <si>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</si>
  <si>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</si>
  <si>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</si>
  <si>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</si>
  <si>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</si>
  <si>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</si>
  <si>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</si>
  <si>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</si>
  <si>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</si>
  <si>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</si>
  <si>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</si>
  <si>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</si>
  <si>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</si>
  <si>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</si>
  <si>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</si>
  <si>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</si>
  <si>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</si>
  <si>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</si>
  <si>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</si>
  <si>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</si>
  <si>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</si>
  <si>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</si>
  <si>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</si>
  <si>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</si>
  <si>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</si>
  <si>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</si>
  <si>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</si>
  <si>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</si>
  <si>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</si>
  <si>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</si>
  <si>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</si>
  <si>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</si>
  <si>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</si>
  <si>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</si>
  <si>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</si>
  <si>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</si>
  <si>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</si>
  <si>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</si>
  <si>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</si>
  <si>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</si>
  <si>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</si>
  <si>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</si>
  <si>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</si>
  <si>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</si>
  <si>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</si>
  <si>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</si>
  <si>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</si>
  <si>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</si>
  <si>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</si>
  <si>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</si>
  <si>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</si>
  <si>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</si>
  <si>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</si>
  <si>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</si>
  <si>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</si>
  <si>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</si>
  <si>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</si>
  <si>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</si>
  <si>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</si>
  <si>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</si>
  <si>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</si>
  <si>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</si>
  <si>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</si>
  <si>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</si>
  <si>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</si>
  <si>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</si>
  <si>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</si>
  <si>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</si>
  <si>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</si>
  <si>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</si>
  <si>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</si>
  <si>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</si>
  <si>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</si>
  <si>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</si>
  <si>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</si>
  <si>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</si>
  <si>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</si>
  <si>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</si>
  <si>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</si>
  <si>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</si>
  <si>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</si>
  <si>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</si>
  <si>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</si>
  <si>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</si>
  <si>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</si>
  <si>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</si>
  <si>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</si>
  <si>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</si>
  <si>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</si>
  <si>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</si>
  <si>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</si>
  <si>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</si>
  <si>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</si>
  <si>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</si>
  <si>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</si>
  <si>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</si>
  <si>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</si>
  <si>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</si>
  <si>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</si>
  <si>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</si>
  <si>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</si>
  <si>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</si>
  <si>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</si>
  <si>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</si>
  <si>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</si>
  <si>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</si>
  <si>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</si>
  <si>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</si>
  <si>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</si>
  <si>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</si>
  <si>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</si>
  <si>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</si>
  <si>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</si>
  <si>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</si>
  <si>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</si>
  <si>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</si>
  <si>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</si>
  <si>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</si>
  <si>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</si>
  <si>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</si>
  <si>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</si>
  <si>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</si>
  <si>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</si>
  <si>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</si>
  <si>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</si>
  <si>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</si>
  <si>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</si>
  <si>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</si>
  <si>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</si>
  <si>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</si>
  <si>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</si>
  <si>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</si>
  <si>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</si>
  <si>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</si>
  <si>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</si>
  <si>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</si>
  <si>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</si>
  <si>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</si>
  <si>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</si>
  <si>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</si>
  <si>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</si>
  <si>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</si>
  <si>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</si>
  <si>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</si>
  <si>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</si>
  <si>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</si>
  <si>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</si>
  <si>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</si>
  <si>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</si>
  <si>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</si>
  <si>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</si>
  <si>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</si>
  <si>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</si>
  <si>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</si>
  <si>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</si>
  <si>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</si>
  <si>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</si>
  <si>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</si>
  <si>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</si>
  <si>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</si>
  <si>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</si>
  <si>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</si>
  <si>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</si>
  <si>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</si>
  <si>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</si>
  <si>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</si>
  <si>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</si>
  <si>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</si>
  <si>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</si>
  <si>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</si>
  <si>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</si>
  <si>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</si>
  <si>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</si>
  <si>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</si>
  <si>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</si>
  <si>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</si>
  <si>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</si>
  <si>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</si>
  <si>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</si>
  <si>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</si>
  <si>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</si>
  <si>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</si>
  <si>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</si>
  <si>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</si>
  <si>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</si>
  <si>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</si>
  <si>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</si>
  <si>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</si>
  <si>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</si>
  <si>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</si>
  <si>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</si>
  <si>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</si>
  <si>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</si>
  <si>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</si>
  <si>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</si>
  <si>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</si>
  <si>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</si>
  <si>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</si>
  <si>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</si>
  <si>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</si>
  <si>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</si>
  <si>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</si>
  <si>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</si>
  <si>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</si>
  <si>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</si>
  <si>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</si>
  <si>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</si>
  <si>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</si>
  <si>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</si>
  <si>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</si>
  <si>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</si>
  <si>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</si>
  <si>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</si>
  <si>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</si>
  <si>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</si>
  <si>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</si>
  <si>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</si>
  <si>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</si>
  <si>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</si>
  <si>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</si>
  <si>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</si>
  <si>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</si>
  <si>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</si>
  <si>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</si>
  <si>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</si>
  <si>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</si>
  <si>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</si>
  <si>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</si>
  <si>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</si>
  <si>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</si>
  <si>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</si>
  <si>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</si>
  <si>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</si>
  <si>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</si>
  <si>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</si>
  <si>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</si>
  <si>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</si>
  <si>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</si>
  <si>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</si>
  <si>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</si>
  <si>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</si>
  <si>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</si>
  <si>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</si>
  <si>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</si>
  <si>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</si>
  <si>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</si>
  <si>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</si>
  <si>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</si>
  <si>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</si>
  <si>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</si>
  <si>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</si>
  <si>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</si>
  <si>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</si>
  <si>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</si>
  <si>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</si>
  <si>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</si>
  <si>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</si>
  <si>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</si>
  <si>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</si>
  <si>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</si>
  <si>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</si>
  <si>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</si>
  <si>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</si>
  <si>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</si>
  <si>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</si>
  <si>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</si>
  <si>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</si>
  <si>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</si>
  <si>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</si>
  <si>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</si>
  <si>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</si>
  <si>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</si>
  <si>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</si>
  <si>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</si>
  <si>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</si>
  <si>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</si>
  <si>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</si>
  <si>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</si>
  <si>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</si>
  <si>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</si>
  <si>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</si>
  <si>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</si>
  <si>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</si>
  <si>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</si>
  <si>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</si>
  <si>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</si>
  <si>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</si>
  <si>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</si>
  <si>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</si>
  <si>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</si>
  <si>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</si>
  <si>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</si>
  <si>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</si>
  <si>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</si>
  <si>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</si>
  <si>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</si>
  <si>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</si>
  <si>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</si>
  <si>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</si>
  <si>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</si>
  <si>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</si>
  <si>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</si>
  <si>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</si>
  <si>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</si>
  <si>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</si>
  <si>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</si>
  <si>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</si>
  <si>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</si>
  <si>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</si>
  <si>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</si>
  <si>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</si>
  <si>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</si>
  <si>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</si>
  <si>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</si>
  <si>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</si>
  <si>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</si>
  <si>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</si>
  <si>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</si>
  <si>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</si>
  <si>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</si>
  <si>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</si>
  <si>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</si>
  <si>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</si>
  <si>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</si>
  <si>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</si>
  <si>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</si>
  <si>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</si>
  <si>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</si>
  <si>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</si>
  <si>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</si>
  <si>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</si>
  <si>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53-090-0980-02</t>
  </si>
  <si>
    <t>Tazewell</t>
  </si>
  <si>
    <t>Rankin Community School District No. 98</t>
  </si>
  <si>
    <t>13716 South 5th Street</t>
  </si>
  <si>
    <t>Pekin</t>
  </si>
  <si>
    <t>mgordon@rankin98.org</t>
  </si>
  <si>
    <t>x</t>
  </si>
  <si>
    <t>Matt Gordon</t>
  </si>
  <si>
    <t>Russell J. Rumbold II, CPA</t>
  </si>
  <si>
    <t>rrumbold@gorenzcpa.com</t>
  </si>
  <si>
    <t>2015 Series A Bond</t>
  </si>
  <si>
    <t>2015 Series B Bond</t>
  </si>
  <si>
    <t>2015 Working Cash Bond</t>
  </si>
  <si>
    <t>2017 Building Bond</t>
  </si>
  <si>
    <t>TMCSEA</t>
  </si>
  <si>
    <t>Baby Fold</t>
  </si>
  <si>
    <t>Nextra Energy</t>
  </si>
  <si>
    <t>2018-001</t>
  </si>
  <si>
    <t>Unresolved - See Finding 2019-001</t>
  </si>
  <si>
    <t>2018-002</t>
  </si>
  <si>
    <t>Unresolved - See Finding 2019-002</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</si>
  <si>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</si>
  <si>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</si>
  <si>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</si>
  <si>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</si>
  <si>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</si>
  <si>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</si>
  <si>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</si>
  <si>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</si>
  <si>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</si>
  <si>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</si>
  <si>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In accordance with prescribed definitions in AU-C 265, it is a strong indication of a significant deficiency in internal control if an entity lacks sufficient controls over the period-end financial reporting process. The standard provides guidance regarding the extent to which the auditor may be involved in drafting an entity's financial statements.</t>
  </si>
  <si>
    <t>The District should review the additional cost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</si>
  <si>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Management will review, approve, and take responsibility for the financial statements.</t>
  </si>
  <si>
    <t>Matt Gordon, Superintendent</t>
  </si>
  <si>
    <t xml:space="preserve">Management is currently confident with the abilities of the accounting staff to prepare </t>
  </si>
  <si>
    <t>interim financial statements. The District has also accepted the additional risk associated</t>
  </si>
  <si>
    <t>with the auditor drafting the year-end financial statements, including the notes to the</t>
  </si>
  <si>
    <t>financial statements.</t>
  </si>
  <si>
    <t>financial statements. Management will review, approve, and take responsibility for the</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</si>
  <si>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</si>
  <si>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</si>
  <si>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a limited number of employees.</t>
  </si>
  <si>
    <t>The District will take the auditor's recommendation under consideration; however, the District has determined that the current internal control system is acceptable.</t>
  </si>
  <si>
    <t>A limited number of employees have the primary responsibility for performing most of the accounting and financial duties including key functions of recording, reconciling, and reporting cash transactions. This structure reduces certain aspects of the internal control structure which rely on adequate segregation of duties.</t>
  </si>
  <si>
    <t>The District will continue to monitor their internal control system. Management oversight and other mitigating controls have lowered risks associated with inadequate segregation of duties. Assessment of internal controls will be performed annually.</t>
  </si>
  <si>
    <t>June 30, 2020</t>
  </si>
  <si>
    <t>The Board of Education has determined that the current internal control system is</t>
  </si>
  <si>
    <t>acceptable, providing a tolerable amount of risk.</t>
  </si>
  <si>
    <t>The District will continue to record all financial data in the most accurate way possible; while continuing to investigate their financial ability to hire personnel with the education and skills to prepare annual financial statements and related footnote disclosures in accordance with the regulatory cash basis of accounting.</t>
  </si>
  <si>
    <t>Inadequate segregation of duties increases the risk of misstatements in the financial statements.</t>
  </si>
  <si>
    <t>Limited funding currently precludes the hiring of additional staff.</t>
  </si>
  <si>
    <t>Part C - 20 - See Findings 2019-001 and 2019-002.</t>
  </si>
  <si>
    <t>South Pekin Grade School, Spring Lake Grade School</t>
  </si>
  <si>
    <t>ED-Instruction-Other</t>
  </si>
  <si>
    <t>ED-Oper. &amp; Maint. Plant Services-Supplies</t>
  </si>
  <si>
    <t>10-2540-400</t>
  </si>
  <si>
    <t>Page 10, Line 107 -</t>
  </si>
  <si>
    <t>Operations and Maintenance Fund - Misc. Refunds</t>
  </si>
  <si>
    <t>Educational Fund - Jury Duty, Misc. Reimbursements, and Sale of Supplies</t>
  </si>
  <si>
    <t>Page 15, Line 41 - Vision/Hearing Services, and Student of the Month Awards</t>
  </si>
  <si>
    <t>Page 18, Line 171 - Bond Service Fees</t>
  </si>
  <si>
    <t>GORENZ AND ASSOCIATES, LTD.</t>
  </si>
  <si>
    <t>ED-General Admin-Purch. Serv.</t>
  </si>
  <si>
    <t>10-2300-300</t>
  </si>
  <si>
    <t>James Unland</t>
  </si>
  <si>
    <t>Page 12, Line 180 - REAP Grant ($28,609)</t>
  </si>
  <si>
    <t>Page 13, Line 203 - School Improvement &amp; Accountability Grant</t>
  </si>
  <si>
    <t>Expertise to Prepare Financial Statements</t>
  </si>
  <si>
    <t>Segregation of Duties</t>
  </si>
  <si>
    <t>The Board should take steps it considers necessary to limit the risks that a lack of segregation of duties presents; such as, but not limited to, hiring additional staff.</t>
  </si>
  <si>
    <t>The District prepares interim financial reports using software specifically designed for school district financial reporting. These interim reports are reviewed and approved by the District's Board of Education. For year-end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t>
  </si>
  <si>
    <t>Lack of sufficient expertise for full disclosure year-end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</si>
  <si>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year-end financial statements is not an assigned function for District accounting staff.</t>
  </si>
  <si>
    <t>The District prepares interim financial reports using software specifically designed for school district financial reporting. For year-end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t>
  </si>
  <si>
    <t>See PDF version</t>
  </si>
  <si>
    <t>Rankin CSD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</si>
</sst>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4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55" fillId="0" borderId="0" xfId="3" applyFont="1" applyAlignment="1">
      <alignment horizontal="center" vertical="center"/>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0"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1" fillId="0" borderId="0" xfId="3" applyFont="1" applyAlignment="1">
      <alignment horizontal="left"/>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2" fillId="0" borderId="0" xfId="3" applyFont="1" applyAlignment="1">
      <alignment horizontal="left"/>
    </xf>
    <xf numFmtId="0" fontId="12" fillId="0" borderId="0" xfId="3" applyFont="1" applyAlignment="1">
      <alignment horizontal="left"/>
    </xf>
    <xf numFmtId="0" fontId="37" fillId="0" borderId="0" xfId="3" applyFont="1"/>
    <xf numFmtId="0" fontId="142" fillId="0" borderId="0" xfId="3" applyFont="1"/>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4" xfId="3" applyFont="1" applyBorder="1"/>
    <xf numFmtId="0" fontId="58" fillId="0" borderId="144" xfId="3" applyFont="1" applyBorder="1"/>
    <xf numFmtId="0" fontId="58" fillId="0" borderId="144"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4" xfId="3" quotePrefix="1" applyFont="1" applyBorder="1" applyAlignment="1">
      <alignment horizontal="left"/>
    </xf>
    <xf numFmtId="0" fontId="56" fillId="0" borderId="144" xfId="3" applyFont="1" applyBorder="1"/>
    <xf numFmtId="0" fontId="56" fillId="0" borderId="144" xfId="3" applyFont="1" applyBorder="1" applyAlignment="1">
      <alignment horizontal="center"/>
    </xf>
    <xf numFmtId="8" fontId="58" fillId="0" borderId="0" xfId="3" applyNumberFormat="1" applyFont="1" applyAlignment="1">
      <alignment horizontal="left"/>
    </xf>
    <xf numFmtId="0" fontId="65" fillId="0" borderId="144" xfId="3" applyFont="1" applyBorder="1"/>
    <xf numFmtId="0" fontId="65" fillId="0" borderId="144"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0" fontId="11" fillId="0" borderId="0" xfId="3" applyAlignment="1" applyProtection="1">
      <alignment horizontal="left"/>
      <protection locked="0"/>
    </xf>
    <xf numFmtId="0" fontId="11" fillId="0" borderId="0" xfId="3" applyAlignment="1" applyProtection="1">
      <alignment wrapText="1"/>
      <protection locked="0"/>
    </xf>
    <xf numFmtId="14" fontId="11" fillId="0" borderId="0" xfId="3" quotePrefix="1" applyNumberFormat="1" applyAlignment="1" applyProtection="1">
      <alignment horizontal="left" indent="2"/>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14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0</xdr:row>
          <xdr:rowOff>147204</xdr:rowOff>
        </xdr:from>
        <xdr:to>
          <xdr:col>1</xdr:col>
          <xdr:colOff>2053936</xdr:colOff>
          <xdr:row>5</xdr:row>
          <xdr:rowOff>20781</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1400-000002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48F3DEED-B487-4AA0-A974-DC30D5CA3BD6}"/>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B2E7199-7736-4B62-9973-AFBC3BD64356}"/>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A4489BEE-84ED-450F-B406-E47AC7F1EF96}"/>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88039C9D-E899-45DA-9F74-6BD4F4B056D7}"/>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B388AFFF-823D-4A11-9325-F7B826AC179D}"/>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305000B7-E5FC-4B66-B64F-68B9C7811169}"/>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BBA5FED0-DCCA-4507-A14A-8F4283E16CC5}"/>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991B176C-0742-4D5B-8F4E-8574726032DF}"/>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66" t="s">
        <v>405</v>
      </c>
      <c r="J1" s="2067"/>
      <c r="K1" s="2067"/>
      <c r="L1" s="2067"/>
      <c r="M1" s="2067"/>
      <c r="N1" s="2067"/>
      <c r="O1" s="2067"/>
      <c r="P1" s="2067"/>
      <c r="Q1" s="2067"/>
      <c r="R1" s="2067"/>
      <c r="S1" s="2067"/>
    </row>
    <row r="2" spans="1:28" ht="12" customHeight="1" x14ac:dyDescent="0.2">
      <c r="A2" s="47" t="s">
        <v>1993</v>
      </c>
      <c r="D2" s="48"/>
      <c r="I2" s="2068" t="s">
        <v>979</v>
      </c>
      <c r="J2" s="2067"/>
      <c r="K2" s="2067"/>
      <c r="L2" s="2067"/>
      <c r="M2" s="2067"/>
      <c r="N2" s="2067"/>
      <c r="O2" s="2067"/>
      <c r="P2" s="2067"/>
      <c r="Q2" s="2067"/>
      <c r="R2" s="2067"/>
      <c r="S2" s="2067"/>
    </row>
    <row r="3" spans="1:28" ht="12" customHeight="1" x14ac:dyDescent="0.2">
      <c r="A3" s="155" t="s">
        <v>1945</v>
      </c>
      <c r="B3" s="156"/>
      <c r="C3" s="156"/>
      <c r="D3" s="157"/>
      <c r="I3" s="2068" t="s">
        <v>52</v>
      </c>
      <c r="J3" s="2067"/>
      <c r="K3" s="2067"/>
      <c r="L3" s="2067"/>
      <c r="M3" s="2067"/>
      <c r="N3" s="2067"/>
      <c r="O3" s="2067"/>
      <c r="P3" s="2067"/>
      <c r="Q3" s="2067"/>
      <c r="R3" s="2067"/>
      <c r="S3" s="2067"/>
    </row>
    <row r="4" spans="1:28" ht="12" customHeight="1" x14ac:dyDescent="0.2">
      <c r="A4" s="37"/>
      <c r="I4" s="2068" t="s">
        <v>524</v>
      </c>
      <c r="J4" s="2067"/>
      <c r="K4" s="2067"/>
      <c r="L4" s="2067"/>
      <c r="M4" s="2067"/>
      <c r="N4" s="2067"/>
      <c r="O4" s="2067"/>
      <c r="P4" s="2067"/>
      <c r="Q4" s="2067"/>
      <c r="R4" s="2067"/>
      <c r="S4" s="2067"/>
    </row>
    <row r="5" spans="1:28" ht="14.1" customHeight="1" x14ac:dyDescent="0.2">
      <c r="B5" s="104" t="s">
        <v>2070</v>
      </c>
      <c r="C5" s="26" t="s">
        <v>910</v>
      </c>
      <c r="D5" s="84"/>
      <c r="E5" s="84"/>
      <c r="H5" s="38"/>
      <c r="I5" s="2075" t="s">
        <v>680</v>
      </c>
      <c r="J5" s="2020"/>
      <c r="K5" s="2020"/>
      <c r="L5" s="2020"/>
      <c r="M5" s="2020"/>
      <c r="N5" s="2020"/>
      <c r="O5" s="2020"/>
      <c r="P5" s="2020"/>
      <c r="Q5" s="2020"/>
      <c r="R5" s="2020"/>
      <c r="S5" s="2020"/>
    </row>
    <row r="6" spans="1:28" ht="14.1" customHeight="1" x14ac:dyDescent="0.2">
      <c r="B6" s="104"/>
      <c r="C6" s="26" t="s">
        <v>911</v>
      </c>
      <c r="D6" s="84"/>
      <c r="E6" s="84"/>
      <c r="I6" s="2074" t="s">
        <v>883</v>
      </c>
      <c r="J6" s="2020"/>
      <c r="K6" s="2020"/>
      <c r="L6" s="2020"/>
      <c r="M6" s="2020"/>
      <c r="N6" s="2020"/>
      <c r="O6" s="2020"/>
      <c r="P6" s="2020"/>
      <c r="Q6" s="2020"/>
      <c r="R6" s="2020"/>
      <c r="S6" s="2020"/>
    </row>
    <row r="7" spans="1:28" ht="12.2" customHeight="1" x14ac:dyDescent="0.2">
      <c r="I7" s="2069">
        <v>43646</v>
      </c>
      <c r="J7" s="2070"/>
      <c r="K7" s="2070"/>
      <c r="L7" s="2070"/>
      <c r="M7" s="2070"/>
      <c r="N7" s="2070"/>
      <c r="O7" s="2070"/>
      <c r="P7" s="2070"/>
      <c r="Q7" s="2070"/>
      <c r="R7" s="2070"/>
      <c r="S7" s="207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1" t="s">
        <v>674</v>
      </c>
      <c r="J9" s="2072"/>
      <c r="K9" s="2072"/>
      <c r="L9" s="2072"/>
      <c r="M9" s="2072"/>
      <c r="N9" s="2072"/>
      <c r="O9" s="2072"/>
      <c r="P9" s="2072"/>
      <c r="Q9" s="2072"/>
      <c r="R9" s="2072"/>
      <c r="S9" s="2073"/>
      <c r="T9" s="2016" t="s">
        <v>533</v>
      </c>
      <c r="U9" s="2017"/>
      <c r="V9" s="2017"/>
      <c r="W9" s="2017"/>
      <c r="X9" s="2017"/>
      <c r="Y9" s="2017"/>
      <c r="Z9" s="2017"/>
      <c r="AA9" s="2018"/>
    </row>
    <row r="10" spans="1:28" ht="13.5" customHeight="1" x14ac:dyDescent="0.2">
      <c r="A10" s="2025" t="s">
        <v>675</v>
      </c>
      <c r="B10" s="2026"/>
      <c r="C10" s="2026"/>
      <c r="D10" s="2026"/>
      <c r="E10" s="2026"/>
      <c r="F10" s="2026"/>
      <c r="G10" s="2026"/>
      <c r="H10" s="2027"/>
      <c r="I10" s="29"/>
      <c r="J10" s="30"/>
      <c r="K10" s="28"/>
      <c r="R10" s="30"/>
      <c r="S10" s="30"/>
      <c r="T10" s="2019"/>
      <c r="U10" s="2020"/>
      <c r="V10" s="2020"/>
      <c r="W10" s="2020"/>
      <c r="X10" s="2020"/>
      <c r="Y10" s="2020"/>
      <c r="Z10" s="2020"/>
      <c r="AA10" s="2021"/>
    </row>
    <row r="11" spans="1:28" ht="14.25" customHeight="1" x14ac:dyDescent="0.2">
      <c r="A11" s="2028" t="s">
        <v>955</v>
      </c>
      <c r="B11" s="2029"/>
      <c r="C11" s="2029"/>
      <c r="D11" s="2029"/>
      <c r="E11" s="2029"/>
      <c r="F11" s="2029"/>
      <c r="G11" s="2029"/>
      <c r="H11" s="2030"/>
      <c r="I11" s="27"/>
      <c r="J11" s="74"/>
      <c r="K11" s="27"/>
      <c r="O11" s="148" t="s">
        <v>2070</v>
      </c>
      <c r="P11" s="100" t="s">
        <v>201</v>
      </c>
      <c r="Q11" s="30"/>
      <c r="R11" s="28"/>
      <c r="S11" s="27"/>
      <c r="T11" s="2022"/>
      <c r="U11" s="2023"/>
      <c r="V11" s="2023"/>
      <c r="W11" s="2023"/>
      <c r="X11" s="2023"/>
      <c r="Y11" s="2023"/>
      <c r="Z11" s="2023"/>
      <c r="AA11" s="202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6">
        <v>53090098002</v>
      </c>
      <c r="B13" s="2037"/>
      <c r="C13" s="2037"/>
      <c r="D13" s="2037"/>
      <c r="E13" s="2037"/>
      <c r="F13" s="2037"/>
      <c r="G13" s="2037"/>
      <c r="H13" s="2038"/>
      <c r="I13" s="31"/>
      <c r="J13" s="30"/>
      <c r="K13" s="28"/>
      <c r="L13" s="30"/>
      <c r="M13" s="30"/>
      <c r="N13" s="30"/>
      <c r="O13" s="30"/>
      <c r="P13" s="30"/>
      <c r="Q13" s="30"/>
      <c r="R13" s="30"/>
      <c r="S13" s="30"/>
      <c r="T13" s="2041" t="s">
        <v>2072</v>
      </c>
      <c r="U13" s="2042"/>
      <c r="V13" s="2042"/>
      <c r="W13" s="2042"/>
      <c r="X13" s="2042"/>
      <c r="Y13" s="2043"/>
      <c r="Z13" s="2043"/>
      <c r="AA13" s="204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4" t="s">
        <v>2074</v>
      </c>
      <c r="B15" s="2039"/>
      <c r="C15" s="2039"/>
      <c r="D15" s="2039"/>
      <c r="E15" s="2039"/>
      <c r="F15" s="2039"/>
      <c r="G15" s="2039"/>
      <c r="H15" s="2040"/>
      <c r="T15" s="2002" t="s">
        <v>2081</v>
      </c>
      <c r="U15" s="2003"/>
      <c r="V15" s="2003"/>
      <c r="W15" s="2003"/>
      <c r="X15" s="2003"/>
      <c r="Y15" s="2045"/>
      <c r="Z15" s="2045"/>
      <c r="AA15" s="204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4" t="s">
        <v>2149</v>
      </c>
      <c r="B17" s="2064"/>
      <c r="C17" s="2064"/>
      <c r="D17" s="2064"/>
      <c r="E17" s="2064"/>
      <c r="F17" s="2064"/>
      <c r="G17" s="2064"/>
      <c r="H17" s="2065"/>
      <c r="T17" s="2051" t="s">
        <v>2064</v>
      </c>
      <c r="U17" s="2052"/>
      <c r="V17" s="2052"/>
      <c r="W17" s="2052"/>
      <c r="X17" s="2052"/>
      <c r="Y17" s="2052"/>
      <c r="Z17" s="2052"/>
      <c r="AA17" s="2053"/>
    </row>
    <row r="18" spans="1:27" ht="13.5" customHeight="1" x14ac:dyDescent="0.2">
      <c r="A18" s="85" t="s">
        <v>530</v>
      </c>
      <c r="B18" s="76"/>
      <c r="C18" s="72"/>
      <c r="D18" s="76"/>
      <c r="E18" s="76"/>
      <c r="F18" s="76"/>
      <c r="G18" s="76"/>
      <c r="H18" s="56"/>
      <c r="I18" s="2061" t="s">
        <v>676</v>
      </c>
      <c r="J18" s="2062"/>
      <c r="K18" s="2062"/>
      <c r="L18" s="2062"/>
      <c r="M18" s="2062"/>
      <c r="N18" s="2062"/>
      <c r="O18" s="2062"/>
      <c r="P18" s="2062"/>
      <c r="Q18" s="2062"/>
      <c r="R18" s="2062"/>
      <c r="S18" s="2063"/>
      <c r="T18" s="85" t="s">
        <v>711</v>
      </c>
      <c r="U18" s="51"/>
      <c r="V18" s="72"/>
      <c r="W18" s="50"/>
      <c r="X18" s="85" t="s">
        <v>266</v>
      </c>
      <c r="Y18" s="81"/>
      <c r="Z18" s="159" t="s">
        <v>677</v>
      </c>
      <c r="AA18" s="46"/>
    </row>
    <row r="19" spans="1:27" ht="13.5" customHeight="1" x14ac:dyDescent="0.2">
      <c r="A19" s="2034" t="s">
        <v>2076</v>
      </c>
      <c r="B19" s="2035"/>
      <c r="C19" s="2035"/>
      <c r="D19" s="2035"/>
      <c r="E19" s="2035"/>
      <c r="F19" s="2035"/>
      <c r="G19" s="2035"/>
      <c r="H19" s="2033"/>
      <c r="I19" s="30"/>
      <c r="J19" s="99"/>
      <c r="K19" s="40"/>
      <c r="L19" s="38"/>
      <c r="M19" s="112" t="s">
        <v>315</v>
      </c>
      <c r="P19" s="27"/>
      <c r="Q19" s="27"/>
      <c r="R19" s="27"/>
      <c r="S19" s="31"/>
      <c r="T19" s="2034" t="s">
        <v>2065</v>
      </c>
      <c r="U19" s="2032"/>
      <c r="V19" s="2032"/>
      <c r="W19" s="2033"/>
      <c r="X19" s="2049" t="s">
        <v>2066</v>
      </c>
      <c r="Y19" s="2050"/>
      <c r="Z19" s="2047">
        <v>61614</v>
      </c>
      <c r="AA19" s="204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31" t="s">
        <v>2077</v>
      </c>
      <c r="B21" s="2032"/>
      <c r="C21" s="2032"/>
      <c r="D21" s="2032"/>
      <c r="E21" s="2032"/>
      <c r="F21" s="2032"/>
      <c r="G21" s="2032"/>
      <c r="H21" s="2033"/>
      <c r="I21" s="2057" t="s">
        <v>678</v>
      </c>
      <c r="J21" s="2020"/>
      <c r="K21" s="2020"/>
      <c r="L21" s="2020"/>
      <c r="M21" s="2020"/>
      <c r="N21" s="2020"/>
      <c r="O21" s="2020"/>
      <c r="P21" s="2020"/>
      <c r="Q21" s="2020"/>
      <c r="R21" s="2020"/>
      <c r="S21" s="2021"/>
      <c r="T21" s="1999" t="s">
        <v>2067</v>
      </c>
      <c r="U21" s="2000"/>
      <c r="V21" s="2000"/>
      <c r="W21" s="2000"/>
      <c r="X21" s="2013" t="s">
        <v>2068</v>
      </c>
      <c r="Y21" s="2014"/>
      <c r="Z21" s="2014"/>
      <c r="AA21" s="2015"/>
    </row>
    <row r="22" spans="1:27" ht="13.5" customHeight="1" x14ac:dyDescent="0.2">
      <c r="A22" s="87" t="s">
        <v>531</v>
      </c>
      <c r="B22" s="59"/>
      <c r="C22" s="59"/>
      <c r="D22" s="59"/>
      <c r="E22" s="59"/>
      <c r="F22" s="59"/>
      <c r="G22" s="59"/>
      <c r="H22" s="60"/>
      <c r="I22" s="2058" t="s">
        <v>1429</v>
      </c>
      <c r="J22" s="2059"/>
      <c r="K22" s="2059"/>
      <c r="L22" s="2059"/>
      <c r="M22" s="2059"/>
      <c r="N22" s="2059"/>
      <c r="O22" s="2059"/>
      <c r="P22" s="2059"/>
      <c r="Q22" s="2059"/>
      <c r="R22" s="2059"/>
      <c r="S22" s="2060"/>
      <c r="T22" s="85" t="s">
        <v>1516</v>
      </c>
      <c r="U22" s="51"/>
      <c r="V22" s="72"/>
      <c r="W22" s="51"/>
      <c r="X22" s="160" t="s">
        <v>1318</v>
      </c>
      <c r="Z22" s="45"/>
      <c r="AA22" s="46"/>
    </row>
    <row r="23" spans="1:27" ht="13.5" customHeight="1" x14ac:dyDescent="0.2">
      <c r="A23" s="2054" t="s">
        <v>2078</v>
      </c>
      <c r="B23" s="2055"/>
      <c r="C23" s="2055"/>
      <c r="D23" s="2055"/>
      <c r="E23" s="2055"/>
      <c r="F23" s="2055"/>
      <c r="G23" s="2055"/>
      <c r="H23" s="2056"/>
      <c r="T23" s="1994" t="s">
        <v>2069</v>
      </c>
      <c r="U23" s="1995"/>
      <c r="V23" s="1995"/>
      <c r="W23" s="1995"/>
      <c r="X23" s="2010">
        <v>44501</v>
      </c>
      <c r="Y23" s="2011"/>
      <c r="Z23" s="2011"/>
      <c r="AA23" s="2012"/>
    </row>
    <row r="24" spans="1:27" ht="14.1" customHeight="1" x14ac:dyDescent="0.2">
      <c r="A24" s="88" t="s">
        <v>677</v>
      </c>
      <c r="B24" s="49"/>
      <c r="C24" s="49"/>
      <c r="D24" s="49"/>
      <c r="E24" s="49"/>
      <c r="F24" s="49"/>
      <c r="G24" s="49"/>
      <c r="H24" s="61"/>
      <c r="J24" s="2096">
        <f>IF(B5="x",IF(AUDITCHECK!D29="AFR form Incomplete.","",IF(AUDITCHECK!D29="Deficit reduction plan is required.","School District must complete a deficit reduction plan in the 2019-2020 Budget",)),"")</f>
        <v>0</v>
      </c>
      <c r="K24" s="2096"/>
      <c r="L24" s="2096"/>
      <c r="M24" s="2096"/>
      <c r="N24" s="2096"/>
      <c r="O24" s="2096"/>
      <c r="P24" s="2096"/>
      <c r="Q24" s="2096"/>
      <c r="R24" s="2096"/>
      <c r="S24" s="2097"/>
      <c r="T24" s="105" t="s">
        <v>531</v>
      </c>
      <c r="U24" s="106"/>
      <c r="V24" s="106"/>
      <c r="W24" s="106"/>
      <c r="X24" s="107"/>
      <c r="Y24" s="107"/>
      <c r="Z24" s="107"/>
      <c r="AA24" s="108"/>
    </row>
    <row r="25" spans="1:27" ht="14.1" customHeight="1" x14ac:dyDescent="0.2">
      <c r="A25" s="2031">
        <v>61554</v>
      </c>
      <c r="B25" s="2032"/>
      <c r="C25" s="2032"/>
      <c r="D25" s="2032"/>
      <c r="E25" s="2032"/>
      <c r="F25" s="2032"/>
      <c r="G25" s="2032"/>
      <c r="H25" s="2033"/>
      <c r="I25" s="113"/>
      <c r="J25" s="2098"/>
      <c r="K25" s="2098"/>
      <c r="L25" s="2098"/>
      <c r="M25" s="2098"/>
      <c r="N25" s="2098"/>
      <c r="O25" s="2098"/>
      <c r="P25" s="2098"/>
      <c r="Q25" s="2098"/>
      <c r="R25" s="2098"/>
      <c r="S25" s="2099"/>
      <c r="T25" s="1991" t="s">
        <v>2082</v>
      </c>
      <c r="U25" s="1992"/>
      <c r="V25" s="1992"/>
      <c r="W25" s="1992"/>
      <c r="X25" s="1992"/>
      <c r="Y25" s="1992"/>
      <c r="Z25" s="1992"/>
      <c r="AA25" s="199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89" t="s">
        <v>1511</v>
      </c>
      <c r="J27" s="2062"/>
      <c r="K27" s="2062"/>
      <c r="L27" s="2062"/>
      <c r="M27" s="2062"/>
      <c r="N27" s="2062"/>
      <c r="O27" s="2062"/>
      <c r="P27" s="2062"/>
      <c r="Q27" s="2062"/>
      <c r="R27" s="2062"/>
      <c r="S27" s="206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2079</v>
      </c>
      <c r="M29" s="40" t="s">
        <v>99</v>
      </c>
      <c r="N29" s="32" t="s">
        <v>1523</v>
      </c>
      <c r="O29" s="32"/>
      <c r="P29" s="32"/>
      <c r="Q29" s="32"/>
      <c r="R29" s="32"/>
      <c r="S29" s="123"/>
      <c r="T29" s="6"/>
      <c r="U29" s="6"/>
      <c r="V29" s="6"/>
      <c r="W29" s="6"/>
      <c r="X29" s="6"/>
      <c r="Y29" s="6"/>
      <c r="Z29" s="6"/>
      <c r="AA29" s="132"/>
    </row>
    <row r="30" spans="1:27" ht="13.5" customHeight="1" x14ac:dyDescent="0.2">
      <c r="A30" s="153"/>
      <c r="B30" s="136" t="s">
        <v>2079</v>
      </c>
      <c r="C30" s="124" t="s">
        <v>1164</v>
      </c>
      <c r="D30" s="28"/>
      <c r="E30" s="28"/>
      <c r="F30" s="140"/>
      <c r="G30" s="114"/>
      <c r="H30" s="114"/>
      <c r="I30" s="54"/>
      <c r="J30" s="102"/>
      <c r="K30" s="28" t="s">
        <v>576</v>
      </c>
      <c r="L30" s="148" t="s">
        <v>2079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5"/>
      <c r="Q35" s="2032"/>
      <c r="R35" s="203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4" t="s">
        <v>2080</v>
      </c>
      <c r="B38" s="2064"/>
      <c r="C38" s="2064"/>
      <c r="D38" s="2064"/>
      <c r="E38" s="2064"/>
      <c r="F38" s="2032"/>
      <c r="G38" s="2032"/>
      <c r="H38" s="2033"/>
      <c r="I38" s="2083"/>
      <c r="J38" s="2003"/>
      <c r="K38" s="2003"/>
      <c r="L38" s="2003"/>
      <c r="M38" s="2003"/>
      <c r="N38" s="2003"/>
      <c r="O38" s="2003"/>
      <c r="P38" s="2004"/>
      <c r="Q38" s="2004"/>
      <c r="R38" s="2004"/>
      <c r="S38" s="2005"/>
      <c r="T38" s="2002"/>
      <c r="U38" s="2003"/>
      <c r="V38" s="2003"/>
      <c r="W38" s="2003"/>
      <c r="X38" s="2004"/>
      <c r="Y38" s="2004"/>
      <c r="Z38" s="2004"/>
      <c r="AA38" s="2005"/>
    </row>
    <row r="39" spans="1:27" ht="12" customHeight="1" x14ac:dyDescent="0.2">
      <c r="A39" s="2087" t="s">
        <v>531</v>
      </c>
      <c r="B39" s="2088"/>
      <c r="C39" s="72"/>
      <c r="D39" s="69"/>
      <c r="E39" s="69"/>
      <c r="F39" s="79"/>
      <c r="G39" s="69"/>
      <c r="H39" s="56"/>
      <c r="I39" s="2087" t="s">
        <v>531</v>
      </c>
      <c r="J39" s="2088"/>
      <c r="K39" s="2088"/>
      <c r="L39" s="2088"/>
      <c r="M39" s="2088"/>
      <c r="N39" s="67"/>
      <c r="O39" s="72"/>
      <c r="P39" s="72"/>
      <c r="Q39" s="78"/>
      <c r="R39" s="72"/>
      <c r="S39" s="56"/>
      <c r="T39" s="72" t="s">
        <v>531</v>
      </c>
      <c r="U39" s="51"/>
      <c r="V39" s="72"/>
      <c r="W39" s="50"/>
      <c r="X39" s="78"/>
      <c r="Y39" s="45"/>
      <c r="Z39" s="45"/>
      <c r="AA39" s="46"/>
    </row>
    <row r="40" spans="1:27" ht="13.5" customHeight="1" x14ac:dyDescent="0.2">
      <c r="A40" s="2090" t="s">
        <v>2078</v>
      </c>
      <c r="B40" s="2091"/>
      <c r="C40" s="2092"/>
      <c r="D40" s="2092"/>
      <c r="E40" s="2092"/>
      <c r="F40" s="2093"/>
      <c r="G40" s="2093"/>
      <c r="H40" s="2094"/>
      <c r="I40" s="2006"/>
      <c r="J40" s="2008"/>
      <c r="K40" s="2008"/>
      <c r="L40" s="2008"/>
      <c r="M40" s="2008"/>
      <c r="N40" s="2008"/>
      <c r="O40" s="2008"/>
      <c r="P40" s="2008"/>
      <c r="Q40" s="2008"/>
      <c r="R40" s="2008"/>
      <c r="S40" s="2009"/>
      <c r="T40" s="2006"/>
      <c r="U40" s="2007"/>
      <c r="V40" s="2008"/>
      <c r="W40" s="2008"/>
      <c r="X40" s="2008"/>
      <c r="Y40" s="2008"/>
      <c r="Z40" s="2008"/>
      <c r="AA40" s="200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80">
        <v>3093463182</v>
      </c>
      <c r="B42" s="2081"/>
      <c r="C42" s="2082"/>
      <c r="D42" s="2095">
        <v>3093467928</v>
      </c>
      <c r="E42" s="2081"/>
      <c r="F42" s="2081"/>
      <c r="G42" s="2081"/>
      <c r="H42" s="2082"/>
      <c r="I42" s="2001"/>
      <c r="J42" s="1997"/>
      <c r="K42" s="1997"/>
      <c r="L42" s="1997"/>
      <c r="M42" s="1997"/>
      <c r="N42" s="1997"/>
      <c r="O42" s="1998"/>
      <c r="P42" s="1996"/>
      <c r="Q42" s="1997"/>
      <c r="R42" s="1997"/>
      <c r="S42" s="1998"/>
      <c r="T42" s="2001"/>
      <c r="U42" s="1997"/>
      <c r="V42" s="1997"/>
      <c r="W42" s="1998"/>
      <c r="X42" s="1996"/>
      <c r="Y42" s="1997"/>
      <c r="Z42" s="1997"/>
      <c r="AA42" s="199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84"/>
      <c r="B44" s="2085"/>
      <c r="C44" s="2085"/>
      <c r="D44" s="2085"/>
      <c r="E44" s="2085"/>
      <c r="F44" s="2085"/>
      <c r="G44" s="2085"/>
      <c r="H44" s="2086"/>
      <c r="I44" s="2076"/>
      <c r="J44" s="2078"/>
      <c r="K44" s="2078"/>
      <c r="L44" s="2078"/>
      <c r="M44" s="2078"/>
      <c r="N44" s="2078"/>
      <c r="O44" s="2078"/>
      <c r="P44" s="2078"/>
      <c r="Q44" s="2078"/>
      <c r="R44" s="2078"/>
      <c r="S44" s="2079"/>
      <c r="T44" s="2076"/>
      <c r="U44" s="2077"/>
      <c r="V44" s="2077"/>
      <c r="W44" s="2077"/>
      <c r="X44" s="2077"/>
      <c r="Y44" s="2077"/>
      <c r="Z44" s="2078"/>
      <c r="AA44" s="207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03" t="s">
        <v>1065</v>
      </c>
      <c r="B35" s="2103"/>
      <c r="C35" s="2103"/>
      <c r="D35" s="2103"/>
      <c r="E35" s="210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0" t="s">
        <v>691</v>
      </c>
      <c r="B40" s="2100"/>
      <c r="C40" s="2100"/>
      <c r="D40" s="2100"/>
      <c r="E40" s="2100"/>
    </row>
    <row r="41" spans="1:5" x14ac:dyDescent="0.2">
      <c r="A41" s="2101" t="s">
        <v>1608</v>
      </c>
      <c r="B41" s="2101"/>
      <c r="C41" s="2101"/>
      <c r="D41" s="2101"/>
      <c r="E41" s="2101"/>
    </row>
    <row r="42" spans="1:5" ht="12.75" customHeight="1" x14ac:dyDescent="0.2">
      <c r="A42" s="2102" t="s">
        <v>1022</v>
      </c>
      <c r="B42" s="2102"/>
      <c r="C42" s="2102"/>
      <c r="D42" s="2102"/>
      <c r="E42" s="210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4" t="s">
        <v>1168</v>
      </c>
      <c r="B2" s="2104"/>
      <c r="C2" s="2104"/>
      <c r="D2" s="2104"/>
      <c r="E2" s="2104"/>
      <c r="F2" s="2104"/>
      <c r="G2" s="2104"/>
      <c r="H2" s="2104"/>
      <c r="I2" s="2104"/>
      <c r="J2" s="210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18" t="s">
        <v>1633</v>
      </c>
      <c r="B35" s="2119"/>
      <c r="C35" s="2119"/>
      <c r="D35" s="2119"/>
      <c r="E35" s="2120"/>
      <c r="F35" s="2120"/>
      <c r="G35" s="2120"/>
      <c r="H35" s="2120"/>
      <c r="I35" s="212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18" t="s">
        <v>313</v>
      </c>
      <c r="B47" s="2121"/>
      <c r="C47" s="2121"/>
      <c r="D47" s="2121"/>
      <c r="E47" s="2122"/>
      <c r="F47" s="2122"/>
      <c r="G47" s="2122"/>
      <c r="H47" s="2122"/>
      <c r="I47" s="212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2079</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2079</v>
      </c>
      <c r="C53" s="179">
        <v>22</v>
      </c>
      <c r="D53" s="247" t="s">
        <v>1462</v>
      </c>
      <c r="E53" s="248"/>
      <c r="F53" s="249"/>
      <c r="G53" s="249" t="s">
        <v>1461</v>
      </c>
      <c r="H53" s="250">
        <v>35855</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5"/>
      <c r="C57" s="2126"/>
      <c r="D57" s="2126"/>
      <c r="E57" s="2126"/>
      <c r="F57" s="2126"/>
      <c r="G57" s="2126"/>
      <c r="H57" s="2126"/>
      <c r="I57" s="2126"/>
      <c r="J57" s="2127"/>
    </row>
    <row r="58" spans="1:10" s="181" customFormat="1" x14ac:dyDescent="0.2">
      <c r="A58" s="253"/>
      <c r="B58" s="2128"/>
      <c r="C58" s="2129"/>
      <c r="D58" s="2129"/>
      <c r="E58" s="2129"/>
      <c r="F58" s="2129"/>
      <c r="G58" s="2129"/>
      <c r="H58" s="2129"/>
      <c r="I58" s="2129"/>
      <c r="J58" s="2130"/>
    </row>
    <row r="59" spans="1:10" s="181" customFormat="1" x14ac:dyDescent="0.2">
      <c r="A59" s="253"/>
      <c r="B59" s="2128"/>
      <c r="C59" s="2129"/>
      <c r="D59" s="2129"/>
      <c r="E59" s="2129"/>
      <c r="F59" s="2129"/>
      <c r="G59" s="2129"/>
      <c r="H59" s="2129"/>
      <c r="I59" s="2129"/>
      <c r="J59" s="2130"/>
    </row>
    <row r="60" spans="1:10" s="181" customFormat="1" x14ac:dyDescent="0.2">
      <c r="A60" s="253"/>
      <c r="B60" s="2128"/>
      <c r="C60" s="2129"/>
      <c r="D60" s="2129"/>
      <c r="E60" s="2129"/>
      <c r="F60" s="2129"/>
      <c r="G60" s="2129"/>
      <c r="H60" s="2129"/>
      <c r="I60" s="2129"/>
      <c r="J60" s="2130"/>
    </row>
    <row r="61" spans="1:10" s="181" customFormat="1" x14ac:dyDescent="0.2">
      <c r="A61" s="253"/>
      <c r="B61" s="2128"/>
      <c r="C61" s="2129"/>
      <c r="D61" s="2129"/>
      <c r="E61" s="2129"/>
      <c r="F61" s="2129"/>
      <c r="G61" s="2129"/>
      <c r="H61" s="2129"/>
      <c r="I61" s="2129"/>
      <c r="J61" s="2130"/>
    </row>
    <row r="62" spans="1:10" s="181" customFormat="1" x14ac:dyDescent="0.2">
      <c r="A62" s="253"/>
      <c r="B62" s="2128"/>
      <c r="C62" s="2129"/>
      <c r="D62" s="2129"/>
      <c r="E62" s="2129"/>
      <c r="F62" s="2129"/>
      <c r="G62" s="2129"/>
      <c r="H62" s="2129"/>
      <c r="I62" s="2129"/>
      <c r="J62" s="2130"/>
    </row>
    <row r="63" spans="1:10" s="181" customFormat="1" x14ac:dyDescent="0.2">
      <c r="A63" s="253"/>
      <c r="B63" s="2128"/>
      <c r="C63" s="2129"/>
      <c r="D63" s="2129"/>
      <c r="E63" s="2129"/>
      <c r="F63" s="2129"/>
      <c r="G63" s="2129"/>
      <c r="H63" s="2129"/>
      <c r="I63" s="2129"/>
      <c r="J63" s="2130"/>
    </row>
    <row r="64" spans="1:10" s="181" customFormat="1" x14ac:dyDescent="0.2">
      <c r="A64" s="253"/>
      <c r="B64" s="2128"/>
      <c r="C64" s="2129"/>
      <c r="D64" s="2129"/>
      <c r="E64" s="2129"/>
      <c r="F64" s="2129"/>
      <c r="G64" s="2129"/>
      <c r="H64" s="2129"/>
      <c r="I64" s="2129"/>
      <c r="J64" s="2130"/>
    </row>
    <row r="65" spans="1:10" s="181" customFormat="1" x14ac:dyDescent="0.2">
      <c r="A65" s="253"/>
      <c r="B65" s="2128"/>
      <c r="C65" s="2129"/>
      <c r="D65" s="2129"/>
      <c r="E65" s="2129"/>
      <c r="F65" s="2129"/>
      <c r="G65" s="2129"/>
      <c r="H65" s="2129"/>
      <c r="I65" s="2129"/>
      <c r="J65" s="2130"/>
    </row>
    <row r="66" spans="1:10" s="181" customFormat="1" x14ac:dyDescent="0.2">
      <c r="A66" s="253"/>
      <c r="B66" s="2128"/>
      <c r="C66" s="2129"/>
      <c r="D66" s="2129"/>
      <c r="E66" s="2129"/>
      <c r="F66" s="2129"/>
      <c r="G66" s="2129"/>
      <c r="H66" s="2129"/>
      <c r="I66" s="2129"/>
      <c r="J66" s="2130"/>
    </row>
    <row r="67" spans="1:10" s="181" customFormat="1" ht="9" customHeight="1" x14ac:dyDescent="0.2">
      <c r="A67" s="254"/>
      <c r="B67" s="2131"/>
      <c r="C67" s="2132"/>
      <c r="D67" s="2132"/>
      <c r="E67" s="2132"/>
      <c r="F67" s="2132"/>
      <c r="G67" s="2132"/>
      <c r="H67" s="2132"/>
      <c r="I67" s="2132"/>
      <c r="J67" s="213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8" t="s">
        <v>1323</v>
      </c>
      <c r="B70" s="2121"/>
      <c r="C70" s="2121"/>
      <c r="D70" s="2121"/>
      <c r="E70" s="2122"/>
      <c r="F70" s="2122"/>
      <c r="G70" s="2122"/>
      <c r="H70" s="2122"/>
      <c r="I70" s="212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3" t="s">
        <v>1320</v>
      </c>
      <c r="B83" s="2123"/>
      <c r="C83" s="2123"/>
      <c r="D83" s="212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05" t="s">
        <v>2125</v>
      </c>
      <c r="C102" s="2106"/>
      <c r="D102" s="2106"/>
      <c r="E102" s="2106"/>
      <c r="F102" s="2106"/>
      <c r="G102" s="2106"/>
      <c r="H102" s="2106"/>
      <c r="I102" s="2107"/>
    </row>
    <row r="103" spans="1:9" s="181" customFormat="1" ht="11.25" customHeight="1" x14ac:dyDescent="0.2">
      <c r="A103" s="316"/>
      <c r="B103" s="2108"/>
      <c r="C103" s="2109"/>
      <c r="D103" s="2109"/>
      <c r="E103" s="2109"/>
      <c r="F103" s="2109"/>
      <c r="G103" s="2109"/>
      <c r="H103" s="2109"/>
      <c r="I103" s="2110"/>
    </row>
    <row r="104" spans="1:9" s="181" customFormat="1" ht="11.25" customHeight="1" x14ac:dyDescent="0.2">
      <c r="A104" s="316"/>
      <c r="B104" s="2108"/>
      <c r="C104" s="2109"/>
      <c r="D104" s="2109"/>
      <c r="E104" s="2109"/>
      <c r="F104" s="2109"/>
      <c r="G104" s="2109"/>
      <c r="H104" s="2109"/>
      <c r="I104" s="2110"/>
    </row>
    <row r="105" spans="1:9" s="181" customFormat="1" x14ac:dyDescent="0.2">
      <c r="A105" s="316"/>
      <c r="B105" s="2108"/>
      <c r="C105" s="2109"/>
      <c r="D105" s="2109"/>
      <c r="E105" s="2109"/>
      <c r="F105" s="2109"/>
      <c r="G105" s="2109"/>
      <c r="H105" s="2109"/>
      <c r="I105" s="2110"/>
    </row>
    <row r="106" spans="1:9" s="181" customFormat="1" ht="11.25" customHeight="1" x14ac:dyDescent="0.2">
      <c r="A106" s="316"/>
      <c r="B106" s="2108"/>
      <c r="C106" s="2109"/>
      <c r="D106" s="2109"/>
      <c r="E106" s="2109"/>
      <c r="F106" s="2109"/>
      <c r="G106" s="2109"/>
      <c r="H106" s="2109"/>
      <c r="I106" s="2110"/>
    </row>
    <row r="107" spans="1:9" s="181" customFormat="1" ht="11.25" customHeight="1" x14ac:dyDescent="0.2">
      <c r="A107" s="316"/>
      <c r="B107" s="2108"/>
      <c r="C107" s="2109"/>
      <c r="D107" s="2109"/>
      <c r="E107" s="2109"/>
      <c r="F107" s="2109"/>
      <c r="G107" s="2109"/>
      <c r="H107" s="2109"/>
      <c r="I107" s="2110"/>
    </row>
    <row r="108" spans="1:9" s="181" customFormat="1" ht="11.25" customHeight="1" x14ac:dyDescent="0.2">
      <c r="A108" s="316"/>
      <c r="B108" s="2108"/>
      <c r="C108" s="2109"/>
      <c r="D108" s="2109"/>
      <c r="E108" s="2109"/>
      <c r="F108" s="2109"/>
      <c r="G108" s="2109"/>
      <c r="H108" s="2109"/>
      <c r="I108" s="2110"/>
    </row>
    <row r="109" spans="1:9" s="181" customFormat="1" ht="11.25" customHeight="1" x14ac:dyDescent="0.2">
      <c r="A109" s="316"/>
      <c r="B109" s="2108"/>
      <c r="C109" s="2109"/>
      <c r="D109" s="2109"/>
      <c r="E109" s="2109"/>
      <c r="F109" s="2109"/>
      <c r="G109" s="2109"/>
      <c r="H109" s="2109"/>
      <c r="I109" s="2110"/>
    </row>
    <row r="110" spans="1:9" s="181" customFormat="1" ht="11.25" customHeight="1" x14ac:dyDescent="0.2">
      <c r="A110" s="316"/>
      <c r="B110" s="2108"/>
      <c r="C110" s="2109"/>
      <c r="D110" s="2109"/>
      <c r="E110" s="2109"/>
      <c r="F110" s="2109"/>
      <c r="G110" s="2109"/>
      <c r="H110" s="2109"/>
      <c r="I110" s="2110"/>
    </row>
    <row r="111" spans="1:9" s="181" customFormat="1" ht="11.25" customHeight="1" x14ac:dyDescent="0.2">
      <c r="A111" s="316"/>
      <c r="B111" s="2108"/>
      <c r="C111" s="2109"/>
      <c r="D111" s="2109"/>
      <c r="E111" s="2109"/>
      <c r="F111" s="2109"/>
      <c r="G111" s="2109"/>
      <c r="H111" s="2109"/>
      <c r="I111" s="2110"/>
    </row>
    <row r="112" spans="1:9" s="181" customFormat="1" ht="11.25" customHeight="1" x14ac:dyDescent="0.2">
      <c r="A112" s="316"/>
      <c r="B112" s="2111"/>
      <c r="C112" s="2112"/>
      <c r="D112" s="2112"/>
      <c r="E112" s="2112"/>
      <c r="F112" s="2112"/>
      <c r="G112" s="2112"/>
      <c r="H112" s="2112"/>
      <c r="I112" s="211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4" t="s">
        <v>2135</v>
      </c>
      <c r="D114" s="211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5" t="s">
        <v>1330</v>
      </c>
      <c r="D117" s="2116"/>
      <c r="E117" s="2117"/>
      <c r="F117" s="2117"/>
      <c r="G117" s="2117"/>
      <c r="H117" s="2117"/>
      <c r="I117" s="304"/>
    </row>
    <row r="118" spans="1:9" s="181" customFormat="1" ht="24" customHeight="1" x14ac:dyDescent="0.2">
      <c r="A118" s="316"/>
      <c r="B118" s="316"/>
      <c r="C118" s="316"/>
      <c r="D118" s="323" t="s">
        <v>2148</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4" t="s">
        <v>386</v>
      </c>
      <c r="B1" s="2134"/>
      <c r="C1" s="2134"/>
      <c r="D1" s="2134"/>
      <c r="E1" s="2134"/>
      <c r="F1" s="2134"/>
      <c r="G1" s="2134"/>
      <c r="H1" s="2134"/>
      <c r="I1" s="2134"/>
      <c r="J1" s="2134"/>
      <c r="K1" s="2134"/>
      <c r="L1" s="2134"/>
      <c r="M1" s="213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62529484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2.7164299999999999E-2</v>
      </c>
      <c r="E10" s="356" t="s">
        <v>1005</v>
      </c>
      <c r="F10" s="355">
        <v>3.3311E-3</v>
      </c>
      <c r="G10" s="356" t="s">
        <v>1005</v>
      </c>
      <c r="H10" s="355">
        <v>1.9155000000000001E-3</v>
      </c>
      <c r="I10" s="356" t="s">
        <v>1006</v>
      </c>
      <c r="J10" s="1729">
        <f>ROUND(D10+F10+H10,5)</f>
        <v>3.2410000000000001E-2</v>
      </c>
      <c r="K10" s="222"/>
      <c r="L10" s="355">
        <v>4.8309999999999998E-4</v>
      </c>
      <c r="M10" s="222"/>
    </row>
    <row r="11" spans="1:14" ht="7.5" customHeight="1" x14ac:dyDescent="0.2">
      <c r="B11" s="222"/>
      <c r="C11" s="222"/>
      <c r="D11" s="2144" t="str">
        <f>IF(SUM(J10)&lt;=0.0999999,"","Enter the Tax Rates by moving the decimal two places to the left.")</f>
        <v/>
      </c>
      <c r="E11" s="2145"/>
      <c r="F11" s="2145"/>
      <c r="G11" s="2145"/>
      <c r="H11" s="2145"/>
      <c r="I11" s="2145"/>
      <c r="J11" s="214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3159366</v>
      </c>
      <c r="E16" s="356"/>
      <c r="F16" s="1730">
        <f>SUM('Acct Summary 7-8'!C17,'Acct Summary 7-8'!D17,'Acct Summary 7-8'!F17)</f>
        <v>3019873</v>
      </c>
      <c r="G16" s="356"/>
      <c r="H16" s="1730">
        <f>SUM(D16-F16)</f>
        <v>139493</v>
      </c>
      <c r="I16" s="222"/>
      <c r="J16" s="1730">
        <f>SUM('Acct Summary 7-8'!C81,'Acct Summary 7-8'!D81,'Acct Summary 7-8'!F81,'Acct Summary 7-8'!I81)</f>
        <v>3355555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586</v>
      </c>
      <c r="D31" s="237" t="s">
        <v>1072</v>
      </c>
      <c r="E31" s="222"/>
      <c r="F31" s="222"/>
      <c r="G31" s="363"/>
      <c r="H31" s="1732">
        <f>IF(B31="X",(J7*0.069),IF(B32="X",(J7*0.138),"Enter x in a.or b."))</f>
        <v>4314534.3960000006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3355000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35"/>
      <c r="C54" s="2136"/>
      <c r="D54" s="2136"/>
      <c r="E54" s="2136"/>
      <c r="F54" s="2136"/>
      <c r="G54" s="2136"/>
      <c r="H54" s="2136"/>
      <c r="I54" s="2136"/>
      <c r="J54" s="2136"/>
      <c r="K54" s="2136"/>
      <c r="L54" s="2137"/>
      <c r="M54" s="380"/>
    </row>
    <row r="55" spans="1:13" ht="12.75" customHeight="1" x14ac:dyDescent="0.2">
      <c r="B55" s="2138"/>
      <c r="C55" s="2139"/>
      <c r="D55" s="2139"/>
      <c r="E55" s="2139"/>
      <c r="F55" s="2139"/>
      <c r="G55" s="2139"/>
      <c r="H55" s="2139"/>
      <c r="I55" s="2139"/>
      <c r="J55" s="2139"/>
      <c r="K55" s="2139"/>
      <c r="L55" s="2140"/>
      <c r="M55" s="380"/>
    </row>
    <row r="56" spans="1:13" ht="12.75" customHeight="1" x14ac:dyDescent="0.2">
      <c r="B56" s="2138"/>
      <c r="C56" s="2139"/>
      <c r="D56" s="2139"/>
      <c r="E56" s="2139"/>
      <c r="F56" s="2139"/>
      <c r="G56" s="2139"/>
      <c r="H56" s="2139"/>
      <c r="I56" s="2139"/>
      <c r="J56" s="2139"/>
      <c r="K56" s="2139"/>
      <c r="L56" s="2140"/>
      <c r="M56" s="222"/>
    </row>
    <row r="57" spans="1:13" ht="12.75" customHeight="1" x14ac:dyDescent="0.2">
      <c r="B57" s="2138"/>
      <c r="C57" s="2139"/>
      <c r="D57" s="2139"/>
      <c r="E57" s="2139"/>
      <c r="F57" s="2139"/>
      <c r="G57" s="2139"/>
      <c r="H57" s="2139"/>
      <c r="I57" s="2139"/>
      <c r="J57" s="2139"/>
      <c r="K57" s="2139"/>
      <c r="L57" s="2140"/>
      <c r="M57" s="222"/>
    </row>
    <row r="58" spans="1:13" x14ac:dyDescent="0.2">
      <c r="B58" s="2141"/>
      <c r="C58" s="2142"/>
      <c r="D58" s="2142"/>
      <c r="E58" s="2142"/>
      <c r="F58" s="2142"/>
      <c r="G58" s="2142"/>
      <c r="H58" s="2142"/>
      <c r="I58" s="2142"/>
      <c r="J58" s="2142"/>
      <c r="K58" s="2142"/>
      <c r="L58" s="214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6"/>
      <c r="D61" s="214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9"/>
      <c r="B1" s="2150"/>
      <c r="C1" s="2150"/>
      <c r="D1" s="384"/>
      <c r="E1" s="384"/>
      <c r="F1" s="384"/>
      <c r="G1" s="384"/>
      <c r="H1" s="384"/>
      <c r="I1" s="384"/>
      <c r="J1" s="384"/>
      <c r="K1" s="384"/>
      <c r="L1" s="384"/>
      <c r="M1" s="384"/>
      <c r="N1" s="384"/>
      <c r="O1" s="2149"/>
      <c r="P1" s="2150"/>
      <c r="Q1" s="2150"/>
    </row>
    <row r="2" spans="1:18" ht="15" x14ac:dyDescent="0.2">
      <c r="A2" s="2153" t="s">
        <v>556</v>
      </c>
      <c r="B2" s="2153"/>
      <c r="C2" s="2153"/>
      <c r="D2" s="2153"/>
      <c r="E2" s="2153"/>
      <c r="F2" s="2153"/>
      <c r="G2" s="2153"/>
      <c r="H2" s="2153"/>
      <c r="I2" s="2153"/>
      <c r="J2" s="2153"/>
      <c r="K2" s="2153"/>
      <c r="L2" s="2153"/>
      <c r="M2" s="2153"/>
      <c r="N2" s="2153"/>
      <c r="O2" s="2153"/>
      <c r="P2" s="2153"/>
      <c r="Q2" s="2153"/>
      <c r="R2" s="2153"/>
    </row>
    <row r="3" spans="1:18" ht="12.75" x14ac:dyDescent="0.2">
      <c r="A3" s="2154" t="s">
        <v>1413</v>
      </c>
      <c r="B3" s="2154"/>
      <c r="C3" s="2154"/>
      <c r="D3" s="2154"/>
      <c r="E3" s="2154"/>
      <c r="F3" s="2154"/>
      <c r="G3" s="2154"/>
      <c r="H3" s="2154"/>
      <c r="I3" s="2154"/>
      <c r="J3" s="2154"/>
      <c r="K3" s="2154"/>
      <c r="L3" s="2154"/>
      <c r="M3" s="2154"/>
      <c r="N3" s="2154"/>
      <c r="O3" s="2154"/>
      <c r="P3" s="2154"/>
      <c r="Q3" s="2154"/>
      <c r="R3" s="2154"/>
    </row>
    <row r="4" spans="1:18" x14ac:dyDescent="0.2">
      <c r="A4" s="2155" t="s">
        <v>1554</v>
      </c>
      <c r="B4" s="2155"/>
      <c r="C4" s="2155"/>
      <c r="D4" s="2155"/>
      <c r="E4" s="2155"/>
      <c r="F4" s="2155"/>
      <c r="G4" s="2155"/>
      <c r="H4" s="2155"/>
      <c r="I4" s="2155"/>
      <c r="J4" s="2155"/>
      <c r="K4" s="2155"/>
      <c r="L4" s="2155"/>
      <c r="M4" s="2155"/>
      <c r="N4" s="2155"/>
      <c r="O4" s="2155"/>
      <c r="P4" s="2155"/>
      <c r="Q4" s="2155"/>
      <c r="R4" s="215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Rankin CSD 98</v>
      </c>
      <c r="E7" s="391"/>
      <c r="G7" s="252"/>
      <c r="H7" s="387"/>
      <c r="I7" s="387"/>
      <c r="J7" s="387"/>
      <c r="K7" s="387"/>
      <c r="L7" s="329"/>
      <c r="M7" s="329"/>
      <c r="N7" s="329"/>
      <c r="O7" s="329"/>
      <c r="P7" s="329"/>
    </row>
    <row r="8" spans="1:18" ht="12.75" x14ac:dyDescent="0.2">
      <c r="A8" s="329"/>
      <c r="B8" s="329"/>
      <c r="C8" s="389" t="s">
        <v>1125</v>
      </c>
      <c r="D8" s="392">
        <f>COVER!A13</f>
        <v>53090098002</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3355555</v>
      </c>
      <c r="I12" s="404"/>
      <c r="J12" s="404"/>
      <c r="K12" s="405">
        <f>TRUNC((H12/H13*100000),5)/100000</f>
        <v>1.0620975853999999</v>
      </c>
      <c r="L12" s="406"/>
      <c r="M12" s="360" t="s">
        <v>1144</v>
      </c>
      <c r="N12" s="360"/>
      <c r="O12" s="407">
        <v>0.35</v>
      </c>
      <c r="P12" s="218"/>
      <c r="Q12" s="218"/>
    </row>
    <row r="13" spans="1:18" s="408" customFormat="1" ht="12.75" x14ac:dyDescent="0.2">
      <c r="A13" s="218"/>
      <c r="B13" s="401"/>
      <c r="C13" s="2151" t="s">
        <v>1324</v>
      </c>
      <c r="D13" s="2152"/>
      <c r="E13" s="218"/>
      <c r="F13" s="409" t="s">
        <v>793</v>
      </c>
      <c r="G13" s="402"/>
      <c r="H13" s="403">
        <f>SUM('Acct Summary 7-8'!C8+'Acct Summary 7-8'!D8+'Acct Summary 7-8'!F8+'Acct Summary 7-8'!I8)+H14</f>
        <v>3159366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3019873</v>
      </c>
      <c r="I17" s="404"/>
      <c r="J17" s="416"/>
      <c r="K17" s="405">
        <f>TRUNC((H17/H18*100000),5)/100000</f>
        <v>0.95584778709999996</v>
      </c>
      <c r="L17" s="406"/>
      <c r="M17" s="417" t="s">
        <v>1171</v>
      </c>
      <c r="O17" s="418" t="str">
        <f>IF(AND(O16="2", J20 &gt; 2),"1",IF(AND(O16 = "1", J20 &gt; 2),"2",IF(AND(O16="1", J20 &gt;1),"1","0")))</f>
        <v>0</v>
      </c>
      <c r="P17" s="218"/>
    </row>
    <row r="18" spans="1:18" s="408" customFormat="1" ht="11.25" x14ac:dyDescent="0.2">
      <c r="A18" s="218"/>
      <c r="B18" s="401"/>
      <c r="C18" s="2151" t="s">
        <v>1317</v>
      </c>
      <c r="D18" s="2152"/>
      <c r="E18" s="218"/>
      <c r="F18" s="419" t="s">
        <v>794</v>
      </c>
      <c r="G18" s="402"/>
      <c r="H18" s="403">
        <f>SUM('Acct Summary 7-8'!C8+'Acct Summary 7-8'!D8+'Acct Summary 7-8'!F8+'Acct Summary 7-8'!I8)+H19</f>
        <v>3159366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48" t="s">
        <v>1412</v>
      </c>
      <c r="D24" s="2148"/>
      <c r="E24" s="218"/>
      <c r="F24" s="218" t="s">
        <v>445</v>
      </c>
      <c r="G24" s="402"/>
      <c r="H24" s="403">
        <f>SUM('Assets-Liab 5-6'!C4+'Assets-Liab 5-6'!D4+'Assets-Liab 5-6'!F4+'Assets-Liab 5-6'!I4+'Assets-Liab 5-6'!C5+'Assets-Liab 5-6'!D5+'Assets-Liab 5-6'!F5+'Assets-Liab 5-6'!I5)</f>
        <v>3355555</v>
      </c>
      <c r="I24" s="422"/>
      <c r="J24" s="422"/>
      <c r="K24" s="423">
        <f>TRUNC(((H24/H25*100000)/100000),2)</f>
        <v>400.01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8388.5361099999991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1722593.48997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3355000</v>
      </c>
      <c r="I32" s="420"/>
      <c r="J32" s="420"/>
      <c r="K32" s="423">
        <f>TRUNC(100-((((H32/H33*100))*100)/100),2)</f>
        <v>22.23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4314534.3960000006</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F33" sqref="F33"/>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5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5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58" t="s">
        <v>973</v>
      </c>
      <c r="B3" s="2159"/>
      <c r="C3" s="1556"/>
      <c r="D3" s="1557"/>
      <c r="E3" s="1557"/>
      <c r="F3" s="1557"/>
      <c r="G3" s="1557"/>
      <c r="H3" s="1557"/>
      <c r="I3" s="1557"/>
      <c r="J3" s="1557"/>
      <c r="K3" s="1557"/>
      <c r="L3" s="1557"/>
      <c r="M3" s="1558"/>
      <c r="N3" s="1559"/>
    </row>
    <row r="4" spans="1:14" ht="13.5" customHeight="1" x14ac:dyDescent="0.2">
      <c r="A4" s="463" t="s">
        <v>1651</v>
      </c>
      <c r="B4" s="464"/>
      <c r="C4" s="465">
        <v>768019</v>
      </c>
      <c r="D4" s="465">
        <v>355413</v>
      </c>
      <c r="E4" s="465">
        <v>13751</v>
      </c>
      <c r="F4" s="465">
        <v>375007</v>
      </c>
      <c r="G4" s="465">
        <v>157237</v>
      </c>
      <c r="H4" s="465">
        <v>184347</v>
      </c>
      <c r="I4" s="465">
        <v>269913</v>
      </c>
      <c r="J4" s="465">
        <v>0</v>
      </c>
      <c r="K4" s="465">
        <v>71915</v>
      </c>
      <c r="L4" s="465">
        <v>13292</v>
      </c>
      <c r="M4" s="468"/>
      <c r="N4" s="469"/>
    </row>
    <row r="5" spans="1:14" x14ac:dyDescent="0.2">
      <c r="A5" s="463" t="s">
        <v>992</v>
      </c>
      <c r="B5" s="470">
        <v>120</v>
      </c>
      <c r="C5" s="465">
        <v>1587203</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2355222</v>
      </c>
      <c r="D13" s="1734">
        <f t="shared" ref="D13:L13" si="0">SUM(D4:D12)</f>
        <v>355413</v>
      </c>
      <c r="E13" s="1734">
        <f t="shared" si="0"/>
        <v>13751</v>
      </c>
      <c r="F13" s="1734">
        <f t="shared" si="0"/>
        <v>375007</v>
      </c>
      <c r="G13" s="1734">
        <f t="shared" si="0"/>
        <v>157237</v>
      </c>
      <c r="H13" s="1734">
        <f t="shared" si="0"/>
        <v>184347</v>
      </c>
      <c r="I13" s="1734">
        <f t="shared" si="0"/>
        <v>269913</v>
      </c>
      <c r="J13" s="1734">
        <f t="shared" si="0"/>
        <v>0</v>
      </c>
      <c r="K13" s="1734">
        <f t="shared" si="0"/>
        <v>71915</v>
      </c>
      <c r="L13" s="1734">
        <f t="shared" si="0"/>
        <v>13292</v>
      </c>
      <c r="M13" s="468"/>
      <c r="N13" s="469"/>
    </row>
    <row r="14" spans="1:14" ht="18" customHeight="1" thickTop="1" x14ac:dyDescent="0.2">
      <c r="A14" s="2160" t="s">
        <v>147</v>
      </c>
      <c r="B14" s="2161"/>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125600</v>
      </c>
      <c r="N16" s="482"/>
    </row>
    <row r="17" spans="1:14" s="483" customFormat="1" ht="12.75" customHeight="1" x14ac:dyDescent="0.2">
      <c r="A17" s="480" t="s">
        <v>1403</v>
      </c>
      <c r="B17" s="481">
        <v>230</v>
      </c>
      <c r="C17" s="475"/>
      <c r="D17" s="475"/>
      <c r="E17" s="475"/>
      <c r="F17" s="475"/>
      <c r="G17" s="475"/>
      <c r="H17" s="475"/>
      <c r="I17" s="475"/>
      <c r="J17" s="475"/>
      <c r="K17" s="475"/>
      <c r="L17" s="475"/>
      <c r="M17" s="467">
        <v>8095639</v>
      </c>
      <c r="N17" s="482"/>
    </row>
    <row r="18" spans="1:14" s="483" customFormat="1" ht="12.75" customHeight="1" x14ac:dyDescent="0.2">
      <c r="A18" s="480" t="s">
        <v>1404</v>
      </c>
      <c r="B18" s="481">
        <v>240</v>
      </c>
      <c r="C18" s="475"/>
      <c r="D18" s="475"/>
      <c r="E18" s="475"/>
      <c r="F18" s="475"/>
      <c r="G18" s="475"/>
      <c r="H18" s="475"/>
      <c r="I18" s="475"/>
      <c r="J18" s="475"/>
      <c r="K18" s="475"/>
      <c r="L18" s="475"/>
      <c r="M18" s="467">
        <v>889006</v>
      </c>
      <c r="N18" s="482"/>
    </row>
    <row r="19" spans="1:14" s="483" customFormat="1" ht="12.75" customHeight="1" x14ac:dyDescent="0.2">
      <c r="A19" s="480" t="s">
        <v>1405</v>
      </c>
      <c r="B19" s="481">
        <v>250</v>
      </c>
      <c r="C19" s="475"/>
      <c r="D19" s="475"/>
      <c r="E19" s="475"/>
      <c r="F19" s="475"/>
      <c r="G19" s="475"/>
      <c r="H19" s="475"/>
      <c r="I19" s="475"/>
      <c r="J19" s="475"/>
      <c r="K19" s="475"/>
      <c r="L19" s="475"/>
      <c r="M19" s="467">
        <v>422938</v>
      </c>
      <c r="N19" s="482"/>
    </row>
    <row r="20" spans="1:14" s="483" customFormat="1" ht="12.75" customHeight="1" x14ac:dyDescent="0.2">
      <c r="A20" s="480" t="s">
        <v>1406</v>
      </c>
      <c r="B20" s="481">
        <v>260</v>
      </c>
      <c r="C20" s="475"/>
      <c r="D20" s="475"/>
      <c r="E20" s="475"/>
      <c r="F20" s="475"/>
      <c r="G20" s="475"/>
      <c r="H20" s="475"/>
      <c r="I20" s="475"/>
      <c r="J20" s="475"/>
      <c r="K20" s="475"/>
      <c r="L20" s="475"/>
      <c r="M20" s="467">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13751</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3341249</v>
      </c>
    </row>
    <row r="23" spans="1:14" ht="13.5" customHeight="1" thickBot="1" x14ac:dyDescent="0.25">
      <c r="A23" s="1733" t="s">
        <v>643</v>
      </c>
      <c r="B23" s="1738"/>
      <c r="C23" s="468"/>
      <c r="D23" s="468"/>
      <c r="E23" s="468"/>
      <c r="F23" s="468"/>
      <c r="G23" s="468"/>
      <c r="H23" s="468"/>
      <c r="I23" s="468"/>
      <c r="J23" s="468"/>
      <c r="K23" s="468"/>
      <c r="L23" s="468"/>
      <c r="M23" s="1685">
        <f>SUM(M15:M22)</f>
        <v>9533183</v>
      </c>
      <c r="N23" s="1685">
        <f>SUM(N21:N22)</f>
        <v>3355000</v>
      </c>
    </row>
    <row r="24" spans="1:14" ht="18" customHeight="1" thickTop="1" x14ac:dyDescent="0.2">
      <c r="A24" s="2162" t="s">
        <v>598</v>
      </c>
      <c r="B24" s="2163"/>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13292</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13292</v>
      </c>
      <c r="M34" s="468"/>
      <c r="N34" s="478"/>
    </row>
    <row r="35" spans="1:14" ht="18" customHeight="1" thickTop="1" x14ac:dyDescent="0.2">
      <c r="A35" s="2164" t="s">
        <v>529</v>
      </c>
      <c r="B35" s="2165"/>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3355000</v>
      </c>
    </row>
    <row r="37" spans="1:14" ht="13.5" thickBot="1" x14ac:dyDescent="0.25">
      <c r="A37" s="1733" t="s">
        <v>653</v>
      </c>
      <c r="B37" s="1738"/>
      <c r="C37" s="475"/>
      <c r="D37" s="475"/>
      <c r="E37" s="475"/>
      <c r="F37" s="475"/>
      <c r="G37" s="475"/>
      <c r="H37" s="475"/>
      <c r="I37" s="475"/>
      <c r="J37" s="475"/>
      <c r="K37" s="475"/>
      <c r="L37" s="478"/>
      <c r="M37" s="468"/>
      <c r="N37" s="1685">
        <f>SUM(N36:N36)</f>
        <v>3355000</v>
      </c>
    </row>
    <row r="38" spans="1:14" s="329" customFormat="1" ht="13.5" customHeight="1" thickTop="1" x14ac:dyDescent="0.2">
      <c r="A38" s="493" t="s">
        <v>420</v>
      </c>
      <c r="B38" s="481">
        <v>714</v>
      </c>
      <c r="C38" s="465">
        <v>0</v>
      </c>
      <c r="D38" s="465">
        <v>0</v>
      </c>
      <c r="E38" s="465">
        <v>0</v>
      </c>
      <c r="F38" s="465">
        <v>0</v>
      </c>
      <c r="G38" s="465">
        <v>87713</v>
      </c>
      <c r="H38" s="465">
        <v>0</v>
      </c>
      <c r="I38" s="465">
        <v>0</v>
      </c>
      <c r="J38" s="465">
        <v>0</v>
      </c>
      <c r="K38" s="465">
        <v>0</v>
      </c>
      <c r="L38" s="465">
        <v>0</v>
      </c>
      <c r="M38" s="494"/>
      <c r="N38" s="494"/>
    </row>
    <row r="39" spans="1:14" s="329" customFormat="1" ht="13.5" customHeight="1" x14ac:dyDescent="0.2">
      <c r="A39" s="493" t="s">
        <v>342</v>
      </c>
      <c r="B39" s="481">
        <v>730</v>
      </c>
      <c r="C39" s="465">
        <v>2355222</v>
      </c>
      <c r="D39" s="465">
        <v>355413</v>
      </c>
      <c r="E39" s="465">
        <v>13751</v>
      </c>
      <c r="F39" s="465">
        <v>375007</v>
      </c>
      <c r="G39" s="465">
        <v>69524</v>
      </c>
      <c r="H39" s="465">
        <v>184347</v>
      </c>
      <c r="I39" s="465">
        <v>269913</v>
      </c>
      <c r="J39" s="465">
        <v>0</v>
      </c>
      <c r="K39" s="465">
        <v>71915</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9533183</v>
      </c>
      <c r="N40" s="494"/>
    </row>
    <row r="41" spans="1:14" ht="13.5" customHeight="1" thickBot="1" x14ac:dyDescent="0.25">
      <c r="A41" s="1733" t="s">
        <v>655</v>
      </c>
      <c r="B41" s="1703"/>
      <c r="C41" s="1685">
        <f>(SUM(C34,C37,C38,C39))</f>
        <v>2355222</v>
      </c>
      <c r="D41" s="1685">
        <f t="shared" ref="D41:L41" si="2">SUM(D34,D37,D38:D39)</f>
        <v>355413</v>
      </c>
      <c r="E41" s="1685">
        <f t="shared" si="2"/>
        <v>13751</v>
      </c>
      <c r="F41" s="1685">
        <f t="shared" si="2"/>
        <v>375007</v>
      </c>
      <c r="G41" s="1685">
        <f t="shared" si="2"/>
        <v>157237</v>
      </c>
      <c r="H41" s="1685">
        <f t="shared" si="2"/>
        <v>184347</v>
      </c>
      <c r="I41" s="1685">
        <f t="shared" si="2"/>
        <v>269913</v>
      </c>
      <c r="J41" s="1685">
        <f t="shared" si="2"/>
        <v>0</v>
      </c>
      <c r="K41" s="1685">
        <f t="shared" si="2"/>
        <v>71915</v>
      </c>
      <c r="L41" s="1685">
        <f t="shared" si="2"/>
        <v>13292</v>
      </c>
      <c r="M41" s="1685">
        <f>SUM(M40)</f>
        <v>9533183</v>
      </c>
      <c r="N41" s="1685">
        <f>SUM(N37)</f>
        <v>3355000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33" sqref="F33"/>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74"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75"/>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86" t="s">
        <v>1175</v>
      </c>
      <c r="B3" s="2187"/>
      <c r="C3" s="1570"/>
      <c r="D3" s="1571"/>
      <c r="E3" s="1571"/>
      <c r="F3" s="1571"/>
      <c r="G3" s="1571"/>
      <c r="H3" s="1571"/>
      <c r="I3" s="1571"/>
      <c r="J3" s="1571"/>
      <c r="K3" s="1572"/>
      <c r="L3" s="503"/>
    </row>
    <row r="4" spans="1:13" ht="15.75" customHeight="1" x14ac:dyDescent="0.2">
      <c r="A4" s="1925" t="s">
        <v>1499</v>
      </c>
      <c r="B4" s="1926">
        <v>1000</v>
      </c>
      <c r="C4" s="1739">
        <f>'Revenues 9-14'!C109</f>
        <v>1972628</v>
      </c>
      <c r="D4" s="1739">
        <f>'Revenues 9-14'!D109</f>
        <v>203972</v>
      </c>
      <c r="E4" s="1739">
        <f>'Revenues 9-14'!E109</f>
        <v>246646</v>
      </c>
      <c r="F4" s="1739">
        <f>'Revenues 9-14'!F109</f>
        <v>129372</v>
      </c>
      <c r="G4" s="1739">
        <f>'Revenues 9-14'!G109</f>
        <v>102586</v>
      </c>
      <c r="H4" s="1739">
        <f>'Revenues 9-14'!H109</f>
        <v>5834</v>
      </c>
      <c r="I4" s="1739">
        <f>'Revenues 9-14'!I109</f>
        <v>31068</v>
      </c>
      <c r="J4" s="1739">
        <f>'Revenues 9-14'!J109</f>
        <v>0</v>
      </c>
      <c r="K4" s="1739">
        <f>'Revenues 9-14'!K109</f>
        <v>39678</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341538</v>
      </c>
      <c r="D6" s="1740">
        <f>'Revenues 9-14'!D170</f>
        <v>107000</v>
      </c>
      <c r="E6" s="1740">
        <f>'Revenues 9-14'!E170</f>
        <v>0</v>
      </c>
      <c r="F6" s="1740">
        <f>'Revenues 9-14'!F170</f>
        <v>112129</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261659</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2575825</v>
      </c>
      <c r="D8" s="1685">
        <f t="shared" ref="D8:K8" si="0">SUM(D4:D7)</f>
        <v>310972</v>
      </c>
      <c r="E8" s="1685">
        <f t="shared" si="0"/>
        <v>246646</v>
      </c>
      <c r="F8" s="1685">
        <f t="shared" si="0"/>
        <v>241501</v>
      </c>
      <c r="G8" s="1685">
        <f t="shared" si="0"/>
        <v>102586</v>
      </c>
      <c r="H8" s="1685">
        <f t="shared" si="0"/>
        <v>5834</v>
      </c>
      <c r="I8" s="1685">
        <f t="shared" si="0"/>
        <v>31068</v>
      </c>
      <c r="J8" s="1685">
        <f t="shared" si="0"/>
        <v>0</v>
      </c>
      <c r="K8" s="1685">
        <f t="shared" si="0"/>
        <v>39678</v>
      </c>
      <c r="L8" s="347"/>
    </row>
    <row r="9" spans="1:13" ht="15.75" thickTop="1" x14ac:dyDescent="0.2">
      <c r="A9" s="511" t="s">
        <v>1653</v>
      </c>
      <c r="B9" s="512">
        <v>3998</v>
      </c>
      <c r="C9" s="465">
        <v>886969</v>
      </c>
      <c r="D9" s="513"/>
      <c r="E9" s="479"/>
      <c r="F9" s="479"/>
      <c r="G9" s="514"/>
      <c r="H9" s="479"/>
      <c r="I9" s="506" t="s">
        <v>1169</v>
      </c>
      <c r="J9" s="476"/>
      <c r="K9" s="479"/>
      <c r="L9" s="347"/>
    </row>
    <row r="10" spans="1:13" s="516" customFormat="1" ht="13.5" thickBot="1" x14ac:dyDescent="0.25">
      <c r="A10" s="1733" t="s">
        <v>1173</v>
      </c>
      <c r="B10" s="1706"/>
      <c r="C10" s="1685">
        <f>SUM(C8:C9)</f>
        <v>3462794</v>
      </c>
      <c r="D10" s="1685">
        <f t="shared" ref="D10:K10" si="1">SUM(D8:D9)</f>
        <v>310972</v>
      </c>
      <c r="E10" s="1685">
        <f t="shared" si="1"/>
        <v>246646</v>
      </c>
      <c r="F10" s="1685">
        <f t="shared" si="1"/>
        <v>241501</v>
      </c>
      <c r="G10" s="1685">
        <f t="shared" si="1"/>
        <v>102586</v>
      </c>
      <c r="H10" s="1685">
        <f t="shared" si="1"/>
        <v>5834</v>
      </c>
      <c r="I10" s="1685">
        <f t="shared" si="1"/>
        <v>31068</v>
      </c>
      <c r="J10" s="1685">
        <f t="shared" si="1"/>
        <v>0</v>
      </c>
      <c r="K10" s="1685">
        <f t="shared" si="1"/>
        <v>39678</v>
      </c>
      <c r="L10" s="515"/>
    </row>
    <row r="11" spans="1:13" s="516" customFormat="1" ht="16.7" customHeight="1" thickTop="1" x14ac:dyDescent="0.2">
      <c r="A11" s="2160" t="s">
        <v>1176</v>
      </c>
      <c r="B11" s="2161"/>
      <c r="C11" s="1567"/>
      <c r="D11" s="1568"/>
      <c r="E11" s="1568"/>
      <c r="F11" s="1568"/>
      <c r="G11" s="1568"/>
      <c r="H11" s="1568"/>
      <c r="I11" s="1568"/>
      <c r="J11" s="1568"/>
      <c r="K11" s="1569"/>
      <c r="L11" s="515"/>
    </row>
    <row r="12" spans="1:13" ht="15.75" customHeight="1" x14ac:dyDescent="0.2">
      <c r="A12" s="1573" t="s">
        <v>456</v>
      </c>
      <c r="B12" s="1575">
        <v>1000</v>
      </c>
      <c r="C12" s="1739">
        <f>'Expenditures 15-22'!K33</f>
        <v>1697095</v>
      </c>
      <c r="D12" s="517" t="s">
        <v>1169</v>
      </c>
      <c r="E12" s="468" t="s">
        <v>1169</v>
      </c>
      <c r="F12" s="468" t="s">
        <v>1169</v>
      </c>
      <c r="G12" s="1739">
        <f>'Expenditures 15-22'!K229</f>
        <v>28679</v>
      </c>
      <c r="H12" s="518"/>
      <c r="I12" s="468" t="s">
        <v>1169</v>
      </c>
      <c r="J12" s="468" t="s">
        <v>1169</v>
      </c>
      <c r="K12" s="518" t="s">
        <v>1169</v>
      </c>
      <c r="L12" s="347"/>
    </row>
    <row r="13" spans="1:13" ht="15.75" customHeight="1" x14ac:dyDescent="0.2">
      <c r="A13" s="1573" t="s">
        <v>457</v>
      </c>
      <c r="B13" s="1575">
        <v>2000</v>
      </c>
      <c r="C13" s="1740">
        <f>'Expenditures 15-22'!K74</f>
        <v>790721</v>
      </c>
      <c r="D13" s="1740">
        <f>'Expenditures 15-22'!K129</f>
        <v>299576</v>
      </c>
      <c r="E13" s="469" t="s">
        <v>1169</v>
      </c>
      <c r="F13" s="1740">
        <f>'Expenditures 15-22'!K184</f>
        <v>0</v>
      </c>
      <c r="G13" s="1740">
        <f>'Expenditures 15-22'!K279</f>
        <v>51331</v>
      </c>
      <c r="H13" s="1740">
        <f>'Expenditures 15-22'!K303</f>
        <v>489751</v>
      </c>
      <c r="I13" s="468" t="s">
        <v>1169</v>
      </c>
      <c r="J13" s="1740">
        <f>'Expenditures 15-22'!K330</f>
        <v>0</v>
      </c>
      <c r="K13" s="1744">
        <f>'Expenditures 15-22'!K352</f>
        <v>38914</v>
      </c>
      <c r="L13" s="347"/>
    </row>
    <row r="14" spans="1:13" ht="15.75" customHeight="1" x14ac:dyDescent="0.2">
      <c r="A14" s="1573" t="s">
        <v>449</v>
      </c>
      <c r="B14" s="1575">
        <v>3000</v>
      </c>
      <c r="C14" s="1740">
        <f>'Expenditures 15-22'!K75</f>
        <v>2340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38621</v>
      </c>
      <c r="D15" s="1740">
        <f>'Expenditures 15-22'!K139</f>
        <v>0</v>
      </c>
      <c r="E15" s="1740">
        <f>'Expenditures 15-22'!K160</f>
        <v>0</v>
      </c>
      <c r="F15" s="1740">
        <f>'Expenditures 15-22'!K196</f>
        <v>191520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245273</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2528777</v>
      </c>
      <c r="D17" s="1685">
        <f t="shared" si="2"/>
        <v>299576</v>
      </c>
      <c r="E17" s="1685">
        <f t="shared" si="2"/>
        <v>245273</v>
      </c>
      <c r="F17" s="1685">
        <f t="shared" si="2"/>
        <v>191520</v>
      </c>
      <c r="G17" s="1685">
        <f t="shared" si="2"/>
        <v>80010</v>
      </c>
      <c r="H17" s="1685">
        <f t="shared" si="2"/>
        <v>489751</v>
      </c>
      <c r="I17" s="468"/>
      <c r="J17" s="1685">
        <f>SUM(J12:J16)</f>
        <v>0</v>
      </c>
      <c r="K17" s="1685">
        <f>SUM(K12:K16)</f>
        <v>38914</v>
      </c>
      <c r="L17" s="347"/>
    </row>
    <row r="18" spans="1:12" ht="15" customHeight="1" thickTop="1" x14ac:dyDescent="0.2">
      <c r="A18" s="1741" t="s">
        <v>1654</v>
      </c>
      <c r="B18" s="1742">
        <v>4180</v>
      </c>
      <c r="C18" s="1739">
        <f t="shared" ref="C18:H18" si="3">C9</f>
        <v>886969</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3415746</v>
      </c>
      <c r="D19" s="1685">
        <f t="shared" si="4"/>
        <v>299576</v>
      </c>
      <c r="E19" s="1685">
        <f t="shared" si="4"/>
        <v>245273</v>
      </c>
      <c r="F19" s="1685">
        <f t="shared" si="4"/>
        <v>191520</v>
      </c>
      <c r="G19" s="1685">
        <f t="shared" si="4"/>
        <v>80010</v>
      </c>
      <c r="H19" s="1685">
        <f t="shared" si="4"/>
        <v>489751</v>
      </c>
      <c r="I19" s="468"/>
      <c r="J19" s="1685">
        <f>SUM(J17:J18)</f>
        <v>0</v>
      </c>
      <c r="K19" s="1685">
        <f>SUM(K17:K18)</f>
        <v>38914</v>
      </c>
      <c r="L19" s="347"/>
    </row>
    <row r="20" spans="1:12" ht="16.5" thickTop="1" thickBot="1" x14ac:dyDescent="0.25">
      <c r="A20" s="2176" t="s">
        <v>1655</v>
      </c>
      <c r="B20" s="2177"/>
      <c r="C20" s="1743">
        <f>C8-C17</f>
        <v>47048</v>
      </c>
      <c r="D20" s="1743">
        <f t="shared" ref="D20:K20" si="5">D8-D17</f>
        <v>11396</v>
      </c>
      <c r="E20" s="1743">
        <f t="shared" si="5"/>
        <v>1373</v>
      </c>
      <c r="F20" s="1743">
        <f t="shared" si="5"/>
        <v>49981</v>
      </c>
      <c r="G20" s="1743">
        <f t="shared" si="5"/>
        <v>22576</v>
      </c>
      <c r="H20" s="1743">
        <f t="shared" si="5"/>
        <v>-483917</v>
      </c>
      <c r="I20" s="1743">
        <f t="shared" si="5"/>
        <v>31068</v>
      </c>
      <c r="J20" s="1743">
        <f t="shared" si="5"/>
        <v>0</v>
      </c>
      <c r="K20" s="1743">
        <f t="shared" si="5"/>
        <v>764</v>
      </c>
      <c r="L20" s="347"/>
    </row>
    <row r="21" spans="1:12" ht="16.7" customHeight="1" thickTop="1" x14ac:dyDescent="0.2">
      <c r="A21" s="2188" t="s">
        <v>595</v>
      </c>
      <c r="B21" s="2189"/>
      <c r="C21" s="1567"/>
      <c r="D21" s="1568"/>
      <c r="E21" s="1568"/>
      <c r="F21" s="1568"/>
      <c r="G21" s="1568"/>
      <c r="H21" s="1568"/>
      <c r="I21" s="1568"/>
      <c r="J21" s="1568"/>
      <c r="K21" s="1569"/>
      <c r="L21" s="521"/>
    </row>
    <row r="22" spans="1:12" ht="15.75" customHeight="1" collapsed="1" x14ac:dyDescent="0.2">
      <c r="A22" s="2184" t="s">
        <v>596</v>
      </c>
      <c r="B22" s="2185"/>
      <c r="C22" s="475"/>
      <c r="D22" s="475"/>
      <c r="E22" s="475"/>
      <c r="F22" s="475"/>
      <c r="G22" s="475"/>
      <c r="H22" s="475"/>
      <c r="I22" s="475"/>
      <c r="J22" s="475"/>
      <c r="K22" s="475"/>
      <c r="L22" s="347"/>
    </row>
    <row r="23" spans="1:12" s="483" customFormat="1" ht="15.75" customHeight="1" x14ac:dyDescent="0.2">
      <c r="A23" s="2180" t="s">
        <v>293</v>
      </c>
      <c r="B23" s="2181"/>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30000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82" t="s">
        <v>981</v>
      </c>
      <c r="B32" s="2183"/>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26600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90" t="s">
        <v>374</v>
      </c>
      <c r="B44" s="2191"/>
      <c r="C44" s="1700">
        <f>SUM(C24:C43)</f>
        <v>30000</v>
      </c>
      <c r="D44" s="1700">
        <f t="shared" ref="D44:K44" si="6">SUM(D24:D43)</f>
        <v>0</v>
      </c>
      <c r="E44" s="1700">
        <f t="shared" si="6"/>
        <v>0</v>
      </c>
      <c r="F44" s="1700">
        <f t="shared" si="6"/>
        <v>0</v>
      </c>
      <c r="G44" s="1700">
        <f t="shared" si="6"/>
        <v>0</v>
      </c>
      <c r="H44" s="1700">
        <f t="shared" si="6"/>
        <v>26600</v>
      </c>
      <c r="I44" s="1700">
        <f t="shared" si="6"/>
        <v>0</v>
      </c>
      <c r="J44" s="1700">
        <f t="shared" si="6"/>
        <v>0</v>
      </c>
      <c r="K44" s="1700">
        <f t="shared" si="6"/>
        <v>0</v>
      </c>
      <c r="L44" s="521"/>
    </row>
    <row r="45" spans="1:12" ht="15.75" customHeight="1" thickTop="1" x14ac:dyDescent="0.2">
      <c r="A45" s="2184" t="s">
        <v>108</v>
      </c>
      <c r="B45" s="2185"/>
      <c r="C45" s="525"/>
      <c r="D45" s="525"/>
      <c r="E45" s="525"/>
      <c r="F45" s="525"/>
      <c r="G45" s="525"/>
      <c r="H45" s="525"/>
      <c r="I45" s="525"/>
      <c r="J45" s="525"/>
      <c r="K45" s="525"/>
      <c r="L45" s="347"/>
    </row>
    <row r="46" spans="1:12" s="483" customFormat="1" ht="15.75" customHeight="1" x14ac:dyDescent="0.2">
      <c r="A46" s="2192" t="s">
        <v>109</v>
      </c>
      <c r="B46" s="2193"/>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30000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66" t="s">
        <v>440</v>
      </c>
      <c r="B76" s="2167"/>
      <c r="C76" s="1700">
        <f t="shared" ref="C76:K76" si="7">SUM(C47:C75)</f>
        <v>0</v>
      </c>
      <c r="D76" s="1700">
        <f t="shared" si="7"/>
        <v>0</v>
      </c>
      <c r="E76" s="1700">
        <f t="shared" si="7"/>
        <v>0</v>
      </c>
      <c r="F76" s="1700">
        <f t="shared" si="7"/>
        <v>0</v>
      </c>
      <c r="G76" s="1700">
        <f t="shared" si="7"/>
        <v>0</v>
      </c>
      <c r="H76" s="1700">
        <f t="shared" si="7"/>
        <v>0</v>
      </c>
      <c r="I76" s="1700">
        <f t="shared" si="7"/>
        <v>30000</v>
      </c>
      <c r="J76" s="1700">
        <f t="shared" si="7"/>
        <v>0</v>
      </c>
      <c r="K76" s="1700">
        <f t="shared" si="7"/>
        <v>0</v>
      </c>
      <c r="L76" s="521"/>
    </row>
    <row r="77" spans="1:12" ht="14.25" thickTop="1" thickBot="1" x14ac:dyDescent="0.25">
      <c r="A77" s="2168" t="s">
        <v>1177</v>
      </c>
      <c r="B77" s="2169"/>
      <c r="C77" s="1700">
        <f t="shared" ref="C77:K77" si="8">C44-C76</f>
        <v>30000</v>
      </c>
      <c r="D77" s="1700">
        <f t="shared" si="8"/>
        <v>0</v>
      </c>
      <c r="E77" s="1700">
        <f t="shared" si="8"/>
        <v>0</v>
      </c>
      <c r="F77" s="1700">
        <f t="shared" si="8"/>
        <v>0</v>
      </c>
      <c r="G77" s="1700">
        <f t="shared" si="8"/>
        <v>0</v>
      </c>
      <c r="H77" s="1700">
        <f t="shared" si="8"/>
        <v>26600</v>
      </c>
      <c r="I77" s="1700">
        <f t="shared" si="8"/>
        <v>-30000</v>
      </c>
      <c r="J77" s="1700">
        <f t="shared" si="8"/>
        <v>0</v>
      </c>
      <c r="K77" s="1700">
        <f t="shared" si="8"/>
        <v>0</v>
      </c>
      <c r="L77" s="347"/>
    </row>
    <row r="78" spans="1:12" ht="21.75" customHeight="1" thickTop="1" thickBot="1" x14ac:dyDescent="0.25">
      <c r="A78" s="2172" t="s">
        <v>597</v>
      </c>
      <c r="B78" s="2173"/>
      <c r="C78" s="1699">
        <f t="shared" ref="C78:K78" si="9">C20+C77</f>
        <v>77048</v>
      </c>
      <c r="D78" s="1699">
        <f t="shared" si="9"/>
        <v>11396</v>
      </c>
      <c r="E78" s="1699">
        <f t="shared" si="9"/>
        <v>1373</v>
      </c>
      <c r="F78" s="1699">
        <f t="shared" si="9"/>
        <v>49981</v>
      </c>
      <c r="G78" s="1699">
        <f t="shared" si="9"/>
        <v>22576</v>
      </c>
      <c r="H78" s="1699">
        <f t="shared" si="9"/>
        <v>-457317</v>
      </c>
      <c r="I78" s="1699">
        <f t="shared" si="9"/>
        <v>1068</v>
      </c>
      <c r="J78" s="1699">
        <f t="shared" si="9"/>
        <v>0</v>
      </c>
      <c r="K78" s="1699">
        <f t="shared" si="9"/>
        <v>764</v>
      </c>
      <c r="L78" s="530"/>
    </row>
    <row r="79" spans="1:12" ht="13.5" thickTop="1" x14ac:dyDescent="0.2">
      <c r="A79" s="1491" t="s">
        <v>1949</v>
      </c>
      <c r="B79" s="531"/>
      <c r="C79" s="476">
        <v>2278174</v>
      </c>
      <c r="D79" s="476">
        <v>344017</v>
      </c>
      <c r="E79" s="476">
        <v>12378</v>
      </c>
      <c r="F79" s="476">
        <v>325026</v>
      </c>
      <c r="G79" s="476">
        <v>134661</v>
      </c>
      <c r="H79" s="476">
        <v>641664</v>
      </c>
      <c r="I79" s="476">
        <v>268845</v>
      </c>
      <c r="J79" s="476">
        <v>0</v>
      </c>
      <c r="K79" s="476">
        <v>71151</v>
      </c>
      <c r="L79" s="347"/>
    </row>
    <row r="80" spans="1:12" x14ac:dyDescent="0.2">
      <c r="A80" s="2178" t="s">
        <v>1795</v>
      </c>
      <c r="B80" s="2179"/>
      <c r="C80" s="467">
        <v>0</v>
      </c>
      <c r="D80" s="467">
        <v>0</v>
      </c>
      <c r="E80" s="467">
        <v>0</v>
      </c>
      <c r="F80" s="467">
        <v>0</v>
      </c>
      <c r="G80" s="467">
        <v>0</v>
      </c>
      <c r="H80" s="467">
        <v>0</v>
      </c>
      <c r="I80" s="467">
        <v>0</v>
      </c>
      <c r="J80" s="467">
        <v>0</v>
      </c>
      <c r="K80" s="467">
        <v>0</v>
      </c>
      <c r="L80" s="347"/>
    </row>
    <row r="81" spans="1:12" ht="13.5" thickBot="1" x14ac:dyDescent="0.25">
      <c r="A81" s="2170" t="s">
        <v>1950</v>
      </c>
      <c r="B81" s="2171"/>
      <c r="C81" s="1685">
        <f>(SUM(C78:C80))</f>
        <v>2355222</v>
      </c>
      <c r="D81" s="1685">
        <f>SUM(D78:D80)</f>
        <v>355413</v>
      </c>
      <c r="E81" s="1685">
        <f t="shared" ref="E81:K81" si="10">SUM(E78:E80)</f>
        <v>13751</v>
      </c>
      <c r="F81" s="1685">
        <f t="shared" si="10"/>
        <v>375007</v>
      </c>
      <c r="G81" s="1685">
        <f t="shared" si="10"/>
        <v>157237</v>
      </c>
      <c r="H81" s="1685">
        <f t="shared" si="10"/>
        <v>184347</v>
      </c>
      <c r="I81" s="1685">
        <f t="shared" si="10"/>
        <v>269913</v>
      </c>
      <c r="J81" s="1685">
        <f t="shared" si="10"/>
        <v>0</v>
      </c>
      <c r="K81" s="1685">
        <f t="shared" si="10"/>
        <v>71915</v>
      </c>
      <c r="L81" s="347"/>
    </row>
    <row r="82" spans="1:12" ht="0.75" customHeight="1" thickTop="1" thickBot="1" x14ac:dyDescent="0.25">
      <c r="A82" s="533" t="s">
        <v>343</v>
      </c>
      <c r="B82" s="534"/>
      <c r="C82" s="535">
        <f>(C81-C79)</f>
        <v>77048</v>
      </c>
      <c r="D82" s="535">
        <f t="shared" ref="D82:K82" si="11">(D81-D79)</f>
        <v>11396</v>
      </c>
      <c r="E82" s="535">
        <f t="shared" si="11"/>
        <v>1373</v>
      </c>
      <c r="F82" s="535">
        <f t="shared" si="11"/>
        <v>49981</v>
      </c>
      <c r="G82" s="535">
        <f t="shared" si="11"/>
        <v>22576</v>
      </c>
      <c r="H82" s="535">
        <f t="shared" si="11"/>
        <v>-457317</v>
      </c>
      <c r="I82" s="535">
        <f t="shared" si="11"/>
        <v>1068</v>
      </c>
      <c r="J82" s="535">
        <f t="shared" si="11"/>
        <v>0</v>
      </c>
      <c r="K82" s="535">
        <f t="shared" si="11"/>
        <v>764</v>
      </c>
    </row>
    <row r="83" spans="1:12" ht="14.25" hidden="1" thickTop="1" thickBot="1" x14ac:dyDescent="0.25">
      <c r="A83" s="536" t="s">
        <v>344</v>
      </c>
      <c r="B83" s="464"/>
      <c r="C83" s="537">
        <f>C82/C81</f>
        <v>3.2713688985581829E-2</v>
      </c>
      <c r="D83" s="537">
        <f t="shared" ref="D83:K83" si="12">D82/D81</f>
        <v>3.2064105702380045E-2</v>
      </c>
      <c r="E83" s="537">
        <f t="shared" si="12"/>
        <v>9.9847283833902983E-2</v>
      </c>
      <c r="F83" s="537">
        <f t="shared" si="12"/>
        <v>0.13328017876999629</v>
      </c>
      <c r="G83" s="537">
        <f t="shared" si="12"/>
        <v>0.14357943740976997</v>
      </c>
      <c r="H83" s="537">
        <f t="shared" si="12"/>
        <v>-2.4807401259581114</v>
      </c>
      <c r="I83" s="537">
        <f t="shared" si="12"/>
        <v>3.9568305342832693E-3</v>
      </c>
      <c r="J83" s="537" t="e">
        <f t="shared" si="12"/>
        <v>#DIV/0!</v>
      </c>
      <c r="K83" s="537">
        <f t="shared" si="12"/>
        <v>1.0623652923590349E-2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33" sqref="F33"/>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74" t="s">
        <v>1802</v>
      </c>
      <c r="B1" s="452"/>
      <c r="C1" s="453" t="s">
        <v>425</v>
      </c>
      <c r="D1" s="453" t="s">
        <v>426</v>
      </c>
      <c r="E1" s="453" t="s">
        <v>427</v>
      </c>
      <c r="F1" s="453" t="s">
        <v>428</v>
      </c>
      <c r="G1" s="453" t="s">
        <v>429</v>
      </c>
      <c r="H1" s="453" t="s">
        <v>430</v>
      </c>
      <c r="I1" s="453" t="s">
        <v>431</v>
      </c>
      <c r="J1" s="453" t="s">
        <v>432</v>
      </c>
      <c r="K1" s="453" t="s">
        <v>756</v>
      </c>
    </row>
    <row r="2" spans="1:12" ht="36" x14ac:dyDescent="0.2">
      <c r="A2" s="2175"/>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1648491</v>
      </c>
      <c r="D5" s="479">
        <v>202288</v>
      </c>
      <c r="E5" s="466">
        <v>246148</v>
      </c>
      <c r="F5" s="545">
        <v>116321</v>
      </c>
      <c r="G5" s="466">
        <v>40474</v>
      </c>
      <c r="H5" s="466">
        <v>0</v>
      </c>
      <c r="I5" s="466">
        <v>30546</v>
      </c>
      <c r="J5" s="467">
        <v>0</v>
      </c>
      <c r="K5" s="466">
        <v>39455</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15177</v>
      </c>
      <c r="D7" s="466">
        <v>0</v>
      </c>
      <c r="E7" s="468"/>
      <c r="F7" s="467">
        <v>0</v>
      </c>
      <c r="G7" s="467">
        <v>0</v>
      </c>
      <c r="H7" s="467">
        <v>0</v>
      </c>
      <c r="I7" s="468"/>
      <c r="J7" s="468"/>
      <c r="K7" s="468"/>
    </row>
    <row r="8" spans="1:12" x14ac:dyDescent="0.2">
      <c r="A8" s="463" t="s">
        <v>413</v>
      </c>
      <c r="B8" s="470">
        <v>1150</v>
      </c>
      <c r="C8" s="474"/>
      <c r="D8" s="474"/>
      <c r="E8" s="475"/>
      <c r="F8" s="475"/>
      <c r="G8" s="479">
        <v>54626</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1663668</v>
      </c>
      <c r="D12" s="1704">
        <f t="shared" si="0"/>
        <v>202288</v>
      </c>
      <c r="E12" s="1704">
        <f t="shared" si="0"/>
        <v>246148</v>
      </c>
      <c r="F12" s="1704">
        <f t="shared" si="0"/>
        <v>116321</v>
      </c>
      <c r="G12" s="1704">
        <f t="shared" si="0"/>
        <v>95100</v>
      </c>
      <c r="H12" s="1704">
        <f t="shared" si="0"/>
        <v>0</v>
      </c>
      <c r="I12" s="1704">
        <f t="shared" si="0"/>
        <v>30546</v>
      </c>
      <c r="J12" s="1704">
        <f t="shared" si="0"/>
        <v>0</v>
      </c>
      <c r="K12" s="1685">
        <f t="shared" si="0"/>
        <v>39455</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64073</v>
      </c>
      <c r="D16" s="466">
        <v>0</v>
      </c>
      <c r="E16" s="466">
        <v>0</v>
      </c>
      <c r="F16" s="466">
        <v>0</v>
      </c>
      <c r="G16" s="466">
        <v>7050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64073</v>
      </c>
      <c r="D18" s="1707">
        <f t="shared" ref="D18:K18" si="1">SUM(D14:D17)</f>
        <v>0</v>
      </c>
      <c r="E18" s="1707">
        <f t="shared" si="1"/>
        <v>0</v>
      </c>
      <c r="F18" s="1707">
        <f t="shared" si="1"/>
        <v>0</v>
      </c>
      <c r="G18" s="1707">
        <f t="shared" si="1"/>
        <v>7050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19500</v>
      </c>
      <c r="D20" s="468"/>
      <c r="E20" s="468"/>
      <c r="F20" s="468"/>
      <c r="G20" s="468"/>
      <c r="H20" s="468"/>
      <c r="I20" s="468"/>
      <c r="J20" s="468"/>
      <c r="K20" s="468"/>
    </row>
    <row r="21" spans="1:11" ht="12.75" customHeight="1" x14ac:dyDescent="0.2">
      <c r="A21" s="463" t="s">
        <v>832</v>
      </c>
      <c r="B21" s="470">
        <v>1312</v>
      </c>
      <c r="C21" s="548">
        <v>79145</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98645</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25087</v>
      </c>
      <c r="D65" s="466">
        <v>1034</v>
      </c>
      <c r="E65" s="466">
        <v>498</v>
      </c>
      <c r="F65" s="467">
        <v>814</v>
      </c>
      <c r="G65" s="466">
        <v>436</v>
      </c>
      <c r="H65" s="466">
        <v>5834</v>
      </c>
      <c r="I65" s="466">
        <v>522</v>
      </c>
      <c r="J65" s="467">
        <v>0</v>
      </c>
      <c r="K65" s="466">
        <v>223</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25087</v>
      </c>
      <c r="D67" s="1685">
        <f t="shared" ref="D67:K67" si="2">SUM(D65:D66)</f>
        <v>1034</v>
      </c>
      <c r="E67" s="1685">
        <f t="shared" si="2"/>
        <v>498</v>
      </c>
      <c r="F67" s="1685">
        <f t="shared" si="2"/>
        <v>814</v>
      </c>
      <c r="G67" s="1685">
        <f t="shared" si="2"/>
        <v>436</v>
      </c>
      <c r="H67" s="1685">
        <f t="shared" si="2"/>
        <v>5834</v>
      </c>
      <c r="I67" s="1685">
        <f t="shared" si="2"/>
        <v>522</v>
      </c>
      <c r="J67" s="1685">
        <f t="shared" si="2"/>
        <v>0</v>
      </c>
      <c r="K67" s="1685">
        <f t="shared" si="2"/>
        <v>223</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23153</v>
      </c>
      <c r="D69" s="468"/>
      <c r="E69" s="468"/>
      <c r="F69" s="468"/>
      <c r="G69" s="468"/>
      <c r="H69" s="468"/>
      <c r="I69" s="468"/>
      <c r="J69" s="468"/>
      <c r="K69" s="468"/>
    </row>
    <row r="70" spans="1:11" ht="12.75" customHeight="1" x14ac:dyDescent="0.2">
      <c r="A70" s="463" t="s">
        <v>997</v>
      </c>
      <c r="B70" s="470">
        <v>1612</v>
      </c>
      <c r="C70" s="548">
        <v>6373</v>
      </c>
      <c r="D70" s="468"/>
      <c r="E70" s="468"/>
      <c r="F70" s="468"/>
      <c r="G70" s="468"/>
      <c r="H70" s="468"/>
      <c r="I70" s="468"/>
      <c r="J70" s="468"/>
      <c r="K70" s="468"/>
    </row>
    <row r="71" spans="1:11" ht="12.75" customHeight="1" x14ac:dyDescent="0.2">
      <c r="A71" s="463" t="s">
        <v>273</v>
      </c>
      <c r="B71" s="470">
        <v>1613</v>
      </c>
      <c r="C71" s="548">
        <v>8138</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1931</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39595</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6642</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6642</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13363</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13363</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31960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16305</v>
      </c>
      <c r="D98" s="466">
        <v>0</v>
      </c>
      <c r="E98" s="509"/>
      <c r="F98" s="466">
        <v>12237</v>
      </c>
      <c r="G98" s="509"/>
      <c r="H98" s="509"/>
      <c r="I98" s="507"/>
      <c r="J98" s="509"/>
      <c r="K98" s="509"/>
    </row>
    <row r="99" spans="1:12" ht="12.75" customHeight="1" x14ac:dyDescent="0.2">
      <c r="A99" s="463" t="s">
        <v>821</v>
      </c>
      <c r="B99" s="470">
        <v>1950</v>
      </c>
      <c r="C99" s="486">
        <v>12911</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379</v>
      </c>
      <c r="D107" s="466">
        <v>650</v>
      </c>
      <c r="E107" s="466">
        <v>0</v>
      </c>
      <c r="F107" s="466">
        <v>0</v>
      </c>
      <c r="G107" s="466">
        <v>0</v>
      </c>
      <c r="H107" s="466">
        <v>0</v>
      </c>
      <c r="I107" s="466">
        <v>0</v>
      </c>
      <c r="J107" s="467">
        <v>0</v>
      </c>
      <c r="K107" s="466">
        <v>0</v>
      </c>
    </row>
    <row r="108" spans="1:12" ht="12.75" customHeight="1" thickBot="1" x14ac:dyDescent="0.25">
      <c r="A108" s="1705" t="s">
        <v>487</v>
      </c>
      <c r="B108" s="1709"/>
      <c r="C108" s="1704">
        <f>SUM(C95:C107)</f>
        <v>61555</v>
      </c>
      <c r="D108" s="1704">
        <f t="shared" ref="D108:K108" si="3">SUM(D95:D107)</f>
        <v>650</v>
      </c>
      <c r="E108" s="1704">
        <f t="shared" si="3"/>
        <v>0</v>
      </c>
      <c r="F108" s="1704">
        <f t="shared" si="3"/>
        <v>12237</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1972628</v>
      </c>
      <c r="D109" s="1712">
        <f t="shared" si="4"/>
        <v>203972</v>
      </c>
      <c r="E109" s="1712">
        <f t="shared" si="4"/>
        <v>246646</v>
      </c>
      <c r="F109" s="1712">
        <f t="shared" si="4"/>
        <v>129372</v>
      </c>
      <c r="G109" s="1712">
        <f t="shared" si="4"/>
        <v>102586</v>
      </c>
      <c r="H109" s="1712">
        <f t="shared" si="4"/>
        <v>5834</v>
      </c>
      <c r="I109" s="1712">
        <f t="shared" si="4"/>
        <v>31068</v>
      </c>
      <c r="J109" s="1712">
        <f t="shared" si="4"/>
        <v>0</v>
      </c>
      <c r="K109" s="1699">
        <f t="shared" si="4"/>
        <v>39678</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300189</v>
      </c>
      <c r="D117" s="479">
        <v>107000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300189</v>
      </c>
      <c r="D122" s="1704">
        <f t="shared" si="5"/>
        <v>107000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27850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11637</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1217</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40704</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645</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62502</v>
      </c>
      <c r="G152" s="467">
        <v>0</v>
      </c>
      <c r="H152" s="468"/>
      <c r="I152" s="468"/>
      <c r="J152" s="468"/>
      <c r="K152" s="468"/>
    </row>
    <row r="153" spans="1:11" ht="12.75" customHeight="1" x14ac:dyDescent="0.2">
      <c r="A153" s="463" t="s">
        <v>1057</v>
      </c>
      <c r="B153" s="559">
        <v>3510</v>
      </c>
      <c r="C153" s="548">
        <v>0</v>
      </c>
      <c r="D153" s="466">
        <v>0</v>
      </c>
      <c r="E153" s="558"/>
      <c r="F153" s="466">
        <v>49627</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112129</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94" t="s">
        <v>398</v>
      </c>
      <c r="B169" s="2195"/>
      <c r="C169" s="1719">
        <f t="shared" ref="C169:K169" si="6">SUM(C132,C141,C145,C146:C150,C155,C156:C167,C168)</f>
        <v>41349</v>
      </c>
      <c r="D169" s="1719">
        <f t="shared" si="6"/>
        <v>0</v>
      </c>
      <c r="E169" s="1719">
        <f t="shared" si="6"/>
        <v>0</v>
      </c>
      <c r="F169" s="1719">
        <f t="shared" si="6"/>
        <v>112129</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341538</v>
      </c>
      <c r="D170" s="1712">
        <f t="shared" si="7"/>
        <v>107000</v>
      </c>
      <c r="E170" s="1712">
        <f t="shared" si="7"/>
        <v>0</v>
      </c>
      <c r="F170" s="1712">
        <f t="shared" si="7"/>
        <v>112129</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96" t="s">
        <v>1492</v>
      </c>
      <c r="B172" s="2197"/>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200" t="s">
        <v>1665</v>
      </c>
      <c r="B175" s="2201"/>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204" t="s">
        <v>1664</v>
      </c>
      <c r="B176" s="2205"/>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28609</v>
      </c>
      <c r="D180" s="466">
        <v>0</v>
      </c>
      <c r="E180" s="468"/>
      <c r="F180" s="466">
        <v>0</v>
      </c>
      <c r="G180" s="466">
        <v>0</v>
      </c>
      <c r="H180" s="466">
        <v>0</v>
      </c>
      <c r="I180" s="468"/>
      <c r="J180" s="468"/>
      <c r="K180" s="466">
        <v>0</v>
      </c>
    </row>
    <row r="181" spans="1:11" ht="13.5" thickBot="1" x14ac:dyDescent="0.25">
      <c r="A181" s="2202" t="s">
        <v>785</v>
      </c>
      <c r="B181" s="2203"/>
      <c r="C181" s="1704">
        <f>SUM(C177:C180)</f>
        <v>28609</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98" t="s">
        <v>1803</v>
      </c>
      <c r="B182" s="2199"/>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22135</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11474</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33609</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34670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14961</v>
      </c>
      <c r="D203" s="466">
        <v>0</v>
      </c>
      <c r="E203" s="468"/>
      <c r="F203" s="466">
        <v>0</v>
      </c>
      <c r="G203" s="466">
        <v>0</v>
      </c>
      <c r="H203" s="468"/>
      <c r="I203" s="468"/>
      <c r="J203" s="468"/>
      <c r="K203" s="468"/>
    </row>
    <row r="204" spans="1:11" ht="12.75" customHeight="1" thickBot="1" x14ac:dyDescent="0.25">
      <c r="A204" s="1705" t="s">
        <v>400</v>
      </c>
      <c r="B204" s="1706"/>
      <c r="C204" s="1704">
        <f>SUM(C200:C203)</f>
        <v>49631</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18377</v>
      </c>
      <c r="D213" s="466">
        <v>0</v>
      </c>
      <c r="E213" s="468"/>
      <c r="F213" s="466">
        <v>0</v>
      </c>
      <c r="G213" s="466">
        <v>0</v>
      </c>
      <c r="H213" s="468"/>
      <c r="I213" s="468"/>
      <c r="J213" s="468"/>
      <c r="K213" s="468"/>
    </row>
    <row r="214" spans="1:11" ht="12.75" customHeight="1" x14ac:dyDescent="0.2">
      <c r="A214" s="463" t="s">
        <v>1054</v>
      </c>
      <c r="B214" s="470">
        <v>4625</v>
      </c>
      <c r="C214" s="548">
        <v>113796</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132173</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4893</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3705</v>
      </c>
      <c r="D263" s="573">
        <v>0</v>
      </c>
      <c r="E263" s="468"/>
      <c r="F263" s="573">
        <v>0</v>
      </c>
      <c r="G263" s="573">
        <v>0</v>
      </c>
      <c r="H263" s="468"/>
      <c r="I263" s="468"/>
      <c r="J263" s="468"/>
      <c r="K263" s="468"/>
    </row>
    <row r="264" spans="1:11" ht="12.75" customHeight="1" thickTop="1" thickBot="1" x14ac:dyDescent="0.25">
      <c r="A264" s="463" t="s">
        <v>377</v>
      </c>
      <c r="B264" s="470">
        <v>4992</v>
      </c>
      <c r="C264" s="572">
        <v>9039</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233050</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261659</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2575825</v>
      </c>
      <c r="D268" s="1712">
        <f t="shared" si="12"/>
        <v>310972</v>
      </c>
      <c r="E268" s="1712">
        <f t="shared" si="12"/>
        <v>246646</v>
      </c>
      <c r="F268" s="1712">
        <f t="shared" si="12"/>
        <v>241501</v>
      </c>
      <c r="G268" s="1712">
        <f t="shared" si="12"/>
        <v>102586</v>
      </c>
      <c r="H268" s="1712">
        <f t="shared" si="12"/>
        <v>5834</v>
      </c>
      <c r="I268" s="1712">
        <f t="shared" si="12"/>
        <v>31068</v>
      </c>
      <c r="J268" s="1712">
        <f t="shared" si="12"/>
        <v>0</v>
      </c>
      <c r="K268" s="1699">
        <f t="shared" si="12"/>
        <v>39678</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33" sqref="F33"/>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74"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206"/>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12" t="s">
        <v>297</v>
      </c>
      <c r="B3" s="2213"/>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830572</v>
      </c>
      <c r="D5" s="466">
        <v>203004</v>
      </c>
      <c r="E5" s="466">
        <v>39912</v>
      </c>
      <c r="F5" s="466">
        <v>152202</v>
      </c>
      <c r="G5" s="466">
        <v>49387</v>
      </c>
      <c r="H5" s="466">
        <v>0</v>
      </c>
      <c r="I5" s="467">
        <v>0</v>
      </c>
      <c r="J5" s="467">
        <v>0</v>
      </c>
      <c r="K5" s="1668">
        <f>SUM(C5:J5)</f>
        <v>1275077</v>
      </c>
      <c r="L5" s="471">
        <v>1287955</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82657</v>
      </c>
      <c r="D8" s="466">
        <v>24083</v>
      </c>
      <c r="E8" s="466">
        <v>25</v>
      </c>
      <c r="F8" s="466">
        <v>2060</v>
      </c>
      <c r="G8" s="466">
        <v>0</v>
      </c>
      <c r="H8" s="466">
        <v>0</v>
      </c>
      <c r="I8" s="467">
        <v>0</v>
      </c>
      <c r="J8" s="467">
        <v>0</v>
      </c>
      <c r="K8" s="1668">
        <f t="shared" si="0"/>
        <v>108825</v>
      </c>
      <c r="L8" s="471">
        <v>110100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42059</v>
      </c>
      <c r="D10" s="466">
        <v>8794</v>
      </c>
      <c r="E10" s="466">
        <v>1862</v>
      </c>
      <c r="F10" s="466">
        <v>19561</v>
      </c>
      <c r="G10" s="466">
        <v>510</v>
      </c>
      <c r="H10" s="466">
        <v>0</v>
      </c>
      <c r="I10" s="467">
        <v>0</v>
      </c>
      <c r="J10" s="467">
        <v>0</v>
      </c>
      <c r="K10" s="1668">
        <f t="shared" si="0"/>
        <v>72786</v>
      </c>
      <c r="L10" s="471">
        <v>73116</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31335</v>
      </c>
      <c r="D14" s="466">
        <v>3563</v>
      </c>
      <c r="E14" s="466">
        <v>7470</v>
      </c>
      <c r="F14" s="466">
        <v>14984</v>
      </c>
      <c r="G14" s="466">
        <v>5019</v>
      </c>
      <c r="H14" s="466">
        <v>2849</v>
      </c>
      <c r="I14" s="467">
        <v>0</v>
      </c>
      <c r="J14" s="467">
        <v>0</v>
      </c>
      <c r="K14" s="1668">
        <f t="shared" si="0"/>
        <v>65220</v>
      </c>
      <c r="L14" s="471">
        <v>67392</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677</v>
      </c>
      <c r="D16" s="466">
        <v>77</v>
      </c>
      <c r="E16" s="466">
        <v>0</v>
      </c>
      <c r="F16" s="466">
        <v>0</v>
      </c>
      <c r="G16" s="466">
        <v>0</v>
      </c>
      <c r="H16" s="466">
        <v>0</v>
      </c>
      <c r="I16" s="467">
        <v>0</v>
      </c>
      <c r="J16" s="467">
        <v>0</v>
      </c>
      <c r="K16" s="1668">
        <f t="shared" si="0"/>
        <v>754</v>
      </c>
      <c r="L16" s="471">
        <v>765</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174433</v>
      </c>
      <c r="I22" s="613"/>
      <c r="J22" s="475"/>
      <c r="K22" s="1668">
        <f t="shared" si="0"/>
        <v>174433</v>
      </c>
      <c r="L22" s="471">
        <v>175000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987300</v>
      </c>
      <c r="D33" s="1667">
        <f t="shared" ref="D33:L33" si="1">SUM(D5:D32)</f>
        <v>239521</v>
      </c>
      <c r="E33" s="1667">
        <f t="shared" si="1"/>
        <v>49269</v>
      </c>
      <c r="F33" s="1667">
        <f t="shared" si="1"/>
        <v>188807</v>
      </c>
      <c r="G33" s="1667">
        <f t="shared" si="1"/>
        <v>54916</v>
      </c>
      <c r="H33" s="1667">
        <f t="shared" si="1"/>
        <v>177282</v>
      </c>
      <c r="I33" s="1667">
        <f t="shared" si="1"/>
        <v>0</v>
      </c>
      <c r="J33" s="1667">
        <f t="shared" si="1"/>
        <v>0</v>
      </c>
      <c r="K33" s="1667">
        <f t="shared" si="1"/>
        <v>1697095</v>
      </c>
      <c r="L33" s="1667">
        <f t="shared" si="1"/>
        <v>1714328</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32726</v>
      </c>
      <c r="D36" s="479">
        <v>5487</v>
      </c>
      <c r="E36" s="479">
        <v>0</v>
      </c>
      <c r="F36" s="479">
        <v>0</v>
      </c>
      <c r="G36" s="479">
        <v>0</v>
      </c>
      <c r="H36" s="479">
        <v>0</v>
      </c>
      <c r="I36" s="467">
        <v>0</v>
      </c>
      <c r="J36" s="467">
        <v>0</v>
      </c>
      <c r="K36" s="1668">
        <f t="shared" ref="K36:K41" si="2">SUM(C36:J36)</f>
        <v>38213</v>
      </c>
      <c r="L36" s="466">
        <v>38405</v>
      </c>
    </row>
    <row r="37" spans="1:14" x14ac:dyDescent="0.2">
      <c r="A37" s="1501" t="s">
        <v>1090</v>
      </c>
      <c r="B37" s="611">
        <v>2120</v>
      </c>
      <c r="C37" s="466">
        <v>0</v>
      </c>
      <c r="D37" s="466">
        <v>0</v>
      </c>
      <c r="E37" s="466">
        <v>0</v>
      </c>
      <c r="F37" s="466">
        <v>0</v>
      </c>
      <c r="G37" s="466">
        <v>0</v>
      </c>
      <c r="H37" s="466">
        <v>0</v>
      </c>
      <c r="I37" s="467">
        <v>0</v>
      </c>
      <c r="J37" s="467">
        <v>0</v>
      </c>
      <c r="K37" s="1668">
        <f t="shared" si="2"/>
        <v>0</v>
      </c>
      <c r="L37" s="466">
        <v>0</v>
      </c>
    </row>
    <row r="38" spans="1:14" x14ac:dyDescent="0.2">
      <c r="A38" s="1501" t="s">
        <v>198</v>
      </c>
      <c r="B38" s="611">
        <v>2130</v>
      </c>
      <c r="C38" s="466">
        <v>31621</v>
      </c>
      <c r="D38" s="466">
        <v>0</v>
      </c>
      <c r="E38" s="466">
        <v>0</v>
      </c>
      <c r="F38" s="466">
        <v>1189</v>
      </c>
      <c r="G38" s="466">
        <v>0</v>
      </c>
      <c r="H38" s="466">
        <v>0</v>
      </c>
      <c r="I38" s="467">
        <v>0</v>
      </c>
      <c r="J38" s="467">
        <v>0</v>
      </c>
      <c r="K38" s="1668">
        <f t="shared" si="2"/>
        <v>32810</v>
      </c>
      <c r="L38" s="466">
        <v>33309</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21213</v>
      </c>
      <c r="D40" s="466">
        <v>3223</v>
      </c>
      <c r="E40" s="466">
        <v>11360</v>
      </c>
      <c r="F40" s="466">
        <v>708</v>
      </c>
      <c r="G40" s="466">
        <v>0</v>
      </c>
      <c r="H40" s="466">
        <v>0</v>
      </c>
      <c r="I40" s="467">
        <v>0</v>
      </c>
      <c r="J40" s="467">
        <v>0</v>
      </c>
      <c r="K40" s="1668">
        <f t="shared" si="2"/>
        <v>36504</v>
      </c>
      <c r="L40" s="466">
        <v>37050</v>
      </c>
    </row>
    <row r="41" spans="1:14" x14ac:dyDescent="0.2">
      <c r="A41" s="1501" t="s">
        <v>1669</v>
      </c>
      <c r="B41" s="611">
        <v>2190</v>
      </c>
      <c r="C41" s="466">
        <v>0</v>
      </c>
      <c r="D41" s="466">
        <v>0</v>
      </c>
      <c r="E41" s="466">
        <v>0</v>
      </c>
      <c r="F41" s="466">
        <v>2212</v>
      </c>
      <c r="G41" s="466">
        <v>0</v>
      </c>
      <c r="H41" s="466">
        <v>0</v>
      </c>
      <c r="I41" s="467">
        <v>0</v>
      </c>
      <c r="J41" s="467">
        <v>0</v>
      </c>
      <c r="K41" s="1668">
        <f t="shared" si="2"/>
        <v>2212</v>
      </c>
      <c r="L41" s="466">
        <v>3000</v>
      </c>
    </row>
    <row r="42" spans="1:14" ht="12.75" customHeight="1" thickBot="1" x14ac:dyDescent="0.25">
      <c r="A42" s="1665" t="s">
        <v>560</v>
      </c>
      <c r="B42" s="1666" t="s">
        <v>716</v>
      </c>
      <c r="C42" s="1667">
        <f>SUM(C36:C41)</f>
        <v>85560</v>
      </c>
      <c r="D42" s="1667">
        <f t="shared" ref="D42:L42" si="3">SUM(D36:D41)</f>
        <v>8710</v>
      </c>
      <c r="E42" s="1667">
        <f t="shared" si="3"/>
        <v>11360</v>
      </c>
      <c r="F42" s="1667">
        <f t="shared" si="3"/>
        <v>4109</v>
      </c>
      <c r="G42" s="1667">
        <f t="shared" si="3"/>
        <v>0</v>
      </c>
      <c r="H42" s="1667">
        <f t="shared" si="3"/>
        <v>0</v>
      </c>
      <c r="I42" s="1667">
        <f t="shared" si="3"/>
        <v>0</v>
      </c>
      <c r="J42" s="1667">
        <f t="shared" si="3"/>
        <v>0</v>
      </c>
      <c r="K42" s="1667">
        <f t="shared" si="3"/>
        <v>109739</v>
      </c>
      <c r="L42" s="1667">
        <f t="shared" si="3"/>
        <v>111764</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3359</v>
      </c>
      <c r="D44" s="479">
        <v>7194</v>
      </c>
      <c r="E44" s="479">
        <v>6219</v>
      </c>
      <c r="F44" s="479">
        <v>0</v>
      </c>
      <c r="G44" s="479">
        <v>0</v>
      </c>
      <c r="H44" s="479">
        <v>0</v>
      </c>
      <c r="I44" s="467">
        <v>0</v>
      </c>
      <c r="J44" s="467">
        <v>0</v>
      </c>
      <c r="K44" s="1669">
        <f>SUM(C44:J44)</f>
        <v>16772</v>
      </c>
      <c r="L44" s="479">
        <v>18284</v>
      </c>
    </row>
    <row r="45" spans="1:14" x14ac:dyDescent="0.2">
      <c r="A45" s="1501" t="s">
        <v>815</v>
      </c>
      <c r="B45" s="611">
        <v>2220</v>
      </c>
      <c r="C45" s="466">
        <v>0</v>
      </c>
      <c r="D45" s="466">
        <v>0</v>
      </c>
      <c r="E45" s="466">
        <v>0</v>
      </c>
      <c r="F45" s="466">
        <v>0</v>
      </c>
      <c r="G45" s="466">
        <v>0</v>
      </c>
      <c r="H45" s="466">
        <v>0</v>
      </c>
      <c r="I45" s="467">
        <v>0</v>
      </c>
      <c r="J45" s="467">
        <v>0</v>
      </c>
      <c r="K45" s="1669">
        <f>SUM(C45:J45)</f>
        <v>0</v>
      </c>
      <c r="L45" s="466">
        <v>0</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3359</v>
      </c>
      <c r="D47" s="1667">
        <f t="shared" ref="D47:K47" si="4">SUM(D44:D46)</f>
        <v>7194</v>
      </c>
      <c r="E47" s="1667">
        <f t="shared" si="4"/>
        <v>6219</v>
      </c>
      <c r="F47" s="1667">
        <f t="shared" si="4"/>
        <v>0</v>
      </c>
      <c r="G47" s="1667">
        <f t="shared" si="4"/>
        <v>0</v>
      </c>
      <c r="H47" s="1667">
        <f t="shared" si="4"/>
        <v>0</v>
      </c>
      <c r="I47" s="1667">
        <f t="shared" si="4"/>
        <v>0</v>
      </c>
      <c r="J47" s="1667">
        <f t="shared" si="4"/>
        <v>0</v>
      </c>
      <c r="K47" s="1667">
        <f t="shared" si="4"/>
        <v>16772</v>
      </c>
      <c r="L47" s="1667">
        <f>SUM(L44:L46)</f>
        <v>18284</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3926</v>
      </c>
      <c r="D49" s="479">
        <v>0</v>
      </c>
      <c r="E49" s="479">
        <v>9628</v>
      </c>
      <c r="F49" s="479">
        <v>699</v>
      </c>
      <c r="G49" s="479">
        <v>0</v>
      </c>
      <c r="H49" s="479">
        <v>22484</v>
      </c>
      <c r="I49" s="467">
        <v>0</v>
      </c>
      <c r="J49" s="467">
        <v>0</v>
      </c>
      <c r="K49" s="1669">
        <f>SUM(C49:J49)</f>
        <v>36737</v>
      </c>
      <c r="L49" s="479">
        <v>38827</v>
      </c>
    </row>
    <row r="50" spans="1:14" x14ac:dyDescent="0.2">
      <c r="A50" s="1501" t="s">
        <v>818</v>
      </c>
      <c r="B50" s="611">
        <v>2320</v>
      </c>
      <c r="C50" s="467">
        <v>144324</v>
      </c>
      <c r="D50" s="466">
        <v>24830</v>
      </c>
      <c r="E50" s="466">
        <v>209</v>
      </c>
      <c r="F50" s="466">
        <v>3596</v>
      </c>
      <c r="G50" s="466">
        <v>0</v>
      </c>
      <c r="H50" s="466">
        <v>14919</v>
      </c>
      <c r="I50" s="467">
        <v>0</v>
      </c>
      <c r="J50" s="467">
        <v>0</v>
      </c>
      <c r="K50" s="1669">
        <f>SUM(C50:J50)</f>
        <v>187878</v>
      </c>
      <c r="L50" s="466">
        <v>190004</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82275</v>
      </c>
      <c r="F52" s="473">
        <v>0</v>
      </c>
      <c r="G52" s="473">
        <v>0</v>
      </c>
      <c r="H52" s="473">
        <v>0</v>
      </c>
      <c r="I52" s="473">
        <v>0</v>
      </c>
      <c r="J52" s="473">
        <v>0</v>
      </c>
      <c r="K52" s="1669">
        <f>SUM(C52:J52)</f>
        <v>82275</v>
      </c>
      <c r="L52" s="473">
        <v>83000</v>
      </c>
    </row>
    <row r="53" spans="1:14" ht="12.75" customHeight="1" thickBot="1" x14ac:dyDescent="0.25">
      <c r="A53" s="1665" t="s">
        <v>717</v>
      </c>
      <c r="B53" s="1666" t="s">
        <v>33</v>
      </c>
      <c r="C53" s="1667">
        <f>SUM(C49:C52)</f>
        <v>148250</v>
      </c>
      <c r="D53" s="1667">
        <f t="shared" ref="D53:L53" si="5">SUM(D49:D52)</f>
        <v>24830</v>
      </c>
      <c r="E53" s="1667">
        <f t="shared" si="5"/>
        <v>92112</v>
      </c>
      <c r="F53" s="1667">
        <f t="shared" si="5"/>
        <v>4295</v>
      </c>
      <c r="G53" s="1667">
        <f t="shared" si="5"/>
        <v>0</v>
      </c>
      <c r="H53" s="1667">
        <f t="shared" si="5"/>
        <v>37403</v>
      </c>
      <c r="I53" s="1667">
        <f t="shared" si="5"/>
        <v>0</v>
      </c>
      <c r="J53" s="1667">
        <f t="shared" si="5"/>
        <v>0</v>
      </c>
      <c r="K53" s="1667">
        <f t="shared" si="5"/>
        <v>306890</v>
      </c>
      <c r="L53" s="1667">
        <f t="shared" si="5"/>
        <v>311831</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105244</v>
      </c>
      <c r="D55" s="479">
        <v>14547</v>
      </c>
      <c r="E55" s="479">
        <v>0</v>
      </c>
      <c r="F55" s="479">
        <v>0</v>
      </c>
      <c r="G55" s="479">
        <v>0</v>
      </c>
      <c r="H55" s="479">
        <v>0</v>
      </c>
      <c r="I55" s="467">
        <v>0</v>
      </c>
      <c r="J55" s="467">
        <v>0</v>
      </c>
      <c r="K55" s="1669">
        <f>SUM(C55:J55)</f>
        <v>119791</v>
      </c>
      <c r="L55" s="479">
        <v>119949</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105244</v>
      </c>
      <c r="D57" s="1671">
        <f t="shared" ref="D57:K57" si="6">SUM(D55:D56)</f>
        <v>14547</v>
      </c>
      <c r="E57" s="1671">
        <f t="shared" si="6"/>
        <v>0</v>
      </c>
      <c r="F57" s="1671">
        <f t="shared" si="6"/>
        <v>0</v>
      </c>
      <c r="G57" s="1671">
        <f t="shared" si="6"/>
        <v>0</v>
      </c>
      <c r="H57" s="1671">
        <f t="shared" si="6"/>
        <v>0</v>
      </c>
      <c r="I57" s="1671">
        <f t="shared" si="6"/>
        <v>0</v>
      </c>
      <c r="J57" s="1671">
        <f t="shared" si="6"/>
        <v>0</v>
      </c>
      <c r="K57" s="1671">
        <f t="shared" si="6"/>
        <v>119791</v>
      </c>
      <c r="L57" s="1667">
        <f>SUM(L55:L56)</f>
        <v>119949</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50118</v>
      </c>
      <c r="D60" s="466">
        <v>8322</v>
      </c>
      <c r="E60" s="466">
        <v>1201</v>
      </c>
      <c r="F60" s="466">
        <v>1288</v>
      </c>
      <c r="G60" s="466">
        <v>0</v>
      </c>
      <c r="H60" s="466">
        <v>0</v>
      </c>
      <c r="I60" s="467">
        <v>0</v>
      </c>
      <c r="J60" s="467">
        <v>0</v>
      </c>
      <c r="K60" s="1669">
        <f t="shared" si="7"/>
        <v>60929</v>
      </c>
      <c r="L60" s="466">
        <v>62369</v>
      </c>
      <c r="M60" s="606"/>
      <c r="N60" s="606"/>
    </row>
    <row r="61" spans="1:14" s="343" customFormat="1" x14ac:dyDescent="0.2">
      <c r="A61" s="1501" t="s">
        <v>197</v>
      </c>
      <c r="B61" s="611">
        <v>2540</v>
      </c>
      <c r="C61" s="466">
        <v>0</v>
      </c>
      <c r="D61" s="466">
        <v>0</v>
      </c>
      <c r="E61" s="466">
        <v>2690</v>
      </c>
      <c r="F61" s="466">
        <v>89663</v>
      </c>
      <c r="G61" s="466">
        <v>0</v>
      </c>
      <c r="H61" s="466">
        <v>0</v>
      </c>
      <c r="I61" s="467">
        <v>0</v>
      </c>
      <c r="J61" s="467">
        <v>0</v>
      </c>
      <c r="K61" s="1669">
        <f t="shared" si="7"/>
        <v>92353</v>
      </c>
      <c r="L61" s="466">
        <v>93750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23099</v>
      </c>
      <c r="D63" s="466">
        <v>0</v>
      </c>
      <c r="E63" s="466">
        <v>286</v>
      </c>
      <c r="F63" s="466">
        <v>60036</v>
      </c>
      <c r="G63" s="466">
        <v>826</v>
      </c>
      <c r="H63" s="466">
        <v>0</v>
      </c>
      <c r="I63" s="467">
        <v>0</v>
      </c>
      <c r="J63" s="467">
        <v>0</v>
      </c>
      <c r="K63" s="1669">
        <f t="shared" si="7"/>
        <v>84247</v>
      </c>
      <c r="L63" s="466">
        <v>88500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73217</v>
      </c>
      <c r="D65" s="1667">
        <f t="shared" ref="D65:L65" si="8">SUM(D59:D64)</f>
        <v>8322</v>
      </c>
      <c r="E65" s="1667">
        <f t="shared" si="8"/>
        <v>4177</v>
      </c>
      <c r="F65" s="1667">
        <f t="shared" si="8"/>
        <v>150987</v>
      </c>
      <c r="G65" s="1667">
        <f t="shared" si="8"/>
        <v>826</v>
      </c>
      <c r="H65" s="1667">
        <f t="shared" si="8"/>
        <v>0</v>
      </c>
      <c r="I65" s="1667">
        <f t="shared" si="8"/>
        <v>0</v>
      </c>
      <c r="J65" s="1667">
        <f t="shared" si="8"/>
        <v>0</v>
      </c>
      <c r="K65" s="1667">
        <f t="shared" si="8"/>
        <v>237529</v>
      </c>
      <c r="L65" s="1667">
        <f t="shared" si="8"/>
        <v>244619</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415630</v>
      </c>
      <c r="D74" s="1674">
        <f t="shared" ref="D74:K74" si="10">SUM(D42,D47,D53,D57,D65,D72,D73)</f>
        <v>63603</v>
      </c>
      <c r="E74" s="1674">
        <f t="shared" si="10"/>
        <v>113868</v>
      </c>
      <c r="F74" s="1674">
        <f t="shared" si="10"/>
        <v>159391</v>
      </c>
      <c r="G74" s="1674">
        <f t="shared" si="10"/>
        <v>826</v>
      </c>
      <c r="H74" s="1674">
        <f t="shared" si="10"/>
        <v>37403</v>
      </c>
      <c r="I74" s="1674">
        <f t="shared" si="10"/>
        <v>0</v>
      </c>
      <c r="J74" s="1674">
        <f t="shared" si="10"/>
        <v>0</v>
      </c>
      <c r="K74" s="1674">
        <f t="shared" si="10"/>
        <v>790721</v>
      </c>
      <c r="L74" s="1674">
        <f>SUM(L42,L47,L53,L57,L65,L72,L73)</f>
        <v>806447</v>
      </c>
    </row>
    <row r="75" spans="1:14" s="259" customFormat="1" ht="15.75" customHeight="1" thickTop="1" thickBot="1" x14ac:dyDescent="0.25">
      <c r="A75" s="1607" t="s">
        <v>47</v>
      </c>
      <c r="B75" s="1608" t="s">
        <v>575</v>
      </c>
      <c r="C75" s="467">
        <v>1909</v>
      </c>
      <c r="D75" s="467">
        <v>0</v>
      </c>
      <c r="E75" s="467">
        <v>0</v>
      </c>
      <c r="F75" s="467">
        <v>431</v>
      </c>
      <c r="G75" s="467">
        <v>0</v>
      </c>
      <c r="H75" s="467">
        <v>0</v>
      </c>
      <c r="I75" s="467">
        <v>0</v>
      </c>
      <c r="J75" s="467">
        <v>0</v>
      </c>
      <c r="K75" s="1667">
        <f>SUM(C75:J75)</f>
        <v>2340</v>
      </c>
      <c r="L75" s="573">
        <v>2822</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37202</v>
      </c>
      <c r="F79" s="613"/>
      <c r="G79" s="613"/>
      <c r="H79" s="466">
        <v>1419</v>
      </c>
      <c r="I79" s="475"/>
      <c r="J79" s="475"/>
      <c r="K79" s="1668">
        <f t="shared" si="11"/>
        <v>38621</v>
      </c>
      <c r="L79" s="466">
        <v>50000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37202</v>
      </c>
      <c r="F84" s="613"/>
      <c r="G84" s="613"/>
      <c r="H84" s="1667">
        <f>SUM(H78:H83)</f>
        <v>1419</v>
      </c>
      <c r="I84" s="475"/>
      <c r="J84" s="475"/>
      <c r="K84" s="1667">
        <f>SUM(K78:K83)</f>
        <v>38621</v>
      </c>
      <c r="L84" s="1667">
        <f>SUM(L78:L83)</f>
        <v>50000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0</v>
      </c>
      <c r="I92" s="475"/>
      <c r="J92" s="475"/>
      <c r="K92" s="1674">
        <f t="shared" si="12"/>
        <v>0</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37202</v>
      </c>
      <c r="F102" s="613"/>
      <c r="G102" s="613"/>
      <c r="H102" s="1674">
        <f>SUM(H84,H92,H100,H101)</f>
        <v>1419</v>
      </c>
      <c r="I102" s="475"/>
      <c r="J102" s="475"/>
      <c r="K102" s="1674">
        <f>SUM(K84,K92,K100,K101)</f>
        <v>38621</v>
      </c>
      <c r="L102" s="1674">
        <f>SUM(L84,L92,L100,L101)</f>
        <v>50000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1404839</v>
      </c>
      <c r="D114" s="1667">
        <f t="shared" ref="D114:K114" si="13">SUM(D33,D74,D75,D102,D112,D113)</f>
        <v>303124</v>
      </c>
      <c r="E114" s="1667">
        <f t="shared" si="13"/>
        <v>200339</v>
      </c>
      <c r="F114" s="1667">
        <f t="shared" si="13"/>
        <v>348629</v>
      </c>
      <c r="G114" s="1667">
        <f t="shared" si="13"/>
        <v>55742</v>
      </c>
      <c r="H114" s="1667">
        <f>SUM(H33,H74,H75,H102,H112,H113)</f>
        <v>216104</v>
      </c>
      <c r="I114" s="1667">
        <f t="shared" si="13"/>
        <v>0</v>
      </c>
      <c r="J114" s="1667">
        <f t="shared" si="13"/>
        <v>0</v>
      </c>
      <c r="K114" s="1667">
        <f t="shared" si="13"/>
        <v>2528777</v>
      </c>
      <c r="L114" s="1667">
        <f>SUM(L33,L74,L75,L102,L112,L113)</f>
        <v>2573597</v>
      </c>
    </row>
    <row r="115" spans="1:14" ht="13.5" thickTop="1" x14ac:dyDescent="0.2">
      <c r="A115" s="2231" t="s">
        <v>996</v>
      </c>
      <c r="B115" s="2232"/>
      <c r="C115" s="615"/>
      <c r="D115" s="615"/>
      <c r="E115" s="615"/>
      <c r="F115" s="615"/>
      <c r="G115" s="615"/>
      <c r="H115" s="615"/>
      <c r="I115" s="615"/>
      <c r="J115" s="615"/>
      <c r="K115" s="1681">
        <f>'Revenues 9-14'!C268-'Expenditures 15-22'!K114</f>
        <v>47048</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09" t="s">
        <v>296</v>
      </c>
      <c r="B117" s="2210"/>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142145</v>
      </c>
      <c r="D124" s="466">
        <v>41105</v>
      </c>
      <c r="E124" s="466">
        <v>79515</v>
      </c>
      <c r="F124" s="466">
        <v>24742</v>
      </c>
      <c r="G124" s="466">
        <v>12069</v>
      </c>
      <c r="H124" s="466">
        <v>0</v>
      </c>
      <c r="I124" s="467">
        <v>0</v>
      </c>
      <c r="J124" s="467">
        <v>0</v>
      </c>
      <c r="K124" s="1667">
        <f>SUM(C124:J124)</f>
        <v>299576</v>
      </c>
      <c r="L124" s="466">
        <v>308775</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142145</v>
      </c>
      <c r="D127" s="1667">
        <f t="shared" ref="D127:L127" si="14">SUM(D122:D126)</f>
        <v>41105</v>
      </c>
      <c r="E127" s="1667">
        <f t="shared" si="14"/>
        <v>79515</v>
      </c>
      <c r="F127" s="1667">
        <f t="shared" si="14"/>
        <v>24742</v>
      </c>
      <c r="G127" s="1667">
        <f t="shared" si="14"/>
        <v>12069</v>
      </c>
      <c r="H127" s="1667">
        <f t="shared" si="14"/>
        <v>0</v>
      </c>
      <c r="I127" s="1667">
        <f t="shared" si="14"/>
        <v>0</v>
      </c>
      <c r="J127" s="1667">
        <f t="shared" si="14"/>
        <v>0</v>
      </c>
      <c r="K127" s="1667">
        <f t="shared" si="14"/>
        <v>299576</v>
      </c>
      <c r="L127" s="1667">
        <f t="shared" si="14"/>
        <v>308775</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142145</v>
      </c>
      <c r="D129" s="1674">
        <f t="shared" ref="D129:L129" si="15">SUM(D120,D127,D128)</f>
        <v>41105</v>
      </c>
      <c r="E129" s="1674">
        <f t="shared" si="15"/>
        <v>79515</v>
      </c>
      <c r="F129" s="1674">
        <f t="shared" si="15"/>
        <v>24742</v>
      </c>
      <c r="G129" s="1674">
        <f t="shared" si="15"/>
        <v>12069</v>
      </c>
      <c r="H129" s="1674">
        <f t="shared" si="15"/>
        <v>0</v>
      </c>
      <c r="I129" s="1674">
        <f t="shared" si="15"/>
        <v>0</v>
      </c>
      <c r="J129" s="1674">
        <f t="shared" si="15"/>
        <v>0</v>
      </c>
      <c r="K129" s="1674">
        <f t="shared" si="15"/>
        <v>299576</v>
      </c>
      <c r="L129" s="1674">
        <f t="shared" si="15"/>
        <v>308775</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221" t="s">
        <v>620</v>
      </c>
      <c r="B151" s="2203"/>
      <c r="C151" s="1667">
        <f>SUM(C129,C130,C139,C149,C150)</f>
        <v>142145</v>
      </c>
      <c r="D151" s="1667">
        <f t="shared" ref="D151:K151" si="16">SUM(D129,D130,D139,D149,D150)</f>
        <v>41105</v>
      </c>
      <c r="E151" s="1667">
        <f t="shared" si="16"/>
        <v>79515</v>
      </c>
      <c r="F151" s="1667">
        <f t="shared" si="16"/>
        <v>24742</v>
      </c>
      <c r="G151" s="1667">
        <f t="shared" si="16"/>
        <v>12069</v>
      </c>
      <c r="H151" s="1667">
        <f t="shared" si="16"/>
        <v>0</v>
      </c>
      <c r="I151" s="1667">
        <f t="shared" si="16"/>
        <v>0</v>
      </c>
      <c r="J151" s="1667">
        <f t="shared" si="16"/>
        <v>0</v>
      </c>
      <c r="K151" s="1667">
        <f t="shared" si="16"/>
        <v>299576</v>
      </c>
      <c r="L151" s="1667">
        <f>SUM(L129,L130,L139,L149,L150)</f>
        <v>308775</v>
      </c>
    </row>
    <row r="152" spans="1:14" ht="12.75" customHeight="1" thickTop="1" x14ac:dyDescent="0.2">
      <c r="A152" s="2224" t="s">
        <v>1178</v>
      </c>
      <c r="B152" s="2225"/>
      <c r="C152" s="615"/>
      <c r="D152" s="615"/>
      <c r="E152" s="615"/>
      <c r="F152" s="615"/>
      <c r="G152" s="615"/>
      <c r="H152" s="615"/>
      <c r="I152" s="615"/>
      <c r="J152" s="613"/>
      <c r="K152" s="1681">
        <f>'Revenues 9-14'!D268-'Expenditures 15-22'!K151</f>
        <v>11396</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09" t="s">
        <v>621</v>
      </c>
      <c r="B154" s="2211"/>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133423</v>
      </c>
      <c r="I169" s="613"/>
      <c r="J169" s="613"/>
      <c r="K169" s="1668">
        <f>SUM(C169:H169)</f>
        <v>133423</v>
      </c>
      <c r="L169" s="653">
        <v>133423</v>
      </c>
    </row>
    <row r="170" spans="1:14" ht="33.75" customHeight="1" x14ac:dyDescent="0.2">
      <c r="A170" s="666" t="s">
        <v>1670</v>
      </c>
      <c r="B170" s="668" t="s">
        <v>31</v>
      </c>
      <c r="C170" s="613"/>
      <c r="D170" s="613"/>
      <c r="E170" s="613"/>
      <c r="F170" s="613"/>
      <c r="G170" s="613"/>
      <c r="H170" s="566">
        <v>111000</v>
      </c>
      <c r="I170" s="613"/>
      <c r="J170" s="613"/>
      <c r="K170" s="1668">
        <f>SUM(C170:J170)</f>
        <v>111000</v>
      </c>
      <c r="L170" s="566">
        <v>111000</v>
      </c>
    </row>
    <row r="171" spans="1:14" ht="15.75" customHeight="1" x14ac:dyDescent="0.2">
      <c r="A171" s="618" t="s">
        <v>766</v>
      </c>
      <c r="B171" s="669" t="s">
        <v>84</v>
      </c>
      <c r="C171" s="613"/>
      <c r="D171" s="613"/>
      <c r="E171" s="466">
        <v>850</v>
      </c>
      <c r="F171" s="613"/>
      <c r="G171" s="613"/>
      <c r="H171" s="566">
        <v>0</v>
      </c>
      <c r="I171" s="475"/>
      <c r="J171" s="613"/>
      <c r="K171" s="1668">
        <f>SUM(C171:J171)</f>
        <v>850</v>
      </c>
      <c r="L171" s="566">
        <v>850</v>
      </c>
    </row>
    <row r="172" spans="1:14" ht="12.75" customHeight="1" thickBot="1" x14ac:dyDescent="0.25">
      <c r="A172" s="1665" t="s">
        <v>638</v>
      </c>
      <c r="B172" s="1666" t="s">
        <v>492</v>
      </c>
      <c r="C172" s="613"/>
      <c r="D172" s="613"/>
      <c r="E172" s="1674">
        <f>SUM(E168,E169,E170,E171)</f>
        <v>850</v>
      </c>
      <c r="F172" s="613"/>
      <c r="G172" s="613"/>
      <c r="H172" s="1674">
        <f>SUM(H168,H169,H170,H171)</f>
        <v>244423</v>
      </c>
      <c r="I172" s="635"/>
      <c r="J172" s="613"/>
      <c r="K172" s="1674">
        <f>SUM(K168,K169,K170,K171)</f>
        <v>245273</v>
      </c>
      <c r="L172" s="1674">
        <f>SUM(L168,L169,L170,L171)</f>
        <v>245273</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850</v>
      </c>
      <c r="F174" s="613"/>
      <c r="G174" s="613"/>
      <c r="H174" s="1674">
        <f>SUM(H160,H172,H173)</f>
        <v>244423</v>
      </c>
      <c r="I174" s="635"/>
      <c r="J174" s="613"/>
      <c r="K174" s="1674">
        <f>SUM(K160,K172,K173)</f>
        <v>245273</v>
      </c>
      <c r="L174" s="1674">
        <f>SUM(L160,L172,L173)</f>
        <v>245273</v>
      </c>
    </row>
    <row r="175" spans="1:14" ht="13.5" thickTop="1" x14ac:dyDescent="0.2">
      <c r="A175" s="2231" t="s">
        <v>996</v>
      </c>
      <c r="B175" s="2232"/>
      <c r="C175" s="613"/>
      <c r="D175" s="613"/>
      <c r="E175" s="613"/>
      <c r="F175" s="613"/>
      <c r="G175" s="613"/>
      <c r="H175" s="615"/>
      <c r="I175" s="613"/>
      <c r="J175" s="613"/>
      <c r="K175" s="1681">
        <f>'Revenues 9-14'!E268-'Expenditures 15-22'!K174</f>
        <v>1373</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0</v>
      </c>
      <c r="F182" s="466">
        <v>0</v>
      </c>
      <c r="G182" s="466">
        <v>0</v>
      </c>
      <c r="H182" s="466">
        <v>0</v>
      </c>
      <c r="I182" s="467">
        <v>0</v>
      </c>
      <c r="J182" s="467">
        <v>0</v>
      </c>
      <c r="K182" s="1668">
        <f>SUM(C182:J182)</f>
        <v>0</v>
      </c>
      <c r="L182" s="466">
        <v>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0</v>
      </c>
      <c r="F184" s="1674">
        <f t="shared" si="17"/>
        <v>0</v>
      </c>
      <c r="G184" s="1674">
        <f t="shared" si="17"/>
        <v>0</v>
      </c>
      <c r="H184" s="1674">
        <f t="shared" si="17"/>
        <v>0</v>
      </c>
      <c r="I184" s="1674">
        <f t="shared" si="17"/>
        <v>0</v>
      </c>
      <c r="J184" s="1674">
        <f t="shared" si="17"/>
        <v>0</v>
      </c>
      <c r="K184" s="1674">
        <f>SUM(K180,K182,K183)</f>
        <v>0</v>
      </c>
      <c r="L184" s="1674">
        <f>SUM(L180, L182:L183)</f>
        <v>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148384</v>
      </c>
      <c r="F188" s="613"/>
      <c r="G188" s="613"/>
      <c r="H188" s="466">
        <v>0</v>
      </c>
      <c r="I188" s="475"/>
      <c r="J188" s="613"/>
      <c r="K188" s="1668">
        <f t="shared" ref="K188:K193" si="18">SUM(E188,H188)</f>
        <v>148384</v>
      </c>
      <c r="L188" s="466">
        <v>148200</v>
      </c>
    </row>
    <row r="189" spans="1:14" x14ac:dyDescent="0.2">
      <c r="A189" s="1501" t="s">
        <v>304</v>
      </c>
      <c r="B189" s="611">
        <v>4120</v>
      </c>
      <c r="C189" s="613"/>
      <c r="D189" s="613"/>
      <c r="E189" s="466">
        <v>43136</v>
      </c>
      <c r="F189" s="613"/>
      <c r="G189" s="613"/>
      <c r="H189" s="466">
        <v>0</v>
      </c>
      <c r="I189" s="475"/>
      <c r="J189" s="613"/>
      <c r="K189" s="1668">
        <f t="shared" si="18"/>
        <v>43136</v>
      </c>
      <c r="L189" s="466">
        <v>50000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191520</v>
      </c>
      <c r="F194" s="613"/>
      <c r="G194" s="613"/>
      <c r="H194" s="1667">
        <f>SUM(H188:H193)</f>
        <v>0</v>
      </c>
      <c r="I194" s="475"/>
      <c r="J194" s="613"/>
      <c r="K194" s="1667">
        <f>SUM(K188:K193)</f>
        <v>191520</v>
      </c>
      <c r="L194" s="1667">
        <f>SUM(L188:L193)</f>
        <v>198200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191520</v>
      </c>
      <c r="F196" s="613"/>
      <c r="G196" s="613"/>
      <c r="H196" s="1674">
        <f>SUM(H194,H195)</f>
        <v>0</v>
      </c>
      <c r="I196" s="475"/>
      <c r="J196" s="613"/>
      <c r="K196" s="1674">
        <f>SUM(K194,K195)</f>
        <v>191520</v>
      </c>
      <c r="L196" s="1674">
        <f>SUM(L194,L195)</f>
        <v>198200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0</v>
      </c>
      <c r="D210" s="1667">
        <f>SUM(D184,D185)</f>
        <v>0</v>
      </c>
      <c r="E210" s="1667">
        <f>SUM(E184,E185,E196)</f>
        <v>191520</v>
      </c>
      <c r="F210" s="1667">
        <f>SUM(F184,F185)</f>
        <v>0</v>
      </c>
      <c r="G210" s="1667">
        <f>SUM(G184,G185)</f>
        <v>0</v>
      </c>
      <c r="H210" s="1667">
        <f>SUM(H184,H185,H196,H208,H209)</f>
        <v>0</v>
      </c>
      <c r="I210" s="1667">
        <f>SUM(I184,I185)</f>
        <v>0</v>
      </c>
      <c r="J210" s="1667">
        <f>SUM(J184,J185)</f>
        <v>0</v>
      </c>
      <c r="K210" s="1668">
        <f>SUM(K184,K185,K196,K208,K209)</f>
        <v>191520</v>
      </c>
      <c r="L210" s="1667">
        <f>SUM(L184,L185,L196,L208,L209)</f>
        <v>198200</v>
      </c>
    </row>
    <row r="211" spans="1:14" ht="13.5" thickTop="1" x14ac:dyDescent="0.2">
      <c r="A211" s="2231" t="s">
        <v>996</v>
      </c>
      <c r="B211" s="2232"/>
      <c r="C211" s="615"/>
      <c r="D211" s="615"/>
      <c r="E211" s="615"/>
      <c r="F211" s="615"/>
      <c r="G211" s="615"/>
      <c r="H211" s="615"/>
      <c r="I211" s="613"/>
      <c r="J211" s="613"/>
      <c r="K211" s="1681">
        <f>'Revenues 9-14'!F268-'Expenditures 15-22'!K210</f>
        <v>49981</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26" t="s">
        <v>965</v>
      </c>
      <c r="B213" s="2227"/>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26320</v>
      </c>
      <c r="E215" s="613"/>
      <c r="F215" s="613"/>
      <c r="G215" s="613"/>
      <c r="H215" s="613"/>
      <c r="I215" s="613"/>
      <c r="J215" s="613"/>
      <c r="K215" s="1668">
        <f>D215</f>
        <v>26320</v>
      </c>
      <c r="L215" s="466">
        <v>27003</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1141</v>
      </c>
      <c r="E217" s="613"/>
      <c r="F217" s="613"/>
      <c r="G217" s="613"/>
      <c r="H217" s="613"/>
      <c r="I217" s="613"/>
      <c r="J217" s="613"/>
      <c r="K217" s="1668">
        <f t="shared" si="19"/>
        <v>1141</v>
      </c>
      <c r="L217" s="466">
        <v>1200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610</v>
      </c>
      <c r="E219" s="613"/>
      <c r="F219" s="613"/>
      <c r="G219" s="613"/>
      <c r="H219" s="613"/>
      <c r="I219" s="613"/>
      <c r="J219" s="613"/>
      <c r="K219" s="1668">
        <f t="shared" si="19"/>
        <v>610</v>
      </c>
      <c r="L219" s="466">
        <v>600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598</v>
      </c>
      <c r="E223" s="613"/>
      <c r="F223" s="613"/>
      <c r="G223" s="613"/>
      <c r="H223" s="613"/>
      <c r="I223" s="613"/>
      <c r="J223" s="613"/>
      <c r="K223" s="1668">
        <f t="shared" si="19"/>
        <v>598</v>
      </c>
      <c r="L223" s="466">
        <v>617</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10</v>
      </c>
      <c r="E225" s="613"/>
      <c r="F225" s="613"/>
      <c r="G225" s="613"/>
      <c r="H225" s="613"/>
      <c r="I225" s="613"/>
      <c r="J225" s="613"/>
      <c r="K225" s="1668">
        <f t="shared" si="19"/>
        <v>10</v>
      </c>
      <c r="L225" s="466">
        <v>10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28679</v>
      </c>
      <c r="E229" s="613"/>
      <c r="F229" s="613"/>
      <c r="G229" s="613"/>
      <c r="H229" s="613"/>
      <c r="I229" s="613"/>
      <c r="J229" s="613"/>
      <c r="K229" s="1667">
        <f>SUM(K215:K228)</f>
        <v>28679</v>
      </c>
      <c r="L229" s="1667">
        <f>SUM(L215:L228)</f>
        <v>29430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474</v>
      </c>
      <c r="E232" s="613"/>
      <c r="F232" s="613"/>
      <c r="G232" s="613"/>
      <c r="H232" s="613"/>
      <c r="I232" s="613"/>
      <c r="J232" s="613"/>
      <c r="K232" s="1668">
        <f t="shared" ref="K232:K237" si="20">D232</f>
        <v>474</v>
      </c>
      <c r="L232" s="466">
        <v>500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4972</v>
      </c>
      <c r="E234" s="613"/>
      <c r="F234" s="613"/>
      <c r="G234" s="613"/>
      <c r="H234" s="613"/>
      <c r="I234" s="613"/>
      <c r="J234" s="613"/>
      <c r="K234" s="1668">
        <f t="shared" si="20"/>
        <v>4972</v>
      </c>
      <c r="L234" s="466">
        <v>5175</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335</v>
      </c>
      <c r="E236" s="613"/>
      <c r="F236" s="613"/>
      <c r="G236" s="613"/>
      <c r="H236" s="613"/>
      <c r="I236" s="613"/>
      <c r="J236" s="613"/>
      <c r="K236" s="1668">
        <f t="shared" si="20"/>
        <v>335</v>
      </c>
      <c r="L236" s="466">
        <v>350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5781</v>
      </c>
      <c r="E238" s="613"/>
      <c r="F238" s="613"/>
      <c r="G238" s="613"/>
      <c r="H238" s="613"/>
      <c r="I238" s="613"/>
      <c r="J238" s="613"/>
      <c r="K238" s="1667">
        <f>SUM(K232:K237)</f>
        <v>5781</v>
      </c>
      <c r="L238" s="1667">
        <f>SUM(L232:L237)</f>
        <v>6025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29</v>
      </c>
      <c r="E240" s="613"/>
      <c r="F240" s="613"/>
      <c r="G240" s="613"/>
      <c r="H240" s="613"/>
      <c r="I240" s="613"/>
      <c r="J240" s="613"/>
      <c r="K240" s="1669">
        <f>D240</f>
        <v>29</v>
      </c>
      <c r="L240" s="479">
        <v>35</v>
      </c>
    </row>
    <row r="241" spans="1:12" x14ac:dyDescent="0.2">
      <c r="A241" s="1501" t="s">
        <v>815</v>
      </c>
      <c r="B241" s="611">
        <v>2220</v>
      </c>
      <c r="C241" s="613"/>
      <c r="D241" s="466">
        <v>0</v>
      </c>
      <c r="E241" s="613"/>
      <c r="F241" s="613"/>
      <c r="G241" s="613"/>
      <c r="H241" s="613"/>
      <c r="I241" s="613"/>
      <c r="J241" s="613"/>
      <c r="K241" s="1669">
        <f>D241</f>
        <v>0</v>
      </c>
      <c r="L241" s="466">
        <v>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29</v>
      </c>
      <c r="E243" s="613"/>
      <c r="F243" s="613"/>
      <c r="G243" s="613"/>
      <c r="H243" s="613"/>
      <c r="I243" s="613"/>
      <c r="J243" s="613"/>
      <c r="K243" s="1667">
        <f>SUM(K240:K242)</f>
        <v>29</v>
      </c>
      <c r="L243" s="1667">
        <f>SUM(L240:L242)</f>
        <v>35</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300</v>
      </c>
      <c r="E245" s="613"/>
      <c r="F245" s="613"/>
      <c r="G245" s="613"/>
      <c r="H245" s="613"/>
      <c r="I245" s="613"/>
      <c r="J245" s="613"/>
      <c r="K245" s="1669">
        <f>D245</f>
        <v>300</v>
      </c>
      <c r="L245" s="479">
        <v>310</v>
      </c>
    </row>
    <row r="246" spans="1:12" x14ac:dyDescent="0.2">
      <c r="A246" s="1501" t="s">
        <v>818</v>
      </c>
      <c r="B246" s="611">
        <v>2320</v>
      </c>
      <c r="C246" s="613"/>
      <c r="D246" s="466">
        <v>6229</v>
      </c>
      <c r="E246" s="613"/>
      <c r="F246" s="613"/>
      <c r="G246" s="613"/>
      <c r="H246" s="613"/>
      <c r="I246" s="613"/>
      <c r="J246" s="613"/>
      <c r="K246" s="1669">
        <f t="shared" ref="K246:K256" si="21">D246</f>
        <v>6229</v>
      </c>
      <c r="L246" s="466">
        <v>6450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6529</v>
      </c>
      <c r="E257" s="613"/>
      <c r="F257" s="613"/>
      <c r="G257" s="613"/>
      <c r="H257" s="613"/>
      <c r="I257" s="613"/>
      <c r="J257" s="613"/>
      <c r="K257" s="1667">
        <f>SUM(K245:K256)</f>
        <v>6529</v>
      </c>
      <c r="L257" s="1667">
        <f>SUM(L245:L256)</f>
        <v>6760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5227</v>
      </c>
      <c r="E259" s="613"/>
      <c r="F259" s="613"/>
      <c r="G259" s="613"/>
      <c r="H259" s="613"/>
      <c r="I259" s="613"/>
      <c r="J259" s="613"/>
      <c r="K259" s="1669">
        <f>D259</f>
        <v>5227</v>
      </c>
      <c r="L259" s="479">
        <v>5410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5227</v>
      </c>
      <c r="E261" s="613"/>
      <c r="F261" s="613"/>
      <c r="G261" s="613"/>
      <c r="H261" s="613"/>
      <c r="I261" s="613"/>
      <c r="J261" s="613"/>
      <c r="K261" s="1667">
        <f>SUM(K259:K260)</f>
        <v>5227</v>
      </c>
      <c r="L261" s="1667">
        <f>SUM(L259:L260)</f>
        <v>5410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7927</v>
      </c>
      <c r="E264" s="613"/>
      <c r="F264" s="613"/>
      <c r="G264" s="613"/>
      <c r="H264" s="613"/>
      <c r="I264" s="613"/>
      <c r="J264" s="613"/>
      <c r="K264" s="1669">
        <f t="shared" ref="K264:K269" si="22">D264</f>
        <v>7927</v>
      </c>
      <c r="L264" s="466">
        <v>8025</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22430</v>
      </c>
      <c r="E266" s="613"/>
      <c r="F266" s="613"/>
      <c r="G266" s="613"/>
      <c r="H266" s="613"/>
      <c r="I266" s="613"/>
      <c r="J266" s="613"/>
      <c r="K266" s="1669">
        <f t="shared" si="22"/>
        <v>22430</v>
      </c>
      <c r="L266" s="466">
        <v>22880</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3408</v>
      </c>
      <c r="E268" s="613"/>
      <c r="F268" s="613"/>
      <c r="G268" s="613"/>
      <c r="H268" s="613"/>
      <c r="I268" s="613"/>
      <c r="J268" s="613"/>
      <c r="K268" s="1669">
        <f t="shared" si="22"/>
        <v>3408</v>
      </c>
      <c r="L268" s="466">
        <v>3600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33765</v>
      </c>
      <c r="E270" s="613"/>
      <c r="F270" s="613"/>
      <c r="G270" s="613"/>
      <c r="H270" s="613"/>
      <c r="I270" s="613"/>
      <c r="J270" s="613"/>
      <c r="K270" s="1667">
        <f>SUM(K263:K269)</f>
        <v>33765</v>
      </c>
      <c r="L270" s="1667">
        <f>SUM(L263:L269)</f>
        <v>34505</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51331</v>
      </c>
      <c r="E279" s="613"/>
      <c r="F279" s="613"/>
      <c r="G279" s="613"/>
      <c r="H279" s="613"/>
      <c r="I279" s="613"/>
      <c r="J279" s="613"/>
      <c r="K279" s="1674">
        <f>SUM(K238,K243,K257,K261,K270,K277,K278)</f>
        <v>51331</v>
      </c>
      <c r="L279" s="1674">
        <f>SUM(L238,L243,L257,L261,L270,L277,L278)</f>
        <v>52735</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222" t="s">
        <v>505</v>
      </c>
      <c r="B295" s="2223"/>
      <c r="C295" s="613"/>
      <c r="D295" s="1667">
        <f>SUM(D229,D279,D280,D285)</f>
        <v>80010</v>
      </c>
      <c r="E295" s="613"/>
      <c r="F295" s="613"/>
      <c r="G295" s="613"/>
      <c r="H295" s="1667">
        <f>H293</f>
        <v>0</v>
      </c>
      <c r="I295" s="613"/>
      <c r="J295" s="613"/>
      <c r="K295" s="1667">
        <f>SUM(K229,K279,K280,K285,K293,K294)</f>
        <v>80010</v>
      </c>
      <c r="L295" s="1667">
        <f>SUM(L229,L279,L280,L285,L293,L294)</f>
        <v>82165</v>
      </c>
    </row>
    <row r="296" spans="1:14" ht="13.5" thickTop="1" x14ac:dyDescent="0.2">
      <c r="A296" s="2231" t="s">
        <v>996</v>
      </c>
      <c r="B296" s="2232"/>
      <c r="C296" s="613"/>
      <c r="D296" s="615"/>
      <c r="E296" s="613"/>
      <c r="F296" s="613"/>
      <c r="G296" s="613"/>
      <c r="H296" s="684"/>
      <c r="I296" s="613"/>
      <c r="J296" s="613"/>
      <c r="K296" s="1681">
        <f>'Revenues 9-14'!G268-'Expenditures 15-22'!K295</f>
        <v>22576</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14" t="s">
        <v>143</v>
      </c>
      <c r="B298" s="2208"/>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489751</v>
      </c>
      <c r="H301" s="466">
        <v>0</v>
      </c>
      <c r="I301" s="467">
        <v>0</v>
      </c>
      <c r="J301" s="467">
        <v>0</v>
      </c>
      <c r="K301" s="1668">
        <f>SUM(C301:J301)</f>
        <v>489751</v>
      </c>
      <c r="L301" s="467">
        <v>489753</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489751</v>
      </c>
      <c r="H303" s="1674">
        <f t="shared" si="23"/>
        <v>0</v>
      </c>
      <c r="I303" s="1674">
        <f t="shared" si="23"/>
        <v>0</v>
      </c>
      <c r="J303" s="1674">
        <f t="shared" si="23"/>
        <v>0</v>
      </c>
      <c r="K303" s="1674">
        <f t="shared" si="23"/>
        <v>489751</v>
      </c>
      <c r="L303" s="1674">
        <f t="shared" si="23"/>
        <v>489753</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219" t="s">
        <v>277</v>
      </c>
      <c r="B312" s="2220"/>
      <c r="C312" s="1667">
        <f>SUM(C303)</f>
        <v>0</v>
      </c>
      <c r="D312" s="1667">
        <f>SUM(D303)</f>
        <v>0</v>
      </c>
      <c r="E312" s="1667">
        <f>SUM(E303,E310)</f>
        <v>0</v>
      </c>
      <c r="F312" s="1667">
        <f>SUM(F303)</f>
        <v>0</v>
      </c>
      <c r="G312" s="1667">
        <f>SUM(G303)</f>
        <v>489751</v>
      </c>
      <c r="H312" s="1667">
        <f>SUM(H303,H310)</f>
        <v>0</v>
      </c>
      <c r="I312" s="1667">
        <f>SUM(I303)</f>
        <v>0</v>
      </c>
      <c r="J312" s="1667">
        <f>SUM(J303)</f>
        <v>0</v>
      </c>
      <c r="K312" s="1667">
        <f>SUM(K303,K310,K311)</f>
        <v>489751</v>
      </c>
      <c r="L312" s="1667">
        <f>SUM(L303,L310,L311)</f>
        <v>489753</v>
      </c>
      <c r="M312" s="662"/>
      <c r="N312" s="662"/>
    </row>
    <row r="313" spans="1:14" ht="13.5" thickTop="1" x14ac:dyDescent="0.2">
      <c r="A313" s="2215" t="s">
        <v>996</v>
      </c>
      <c r="B313" s="2216"/>
      <c r="C313" s="623"/>
      <c r="D313" s="623"/>
      <c r="E313" s="623"/>
      <c r="F313" s="623"/>
      <c r="G313" s="623"/>
      <c r="H313" s="623"/>
      <c r="I313" s="623"/>
      <c r="J313" s="623"/>
      <c r="K313" s="1682">
        <f>'Revenues 9-14'!H268-'Expenditures 15-22'!K312</f>
        <v>-483917</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28" t="s">
        <v>149</v>
      </c>
      <c r="B315" s="2229"/>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30" t="s">
        <v>898</v>
      </c>
      <c r="B317" s="2229"/>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0</v>
      </c>
      <c r="F320" s="467">
        <v>0</v>
      </c>
      <c r="G320" s="467">
        <v>0</v>
      </c>
      <c r="H320" s="467">
        <v>0</v>
      </c>
      <c r="I320" s="467">
        <v>0</v>
      </c>
      <c r="J320" s="467">
        <v>0</v>
      </c>
      <c r="K320" s="1668">
        <f t="shared" ref="K320:K327" si="24">SUM(C320:J320)</f>
        <v>0</v>
      </c>
      <c r="L320" s="467">
        <v>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0</v>
      </c>
      <c r="F322" s="467">
        <v>0</v>
      </c>
      <c r="G322" s="467">
        <v>0</v>
      </c>
      <c r="H322" s="467">
        <v>0</v>
      </c>
      <c r="I322" s="467">
        <v>0</v>
      </c>
      <c r="J322" s="467">
        <v>0</v>
      </c>
      <c r="K322" s="1668">
        <f t="shared" si="24"/>
        <v>0</v>
      </c>
      <c r="L322" s="467">
        <v>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SUM(L330,L340,L341)</f>
        <v>0</v>
      </c>
    </row>
    <row r="343" spans="1:14" ht="12.75" customHeight="1" thickTop="1" x14ac:dyDescent="0.2">
      <c r="A343" s="2217" t="s">
        <v>996</v>
      </c>
      <c r="B343" s="2218"/>
      <c r="C343" s="613"/>
      <c r="D343" s="613"/>
      <c r="E343" s="613"/>
      <c r="F343" s="613"/>
      <c r="G343" s="613"/>
      <c r="H343" s="613"/>
      <c r="I343" s="613"/>
      <c r="J343" s="613"/>
      <c r="K343" s="1681">
        <f>'Revenues 9-14'!J268-'Expenditures 15-22'!K342</f>
        <v>0</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07" t="s">
        <v>966</v>
      </c>
      <c r="B345" s="2208"/>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1434</v>
      </c>
      <c r="F348" s="466">
        <v>0</v>
      </c>
      <c r="G348" s="466">
        <v>37480</v>
      </c>
      <c r="H348" s="466">
        <v>0</v>
      </c>
      <c r="I348" s="467">
        <v>0</v>
      </c>
      <c r="J348" s="467">
        <v>0</v>
      </c>
      <c r="K348" s="1668">
        <f>SUM(C348:J348)</f>
        <v>38914</v>
      </c>
      <c r="L348" s="466">
        <v>39000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1434</v>
      </c>
      <c r="F350" s="1667">
        <f t="shared" si="26"/>
        <v>0</v>
      </c>
      <c r="G350" s="1667">
        <f t="shared" si="26"/>
        <v>37480</v>
      </c>
      <c r="H350" s="1667">
        <f t="shared" si="26"/>
        <v>0</v>
      </c>
      <c r="I350" s="1667">
        <f t="shared" si="26"/>
        <v>0</v>
      </c>
      <c r="J350" s="1667">
        <f t="shared" si="26"/>
        <v>0</v>
      </c>
      <c r="K350" s="1667">
        <f t="shared" si="26"/>
        <v>38914</v>
      </c>
      <c r="L350" s="1667">
        <f t="shared" si="26"/>
        <v>39000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1434</v>
      </c>
      <c r="F352" s="1667">
        <f t="shared" si="27"/>
        <v>0</v>
      </c>
      <c r="G352" s="1667">
        <f t="shared" si="27"/>
        <v>37480</v>
      </c>
      <c r="H352" s="1667">
        <f t="shared" si="27"/>
        <v>0</v>
      </c>
      <c r="I352" s="1667">
        <f t="shared" si="27"/>
        <v>0</v>
      </c>
      <c r="J352" s="1667">
        <f t="shared" si="27"/>
        <v>0</v>
      </c>
      <c r="K352" s="1667">
        <f t="shared" si="27"/>
        <v>38914</v>
      </c>
      <c r="L352" s="1667">
        <f t="shared" si="27"/>
        <v>39000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1434</v>
      </c>
      <c r="F367" s="1667">
        <f t="shared" si="28"/>
        <v>0</v>
      </c>
      <c r="G367" s="1667">
        <f t="shared" si="28"/>
        <v>37480</v>
      </c>
      <c r="H367" s="1667">
        <f t="shared" si="28"/>
        <v>0</v>
      </c>
      <c r="I367" s="1667">
        <f t="shared" si="28"/>
        <v>0</v>
      </c>
      <c r="J367" s="1667">
        <f t="shared" si="28"/>
        <v>0</v>
      </c>
      <c r="K367" s="1667">
        <f t="shared" si="28"/>
        <v>38914</v>
      </c>
      <c r="L367" s="1667">
        <f t="shared" si="28"/>
        <v>39000</v>
      </c>
    </row>
    <row r="368" spans="1:14" ht="13.5" thickTop="1" x14ac:dyDescent="0.2">
      <c r="A368" s="2231" t="s">
        <v>996</v>
      </c>
      <c r="B368" s="2232"/>
      <c r="C368" s="651"/>
      <c r="D368" s="651"/>
      <c r="E368" s="623"/>
      <c r="F368" s="623"/>
      <c r="G368" s="623"/>
      <c r="H368" s="623"/>
      <c r="I368" s="623"/>
      <c r="J368" s="620"/>
      <c r="K368" s="1668">
        <f>'Revenues 9-14'!K268-'Expenditures 15-22'!K367</f>
        <v>764</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33" t="s">
        <v>1802</v>
      </c>
      <c r="B2" s="1525" t="s">
        <v>1951</v>
      </c>
      <c r="C2" s="711" t="s">
        <v>1952</v>
      </c>
      <c r="D2" s="711" t="s">
        <v>1953</v>
      </c>
      <c r="E2" s="711" t="s">
        <v>1954</v>
      </c>
      <c r="F2" s="711" t="s">
        <v>1955</v>
      </c>
    </row>
    <row r="3" spans="1:6" ht="12" customHeight="1" x14ac:dyDescent="0.2">
      <c r="A3" s="2234"/>
      <c r="B3" s="1522"/>
      <c r="C3" s="1523"/>
      <c r="D3" s="1524" t="s">
        <v>256</v>
      </c>
      <c r="E3" s="1523"/>
      <c r="F3" s="1524" t="s">
        <v>257</v>
      </c>
    </row>
    <row r="4" spans="1:6" ht="13.7" customHeight="1" x14ac:dyDescent="0.2">
      <c r="A4" s="712" t="s">
        <v>1155</v>
      </c>
      <c r="B4" s="1746">
        <f>'Revenues 9-14'!C5</f>
        <v>1648491</v>
      </c>
      <c r="C4" s="1521">
        <v>0</v>
      </c>
      <c r="D4" s="1749">
        <f>B4-C4</f>
        <v>1648491</v>
      </c>
      <c r="E4" s="1521">
        <v>1698570</v>
      </c>
      <c r="F4" s="1749">
        <f>E4-C4</f>
        <v>1698570</v>
      </c>
    </row>
    <row r="5" spans="1:6" ht="13.7" customHeight="1" x14ac:dyDescent="0.2">
      <c r="A5" s="712" t="s">
        <v>870</v>
      </c>
      <c r="B5" s="1747">
        <f>'Revenues 9-14'!D5</f>
        <v>202288</v>
      </c>
      <c r="C5" s="582">
        <v>0</v>
      </c>
      <c r="D5" s="1750">
        <f t="shared" ref="D5:D18" si="0">B5-C5</f>
        <v>202288</v>
      </c>
      <c r="E5" s="582">
        <v>208292</v>
      </c>
      <c r="F5" s="1750">
        <f>E5-C5</f>
        <v>208292</v>
      </c>
    </row>
    <row r="6" spans="1:6" ht="13.7" customHeight="1" x14ac:dyDescent="0.2">
      <c r="A6" s="712" t="s">
        <v>411</v>
      </c>
      <c r="B6" s="1747">
        <f>'Revenues 9-14'!E5</f>
        <v>246148</v>
      </c>
      <c r="C6" s="582">
        <v>0</v>
      </c>
      <c r="D6" s="1750">
        <f t="shared" si="0"/>
        <v>246148</v>
      </c>
      <c r="E6" s="582">
        <v>255883</v>
      </c>
      <c r="F6" s="1750">
        <f t="shared" ref="F6:F18" si="1">E6-C6</f>
        <v>255883</v>
      </c>
    </row>
    <row r="7" spans="1:6" ht="13.7" customHeight="1" x14ac:dyDescent="0.2">
      <c r="A7" s="712" t="s">
        <v>155</v>
      </c>
      <c r="B7" s="1747">
        <f>'Revenues 9-14'!F5</f>
        <v>116321</v>
      </c>
      <c r="C7" s="582">
        <v>0</v>
      </c>
      <c r="D7" s="1750">
        <f t="shared" si="0"/>
        <v>116321</v>
      </c>
      <c r="E7" s="582">
        <v>119775</v>
      </c>
      <c r="F7" s="1750">
        <f t="shared" si="1"/>
        <v>119775</v>
      </c>
    </row>
    <row r="8" spans="1:6" ht="13.7" customHeight="1" x14ac:dyDescent="0.2">
      <c r="A8" s="712" t="s">
        <v>1179</v>
      </c>
      <c r="B8" s="1747">
        <f>'Revenues 9-14'!G5</f>
        <v>40474</v>
      </c>
      <c r="C8" s="582">
        <v>0</v>
      </c>
      <c r="D8" s="1750">
        <f t="shared" si="0"/>
        <v>40474</v>
      </c>
      <c r="E8" s="582">
        <v>41676</v>
      </c>
      <c r="F8" s="1750">
        <f t="shared" si="1"/>
        <v>41676</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30546</v>
      </c>
      <c r="C10" s="582">
        <v>0</v>
      </c>
      <c r="D10" s="1750">
        <f t="shared" si="0"/>
        <v>30546</v>
      </c>
      <c r="E10" s="582">
        <v>30208</v>
      </c>
      <c r="F10" s="1750">
        <f t="shared" si="1"/>
        <v>30208</v>
      </c>
    </row>
    <row r="11" spans="1:6" x14ac:dyDescent="0.2">
      <c r="A11" s="712" t="s">
        <v>409</v>
      </c>
      <c r="B11" s="1747">
        <f>'Revenues 9-14'!J5</f>
        <v>0</v>
      </c>
      <c r="C11" s="582">
        <v>0</v>
      </c>
      <c r="D11" s="1750">
        <f t="shared" si="0"/>
        <v>0</v>
      </c>
      <c r="E11" s="582">
        <v>0</v>
      </c>
      <c r="F11" s="1750">
        <f t="shared" si="1"/>
        <v>0</v>
      </c>
    </row>
    <row r="12" spans="1:6" ht="13.7" customHeight="1" x14ac:dyDescent="0.2">
      <c r="A12" s="712" t="s">
        <v>157</v>
      </c>
      <c r="B12" s="1747">
        <f>'Revenues 9-14'!K5</f>
        <v>39455</v>
      </c>
      <c r="C12" s="582">
        <v>0</v>
      </c>
      <c r="D12" s="1750">
        <f t="shared" si="0"/>
        <v>39455</v>
      </c>
      <c r="E12" s="582">
        <v>40632</v>
      </c>
      <c r="F12" s="1750">
        <f t="shared" si="1"/>
        <v>40632</v>
      </c>
    </row>
    <row r="13" spans="1:6" ht="13.7" customHeight="1" x14ac:dyDescent="0.2">
      <c r="A13" s="712" t="s">
        <v>936</v>
      </c>
      <c r="B13" s="1747">
        <f>SUM('Revenues 9-14'!C6:D6)</f>
        <v>0</v>
      </c>
      <c r="C13" s="582">
        <v>0</v>
      </c>
      <c r="D13" s="1750">
        <f t="shared" si="0"/>
        <v>0</v>
      </c>
      <c r="E13" s="582">
        <v>0</v>
      </c>
      <c r="F13" s="1750">
        <f t="shared" si="1"/>
        <v>0</v>
      </c>
    </row>
    <row r="14" spans="1:6" ht="13.7" customHeight="1" x14ac:dyDescent="0.2">
      <c r="A14" s="712" t="s">
        <v>410</v>
      </c>
      <c r="B14" s="1747">
        <f>SUM('Revenues 9-14'!C7:D7,'Revenues 9-14'!F7:H7)</f>
        <v>15177</v>
      </c>
      <c r="C14" s="582">
        <v>0</v>
      </c>
      <c r="D14" s="1750">
        <f t="shared" si="0"/>
        <v>15177</v>
      </c>
      <c r="E14" s="582">
        <v>15632</v>
      </c>
      <c r="F14" s="1750">
        <f t="shared" si="1"/>
        <v>15632</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54626</v>
      </c>
      <c r="C16" s="582">
        <v>0</v>
      </c>
      <c r="D16" s="1750">
        <f t="shared" si="0"/>
        <v>54626</v>
      </c>
      <c r="E16" s="582">
        <v>56252</v>
      </c>
      <c r="F16" s="1750">
        <f t="shared" si="1"/>
        <v>56252</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2393526</v>
      </c>
      <c r="C19" s="1748">
        <f>SUM(C4:C18)</f>
        <v>0</v>
      </c>
      <c r="D19" s="1748">
        <f>SUM(D4:D18)</f>
        <v>2393526</v>
      </c>
      <c r="E19" s="1748">
        <f>SUM(E4:E18)</f>
        <v>2466920</v>
      </c>
      <c r="F19" s="1748">
        <f>SUM(F4:F18)</f>
        <v>2466920</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9" t="s">
        <v>629</v>
      </c>
      <c r="B1" s="2240"/>
      <c r="C1" s="718"/>
    </row>
    <row r="2" spans="1:7" ht="33.75" x14ac:dyDescent="0.2">
      <c r="A2" s="2248" t="s">
        <v>1802</v>
      </c>
      <c r="B2" s="2249"/>
      <c r="C2" s="1881" t="s">
        <v>1956</v>
      </c>
      <c r="D2" s="720" t="s">
        <v>1957</v>
      </c>
      <c r="E2" s="720" t="s">
        <v>1958</v>
      </c>
      <c r="F2" s="1881" t="s">
        <v>1959</v>
      </c>
    </row>
    <row r="3" spans="1:7" ht="15.75" customHeight="1" x14ac:dyDescent="0.2">
      <c r="A3" s="2252" t="s">
        <v>1114</v>
      </c>
      <c r="B3" s="2253"/>
      <c r="C3" s="2241"/>
      <c r="D3" s="2242"/>
      <c r="E3" s="2242"/>
      <c r="F3" s="2243"/>
    </row>
    <row r="4" spans="1:7" ht="12.75" customHeight="1" thickBot="1" x14ac:dyDescent="0.25">
      <c r="A4" s="2250" t="s">
        <v>630</v>
      </c>
      <c r="B4" s="2251"/>
      <c r="C4" s="578"/>
      <c r="D4" s="578"/>
      <c r="E4" s="578"/>
      <c r="F4" s="1752">
        <f>SUM(C4+D4)-E4</f>
        <v>0</v>
      </c>
    </row>
    <row r="5" spans="1:7" ht="15.75" customHeight="1" thickTop="1" x14ac:dyDescent="0.2">
      <c r="A5" s="2235" t="s">
        <v>1110</v>
      </c>
      <c r="B5" s="2236"/>
      <c r="C5" s="2244"/>
      <c r="D5" s="2245"/>
      <c r="E5" s="2245"/>
      <c r="F5" s="2246"/>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37" t="s">
        <v>631</v>
      </c>
      <c r="B15" s="2238"/>
      <c r="C15" s="1752">
        <f>SUM(C6:C14)</f>
        <v>0</v>
      </c>
      <c r="D15" s="1752">
        <f>SUM(D6:D14)</f>
        <v>0</v>
      </c>
      <c r="E15" s="1752">
        <f>SUM(E6:E14)</f>
        <v>0</v>
      </c>
      <c r="F15" s="1752">
        <f>SUM(F6:F14)</f>
        <v>0</v>
      </c>
      <c r="G15" s="549"/>
    </row>
    <row r="16" spans="1:7" s="202" customFormat="1" ht="15.75" customHeight="1" thickTop="1" x14ac:dyDescent="0.2">
      <c r="A16" s="2247" t="s">
        <v>1111</v>
      </c>
      <c r="B16" s="2236"/>
      <c r="C16" s="2244"/>
      <c r="D16" s="2245"/>
      <c r="E16" s="2245"/>
      <c r="F16" s="2246"/>
    </row>
    <row r="17" spans="1:11" ht="12.75" customHeight="1" thickBot="1" x14ac:dyDescent="0.25">
      <c r="A17" s="2260" t="s">
        <v>64</v>
      </c>
      <c r="B17" s="2261"/>
      <c r="C17" s="723"/>
      <c r="D17" s="582"/>
      <c r="E17" s="723"/>
      <c r="F17" s="1752">
        <f>SUM(C17+D17)-E17</f>
        <v>0</v>
      </c>
    </row>
    <row r="18" spans="1:11" ht="12.75" customHeight="1" thickTop="1" thickBot="1" x14ac:dyDescent="0.25">
      <c r="A18" s="2260" t="s">
        <v>6</v>
      </c>
      <c r="B18" s="2261"/>
      <c r="C18" s="723"/>
      <c r="D18" s="582"/>
      <c r="E18" s="723"/>
      <c r="F18" s="1752">
        <f>SUM(C18+D18)-E18</f>
        <v>0</v>
      </c>
    </row>
    <row r="19" spans="1:11" ht="12.75" customHeight="1" thickTop="1" thickBot="1" x14ac:dyDescent="0.25">
      <c r="A19" s="2260" t="s">
        <v>388</v>
      </c>
      <c r="B19" s="2261"/>
      <c r="C19" s="723"/>
      <c r="D19" s="582"/>
      <c r="E19" s="723"/>
      <c r="F19" s="1752">
        <f>SUM(C19+D19)-E19</f>
        <v>0</v>
      </c>
    </row>
    <row r="20" spans="1:11" ht="12.75" customHeight="1" thickTop="1" thickBot="1" x14ac:dyDescent="0.25">
      <c r="A20" s="2260" t="s">
        <v>448</v>
      </c>
      <c r="B20" s="2261"/>
      <c r="C20" s="723"/>
      <c r="D20" s="582"/>
      <c r="E20" s="723"/>
      <c r="F20" s="1752">
        <f>SUM(C20+D20)-E20</f>
        <v>0</v>
      </c>
    </row>
    <row r="21" spans="1:11" ht="14.25" thickTop="1" thickBot="1" x14ac:dyDescent="0.25">
      <c r="A21" s="2237" t="s">
        <v>632</v>
      </c>
      <c r="B21" s="2238"/>
      <c r="C21" s="1752">
        <f>SUM(C17:C20)</f>
        <v>0</v>
      </c>
      <c r="D21" s="1752">
        <f>SUM(D17:D20)</f>
        <v>0</v>
      </c>
      <c r="E21" s="1752">
        <f>SUM(E17:E20)</f>
        <v>0</v>
      </c>
      <c r="F21" s="1752">
        <f>SUM(F17:F20)</f>
        <v>0</v>
      </c>
      <c r="G21" s="549"/>
    </row>
    <row r="22" spans="1:11" ht="15.75" customHeight="1" thickTop="1" x14ac:dyDescent="0.2">
      <c r="A22" s="2262" t="s">
        <v>1112</v>
      </c>
      <c r="B22" s="2236"/>
      <c r="C22" s="2244"/>
      <c r="D22" s="2245"/>
      <c r="E22" s="2245"/>
      <c r="F22" s="2246"/>
    </row>
    <row r="23" spans="1:11" ht="13.5" thickBot="1" x14ac:dyDescent="0.25">
      <c r="A23" s="2250" t="s">
        <v>633</v>
      </c>
      <c r="B23" s="2251"/>
      <c r="C23" s="578"/>
      <c r="D23" s="578"/>
      <c r="E23" s="578"/>
      <c r="F23" s="1752">
        <f>SUM(C23+D23)-E23</f>
        <v>0</v>
      </c>
      <c r="G23" s="549"/>
    </row>
    <row r="24" spans="1:11" ht="15.75" customHeight="1" thickTop="1" x14ac:dyDescent="0.2">
      <c r="A24" s="2262" t="s">
        <v>1113</v>
      </c>
      <c r="B24" s="2236"/>
      <c r="C24" s="2244"/>
      <c r="D24" s="2245"/>
      <c r="E24" s="2245"/>
      <c r="F24" s="2246"/>
    </row>
    <row r="25" spans="1:11" ht="13.5" thickBot="1" x14ac:dyDescent="0.25">
      <c r="A25" s="2250" t="s">
        <v>634</v>
      </c>
      <c r="B25" s="2251"/>
      <c r="C25" s="578"/>
      <c r="D25" s="578"/>
      <c r="E25" s="578"/>
      <c r="F25" s="1752">
        <f>SUM(C25+D25)-E25</f>
        <v>0</v>
      </c>
      <c r="G25" s="549"/>
    </row>
    <row r="26" spans="1:11" ht="15.75" customHeight="1" thickTop="1" x14ac:dyDescent="0.2">
      <c r="A26" s="2235" t="s">
        <v>657</v>
      </c>
      <c r="B26" s="2236"/>
      <c r="C26" s="724"/>
      <c r="D26" s="724"/>
      <c r="E26" s="724"/>
      <c r="F26" s="725"/>
    </row>
    <row r="27" spans="1:11" ht="13.5" thickBot="1" x14ac:dyDescent="0.25">
      <c r="A27" s="2237" t="s">
        <v>1070</v>
      </c>
      <c r="B27" s="2238"/>
      <c r="C27" s="582"/>
      <c r="D27" s="582"/>
      <c r="E27" s="582"/>
      <c r="F27" s="1752">
        <f>SUM(C27+D27)-E27</f>
        <v>0</v>
      </c>
      <c r="G27" s="549"/>
    </row>
    <row r="28" spans="1:11" ht="7.5" customHeight="1" thickTop="1" x14ac:dyDescent="0.2">
      <c r="A28" s="590"/>
    </row>
    <row r="29" spans="1:11" ht="23.25" customHeight="1" x14ac:dyDescent="0.2">
      <c r="A29" s="2263" t="s">
        <v>582</v>
      </c>
      <c r="B29" s="2240"/>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2083</v>
      </c>
      <c r="B31" s="730">
        <v>42073</v>
      </c>
      <c r="C31" s="731">
        <v>270000</v>
      </c>
      <c r="D31" s="732">
        <v>4</v>
      </c>
      <c r="E31" s="731">
        <v>161000</v>
      </c>
      <c r="F31" s="731"/>
      <c r="G31" s="731"/>
      <c r="H31" s="731">
        <v>36000</v>
      </c>
      <c r="I31" s="1753">
        <f>((E31+F31)-H31)+G31</f>
        <v>125000</v>
      </c>
      <c r="J31" s="731">
        <f>I31-810</f>
        <v>124190</v>
      </c>
      <c r="K31" s="733"/>
    </row>
    <row r="32" spans="1:11" ht="12" customHeight="1" x14ac:dyDescent="0.2">
      <c r="A32" s="729" t="s">
        <v>2084</v>
      </c>
      <c r="B32" s="730">
        <v>42073</v>
      </c>
      <c r="C32" s="731">
        <v>1040000</v>
      </c>
      <c r="D32" s="732">
        <v>4</v>
      </c>
      <c r="E32" s="731">
        <v>850000</v>
      </c>
      <c r="F32" s="731"/>
      <c r="G32" s="731"/>
      <c r="H32" s="731">
        <v>75000</v>
      </c>
      <c r="I32" s="1753">
        <f>((E32+F32)-H32)+G32</f>
        <v>775000</v>
      </c>
      <c r="J32" s="731">
        <f>I32-2597</f>
        <v>772403</v>
      </c>
      <c r="K32" s="733"/>
    </row>
    <row r="33" spans="1:11" ht="12" customHeight="1" x14ac:dyDescent="0.2">
      <c r="A33" s="729" t="s">
        <v>2085</v>
      </c>
      <c r="B33" s="730">
        <v>42136</v>
      </c>
      <c r="C33" s="731">
        <v>205000</v>
      </c>
      <c r="D33" s="732">
        <v>1</v>
      </c>
      <c r="E33" s="731">
        <v>205000</v>
      </c>
      <c r="F33" s="731"/>
      <c r="G33" s="731"/>
      <c r="H33" s="731"/>
      <c r="I33" s="1753">
        <f t="shared" ref="I33:I48" si="1">((E33+F33)-H33)+G33</f>
        <v>205000</v>
      </c>
      <c r="J33" s="731">
        <f>I33-9503</f>
        <v>195497</v>
      </c>
      <c r="K33" s="733"/>
    </row>
    <row r="34" spans="1:11" ht="12" customHeight="1" x14ac:dyDescent="0.2">
      <c r="A34" s="729" t="s">
        <v>2086</v>
      </c>
      <c r="B34" s="730">
        <v>42769</v>
      </c>
      <c r="C34" s="731">
        <v>2250000</v>
      </c>
      <c r="D34" s="732">
        <v>6</v>
      </c>
      <c r="E34" s="731">
        <v>2250000</v>
      </c>
      <c r="F34" s="731"/>
      <c r="G34" s="731"/>
      <c r="H34" s="731"/>
      <c r="I34" s="1753">
        <f t="shared" si="1"/>
        <v>2250000</v>
      </c>
      <c r="J34" s="731">
        <f>I34-841</f>
        <v>2249159</v>
      </c>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3765000</v>
      </c>
      <c r="D49" s="742"/>
      <c r="E49" s="1753">
        <f t="shared" ref="E49:J49" si="2">SUM(E31:E48)</f>
        <v>3466000</v>
      </c>
      <c r="F49" s="1753">
        <f t="shared" si="2"/>
        <v>0</v>
      </c>
      <c r="G49" s="1753">
        <f t="shared" si="2"/>
        <v>0</v>
      </c>
      <c r="H49" s="1753">
        <f t="shared" si="2"/>
        <v>111000</v>
      </c>
      <c r="I49" s="1753">
        <f t="shared" si="2"/>
        <v>3355000</v>
      </c>
      <c r="J49" s="1753">
        <f t="shared" si="2"/>
        <v>3341249</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54" t="s">
        <v>584</v>
      </c>
      <c r="C52" s="2255"/>
      <c r="D52" s="2255"/>
      <c r="E52" s="746" t="s">
        <v>845</v>
      </c>
      <c r="F52" s="2256"/>
      <c r="G52" s="2257"/>
      <c r="H52" s="733"/>
      <c r="I52" s="733"/>
      <c r="J52" s="743"/>
    </row>
    <row r="53" spans="1:11" ht="11.25" customHeight="1" x14ac:dyDescent="0.2">
      <c r="A53" s="747" t="s">
        <v>913</v>
      </c>
      <c r="B53" s="748" t="s">
        <v>951</v>
      </c>
      <c r="C53" s="743"/>
      <c r="D53" s="734"/>
      <c r="E53" s="746" t="s">
        <v>497</v>
      </c>
      <c r="F53" s="2258"/>
      <c r="G53" s="2259"/>
      <c r="H53" s="733"/>
      <c r="I53" s="733"/>
      <c r="J53" s="743"/>
    </row>
    <row r="54" spans="1:11" ht="11.25" customHeight="1" x14ac:dyDescent="0.2">
      <c r="A54" s="749" t="s">
        <v>914</v>
      </c>
      <c r="B54" s="744" t="s">
        <v>952</v>
      </c>
      <c r="C54" s="743"/>
      <c r="D54" s="734"/>
      <c r="E54" s="746" t="s">
        <v>498</v>
      </c>
      <c r="F54" s="2258"/>
      <c r="G54" s="2259"/>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8" t="s">
        <v>856</v>
      </c>
      <c r="B1" s="2289"/>
      <c r="C1" s="2289"/>
      <c r="D1" s="2289"/>
      <c r="E1" s="2289"/>
      <c r="F1" s="2289"/>
      <c r="G1" s="2290"/>
      <c r="H1" s="1527"/>
      <c r="I1" s="757"/>
      <c r="J1" s="433"/>
    </row>
    <row r="2" spans="1:11" ht="26.25" x14ac:dyDescent="0.2">
      <c r="A2" s="2267" t="s">
        <v>1677</v>
      </c>
      <c r="B2" s="2268"/>
      <c r="C2" s="2268"/>
      <c r="D2" s="2268"/>
      <c r="E2" s="2269"/>
      <c r="F2" s="758" t="s">
        <v>904</v>
      </c>
      <c r="G2" s="759" t="s">
        <v>1674</v>
      </c>
      <c r="H2" s="759" t="s">
        <v>410</v>
      </c>
      <c r="I2" s="759" t="s">
        <v>1158</v>
      </c>
      <c r="J2" s="759" t="s">
        <v>1812</v>
      </c>
      <c r="K2" s="759" t="s">
        <v>138</v>
      </c>
    </row>
    <row r="3" spans="1:11" x14ac:dyDescent="0.2">
      <c r="A3" s="2270" t="s">
        <v>1964</v>
      </c>
      <c r="B3" s="2271"/>
      <c r="C3" s="2271"/>
      <c r="D3" s="2271"/>
      <c r="E3" s="2272"/>
      <c r="F3" s="760"/>
      <c r="G3" s="761"/>
      <c r="H3" s="761"/>
      <c r="I3" s="761"/>
      <c r="J3" s="762"/>
      <c r="K3" s="762"/>
    </row>
    <row r="4" spans="1:11" x14ac:dyDescent="0.2">
      <c r="A4" s="2273" t="s">
        <v>369</v>
      </c>
      <c r="B4" s="2274"/>
      <c r="C4" s="2274"/>
      <c r="D4" s="2274"/>
      <c r="E4" s="2255"/>
      <c r="F4" s="763"/>
      <c r="G4" s="764"/>
      <c r="H4" s="765"/>
      <c r="I4" s="764"/>
      <c r="J4" s="766"/>
      <c r="K4" s="766"/>
    </row>
    <row r="5" spans="1:11" x14ac:dyDescent="0.2">
      <c r="A5" s="2291" t="s">
        <v>1069</v>
      </c>
      <c r="B5" s="2264"/>
      <c r="C5" s="2264"/>
      <c r="D5" s="2264"/>
      <c r="E5" s="2292"/>
      <c r="F5" s="767" t="s">
        <v>848</v>
      </c>
      <c r="G5" s="768"/>
      <c r="H5" s="761">
        <v>15177</v>
      </c>
      <c r="I5" s="769"/>
      <c r="J5" s="770"/>
      <c r="K5" s="770"/>
    </row>
    <row r="6" spans="1:11" x14ac:dyDescent="0.2">
      <c r="A6" s="771" t="s">
        <v>720</v>
      </c>
      <c r="B6" s="772"/>
      <c r="C6" s="772"/>
      <c r="D6" s="772"/>
      <c r="E6" s="773"/>
      <c r="F6" s="774" t="s">
        <v>849</v>
      </c>
      <c r="G6" s="761"/>
      <c r="H6" s="761">
        <v>222</v>
      </c>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291" t="s">
        <v>1813</v>
      </c>
      <c r="B10" s="2264"/>
      <c r="C10" s="2264"/>
      <c r="D10" s="2264"/>
      <c r="E10" s="2293"/>
      <c r="F10" s="780" t="s">
        <v>862</v>
      </c>
      <c r="G10" s="779"/>
      <c r="H10" s="781"/>
      <c r="I10" s="761"/>
      <c r="J10" s="762"/>
      <c r="K10" s="762"/>
    </row>
    <row r="11" spans="1:11" x14ac:dyDescent="0.2">
      <c r="A11" s="2291" t="s">
        <v>160</v>
      </c>
      <c r="B11" s="2264"/>
      <c r="C11" s="2264"/>
      <c r="D11" s="2264"/>
      <c r="E11" s="2292"/>
      <c r="F11" s="767" t="s">
        <v>852</v>
      </c>
      <c r="G11" s="768"/>
      <c r="H11" s="761"/>
      <c r="I11" s="761"/>
      <c r="J11" s="762"/>
      <c r="K11" s="770"/>
    </row>
    <row r="12" spans="1:11" ht="13.5" thickBot="1" x14ac:dyDescent="0.25">
      <c r="A12" s="2281" t="s">
        <v>905</v>
      </c>
      <c r="B12" s="2282"/>
      <c r="C12" s="2282"/>
      <c r="D12" s="2282"/>
      <c r="E12" s="2283"/>
      <c r="F12" s="1754"/>
      <c r="G12" s="1755">
        <f>SUM(G5:G11)</f>
        <v>0</v>
      </c>
      <c r="H12" s="1755">
        <f>SUM(H5:H11)</f>
        <v>15399</v>
      </c>
      <c r="I12" s="1755">
        <f>SUM(I5:I11)</f>
        <v>0</v>
      </c>
      <c r="J12" s="1755">
        <f>SUM(J5:J11)</f>
        <v>0</v>
      </c>
      <c r="K12" s="1755">
        <f>SUM(K5:K11)</f>
        <v>0</v>
      </c>
    </row>
    <row r="13" spans="1:11" ht="13.5" thickTop="1" x14ac:dyDescent="0.2">
      <c r="A13" s="2275" t="s">
        <v>370</v>
      </c>
      <c r="B13" s="2276"/>
      <c r="C13" s="2276"/>
      <c r="D13" s="2276"/>
      <c r="E13" s="2277"/>
      <c r="F13" s="782"/>
      <c r="G13" s="783"/>
      <c r="H13" s="784"/>
      <c r="I13" s="785"/>
      <c r="J13" s="785"/>
      <c r="K13" s="785"/>
    </row>
    <row r="14" spans="1:11" x14ac:dyDescent="0.2">
      <c r="A14" s="2297" t="s">
        <v>456</v>
      </c>
      <c r="B14" s="2297"/>
      <c r="C14" s="2297"/>
      <c r="D14" s="2297"/>
      <c r="E14" s="2298"/>
      <c r="F14" s="786" t="s">
        <v>854</v>
      </c>
      <c r="G14" s="779"/>
      <c r="H14" s="761">
        <v>15399</v>
      </c>
      <c r="I14" s="768"/>
      <c r="J14" s="770"/>
      <c r="K14" s="762"/>
    </row>
    <row r="15" spans="1:11" x14ac:dyDescent="0.2">
      <c r="A15" s="2264" t="s">
        <v>4</v>
      </c>
      <c r="B15" s="2264"/>
      <c r="C15" s="2264"/>
      <c r="D15" s="2264"/>
      <c r="E15" s="2292"/>
      <c r="F15" s="786" t="s">
        <v>855</v>
      </c>
      <c r="G15" s="768"/>
      <c r="H15" s="761"/>
      <c r="I15" s="761"/>
      <c r="J15" s="762"/>
      <c r="K15" s="762"/>
    </row>
    <row r="16" spans="1:11" x14ac:dyDescent="0.2">
      <c r="A16" s="2264" t="s">
        <v>298</v>
      </c>
      <c r="B16" s="2264"/>
      <c r="C16" s="2264"/>
      <c r="D16" s="2264"/>
      <c r="E16" s="2292"/>
      <c r="F16" s="786" t="s">
        <v>923</v>
      </c>
      <c r="G16" s="769"/>
      <c r="H16" s="764"/>
      <c r="I16" s="764"/>
      <c r="J16" s="766"/>
      <c r="K16" s="766"/>
    </row>
    <row r="17" spans="1:11" x14ac:dyDescent="0.2">
      <c r="A17" s="2286" t="s">
        <v>935</v>
      </c>
      <c r="B17" s="2286"/>
      <c r="C17" s="2286"/>
      <c r="D17" s="2286"/>
      <c r="E17" s="2287"/>
      <c r="F17" s="787"/>
      <c r="G17" s="788"/>
      <c r="H17" s="789"/>
      <c r="I17" s="789"/>
      <c r="J17" s="790"/>
      <c r="K17" s="791"/>
    </row>
    <row r="18" spans="1:11" x14ac:dyDescent="0.2">
      <c r="A18" s="2278" t="s">
        <v>368</v>
      </c>
      <c r="B18" s="2279"/>
      <c r="C18" s="2279"/>
      <c r="D18" s="2279"/>
      <c r="E18" s="2280"/>
      <c r="F18" s="786" t="s">
        <v>932</v>
      </c>
      <c r="G18" s="779"/>
      <c r="H18" s="779"/>
      <c r="I18" s="779"/>
      <c r="J18" s="762"/>
      <c r="K18" s="792"/>
    </row>
    <row r="19" spans="1:11" ht="21.75" customHeight="1" x14ac:dyDescent="0.2">
      <c r="A19" s="2299" t="s">
        <v>1809</v>
      </c>
      <c r="B19" s="2299"/>
      <c r="C19" s="2299"/>
      <c r="D19" s="2299"/>
      <c r="E19" s="2300"/>
      <c r="F19" s="786" t="s">
        <v>933</v>
      </c>
      <c r="G19" s="779"/>
      <c r="H19" s="779"/>
      <c r="I19" s="779"/>
      <c r="J19" s="762"/>
      <c r="K19" s="792"/>
    </row>
    <row r="20" spans="1:11" x14ac:dyDescent="0.2">
      <c r="A20" s="2278" t="s">
        <v>1814</v>
      </c>
      <c r="B20" s="2279"/>
      <c r="C20" s="2279"/>
      <c r="D20" s="2279"/>
      <c r="E20" s="2280"/>
      <c r="F20" s="786" t="s">
        <v>934</v>
      </c>
      <c r="G20" s="779"/>
      <c r="H20" s="779"/>
      <c r="I20" s="779"/>
      <c r="J20" s="762"/>
      <c r="K20" s="792"/>
    </row>
    <row r="21" spans="1:11" ht="13.5" thickBot="1" x14ac:dyDescent="0.25">
      <c r="A21" s="2284" t="s">
        <v>638</v>
      </c>
      <c r="B21" s="2284"/>
      <c r="C21" s="2284"/>
      <c r="D21" s="2284"/>
      <c r="E21" s="2284"/>
      <c r="F21" s="1756"/>
      <c r="G21" s="789"/>
      <c r="H21" s="793"/>
      <c r="I21" s="793"/>
      <c r="J21" s="1757">
        <f>SUM(J18:J20)</f>
        <v>0</v>
      </c>
      <c r="K21" s="790"/>
    </row>
    <row r="22" spans="1:11" ht="13.5" thickTop="1" x14ac:dyDescent="0.2">
      <c r="A22" s="2264" t="s">
        <v>1815</v>
      </c>
      <c r="B22" s="2264"/>
      <c r="C22" s="2264"/>
      <c r="D22" s="2264"/>
      <c r="E22" s="2292"/>
      <c r="F22" s="786" t="s">
        <v>862</v>
      </c>
      <c r="G22" s="779"/>
      <c r="H22" s="761"/>
      <c r="I22" s="761"/>
      <c r="J22" s="794"/>
      <c r="K22" s="762"/>
    </row>
    <row r="23" spans="1:11" ht="13.5" thickBot="1" x14ac:dyDescent="0.25">
      <c r="A23" s="2285" t="s">
        <v>906</v>
      </c>
      <c r="B23" s="2284"/>
      <c r="C23" s="2284"/>
      <c r="D23" s="2284"/>
      <c r="E23" s="2284"/>
      <c r="F23" s="1758"/>
      <c r="G23" s="1755">
        <f>SUM(G14:G16,G21,G22)</f>
        <v>0</v>
      </c>
      <c r="H23" s="1755">
        <f>SUM(H14:H16,H21,H22)</f>
        <v>15399</v>
      </c>
      <c r="I23" s="1755">
        <f>SUM(I14:I16,I21,I22)</f>
        <v>0</v>
      </c>
      <c r="J23" s="1755">
        <f>SUM(J14:J16,J21,J22)</f>
        <v>0</v>
      </c>
      <c r="K23" s="1755">
        <f>SUM(K14:K16,K21,K22)</f>
        <v>0</v>
      </c>
    </row>
    <row r="24" spans="1:11" ht="14.25" thickTop="1" thickBot="1" x14ac:dyDescent="0.25">
      <c r="A24" s="2285" t="s">
        <v>1965</v>
      </c>
      <c r="B24" s="2284"/>
      <c r="C24" s="2284"/>
      <c r="D24" s="2284"/>
      <c r="E24" s="2284"/>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94"/>
      <c r="I31" s="2295"/>
      <c r="J31" s="2295"/>
      <c r="K31" s="2295"/>
    </row>
    <row r="32" spans="1:11" x14ac:dyDescent="0.2">
      <c r="A32" s="806"/>
      <c r="B32" s="237"/>
      <c r="C32" s="237"/>
      <c r="D32" s="237"/>
      <c r="E32" s="802"/>
      <c r="F32" s="808" t="s">
        <v>540</v>
      </c>
      <c r="G32" s="761"/>
      <c r="H32" s="2296"/>
      <c r="I32" s="2295"/>
      <c r="J32" s="2295"/>
      <c r="K32" s="2295"/>
    </row>
    <row r="33" spans="1:11" ht="1.5" customHeight="1" x14ac:dyDescent="0.2">
      <c r="A33" s="809" t="s">
        <v>1169</v>
      </c>
      <c r="B33" s="364"/>
      <c r="C33" s="364"/>
      <c r="D33" s="364"/>
      <c r="E33" s="364"/>
      <c r="F33" s="364"/>
      <c r="G33" s="810"/>
      <c r="H33" s="2296"/>
      <c r="I33" s="2295"/>
      <c r="J33" s="2295"/>
      <c r="K33" s="2295"/>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64" t="s">
        <v>541</v>
      </c>
      <c r="B41" s="2265"/>
      <c r="C41" s="2265"/>
      <c r="D41" s="2265"/>
      <c r="E41" s="2265"/>
      <c r="F41" s="2266"/>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3" t="s">
        <v>1909</v>
      </c>
      <c r="B1" s="2304"/>
      <c r="C1" s="2305"/>
      <c r="D1" s="823"/>
      <c r="E1" s="824"/>
      <c r="F1" s="824"/>
      <c r="G1" s="825"/>
      <c r="H1" s="826"/>
      <c r="I1" s="827"/>
      <c r="J1" s="2301"/>
      <c r="K1" s="2302"/>
      <c r="L1" s="2302"/>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125600</v>
      </c>
      <c r="D5" s="838"/>
      <c r="E5" s="838"/>
      <c r="F5" s="1757">
        <f>(C5+D5)-E5</f>
        <v>125600</v>
      </c>
      <c r="G5" s="834"/>
      <c r="H5" s="839"/>
      <c r="I5" s="839"/>
      <c r="J5" s="839"/>
      <c r="K5" s="790"/>
      <c r="L5" s="1766">
        <f>F5-K5</f>
        <v>125600</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7593698</v>
      </c>
      <c r="D8" s="841">
        <v>501941</v>
      </c>
      <c r="E8" s="841"/>
      <c r="F8" s="1757">
        <f>(C8+D8)-E8</f>
        <v>8095639</v>
      </c>
      <c r="G8" s="840">
        <v>50</v>
      </c>
      <c r="H8" s="762">
        <v>1976756</v>
      </c>
      <c r="I8" s="762">
        <v>156879</v>
      </c>
      <c r="J8" s="762"/>
      <c r="K8" s="1766">
        <f>(H8+I8)-J8</f>
        <v>2133635</v>
      </c>
      <c r="L8" s="1766">
        <f>F8-K8</f>
        <v>5962004</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852152</v>
      </c>
      <c r="D10" s="843">
        <v>36854</v>
      </c>
      <c r="E10" s="843"/>
      <c r="F10" s="1761">
        <f>(C10+D10)-E10</f>
        <v>889006</v>
      </c>
      <c r="G10" s="840">
        <v>20</v>
      </c>
      <c r="H10" s="844">
        <v>529845</v>
      </c>
      <c r="I10" s="844">
        <v>43496</v>
      </c>
      <c r="J10" s="844"/>
      <c r="K10" s="1766">
        <f>(H10+I10)-J10</f>
        <v>573341</v>
      </c>
      <c r="L10" s="1766">
        <f>F10-K10</f>
        <v>315665</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354452</v>
      </c>
      <c r="D12" s="841">
        <v>56247</v>
      </c>
      <c r="E12" s="841">
        <v>11021</v>
      </c>
      <c r="F12" s="1757">
        <f>(C12+D12)-E12</f>
        <v>399678</v>
      </c>
      <c r="G12" s="840">
        <v>10</v>
      </c>
      <c r="H12" s="762">
        <v>127672</v>
      </c>
      <c r="I12" s="762">
        <v>39965</v>
      </c>
      <c r="J12" s="762">
        <v>11021</v>
      </c>
      <c r="K12" s="1766">
        <f>(H12+I12)-J12</f>
        <v>156616</v>
      </c>
      <c r="L12" s="1766">
        <f>F12-K12</f>
        <v>243062</v>
      </c>
    </row>
    <row r="13" spans="1:14" ht="14.25" thickTop="1" thickBot="1" x14ac:dyDescent="0.25">
      <c r="A13" s="845" t="s">
        <v>1122</v>
      </c>
      <c r="B13" s="837">
        <v>252</v>
      </c>
      <c r="C13" s="841">
        <v>23260</v>
      </c>
      <c r="D13" s="841"/>
      <c r="E13" s="841"/>
      <c r="F13" s="1757">
        <f>(C13+D13)-E13</f>
        <v>23260</v>
      </c>
      <c r="G13" s="840">
        <v>5</v>
      </c>
      <c r="H13" s="762">
        <v>23260</v>
      </c>
      <c r="I13" s="762"/>
      <c r="J13" s="762"/>
      <c r="K13" s="1766">
        <f>(H13+I13)-J13</f>
        <v>23260</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8949162</v>
      </c>
      <c r="D16" s="1757">
        <f>SUM(D3,D5:D6,D8:D10,D12:D15)</f>
        <v>595042</v>
      </c>
      <c r="E16" s="1757">
        <f>SUM(E3,E5:E6,E8:E10,E12:E15)</f>
        <v>11021</v>
      </c>
      <c r="F16" s="1757">
        <f>SUM(F3,F5:F6,F8:F10,F12:F15)</f>
        <v>9533183</v>
      </c>
      <c r="G16" s="840"/>
      <c r="H16" s="1757">
        <f>SUM(H3,H6,H8:H10,H12:H14,)</f>
        <v>2657533</v>
      </c>
      <c r="I16" s="1757">
        <f>SUM(I3,I6,I8:I10,I12:I14,)</f>
        <v>240340</v>
      </c>
      <c r="J16" s="1757">
        <f>SUM(J3,J6,J8:J10,J12:J14,)</f>
        <v>11021</v>
      </c>
      <c r="K16" s="1757">
        <f>(H16+I16)-J16</f>
        <v>2886852</v>
      </c>
      <c r="L16" s="1757">
        <f>F16-K16</f>
        <v>6646331</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240340</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33" sqref="F33"/>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09" t="s">
        <v>1975</v>
      </c>
      <c r="B1" s="2310"/>
      <c r="C1" s="2310"/>
      <c r="D1" s="2310"/>
      <c r="E1" s="2310"/>
      <c r="F1" s="2311"/>
      <c r="G1" s="852"/>
    </row>
    <row r="2" spans="1:7" ht="15" customHeight="1" thickBot="1" x14ac:dyDescent="0.25">
      <c r="A2" s="2312" t="s">
        <v>477</v>
      </c>
      <c r="B2" s="2313"/>
      <c r="C2" s="2313"/>
      <c r="D2" s="2313"/>
      <c r="E2" s="2313"/>
      <c r="F2" s="2314"/>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15"/>
      <c r="B5" s="2316"/>
      <c r="C5" s="2316"/>
      <c r="D5" s="2316"/>
      <c r="E5" s="2316"/>
      <c r="F5" s="2316"/>
    </row>
    <row r="6" spans="1:7" ht="13.5" customHeight="1" thickBot="1" x14ac:dyDescent="0.25">
      <c r="A6" s="2306" t="s">
        <v>1104</v>
      </c>
      <c r="B6" s="2307"/>
      <c r="C6" s="2307"/>
      <c r="D6" s="2307"/>
      <c r="E6" s="2307"/>
      <c r="F6" s="2308"/>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2528777</v>
      </c>
      <c r="G8" s="862"/>
    </row>
    <row r="9" spans="1:7" x14ac:dyDescent="0.2">
      <c r="A9" s="866" t="s">
        <v>460</v>
      </c>
      <c r="B9" s="867" t="s">
        <v>1877</v>
      </c>
      <c r="C9" s="868"/>
      <c r="D9" s="866" t="s">
        <v>501</v>
      </c>
      <c r="E9" s="865"/>
      <c r="F9" s="1906">
        <f>'Expenditures 15-22'!K151</f>
        <v>299576</v>
      </c>
      <c r="G9" s="869"/>
    </row>
    <row r="10" spans="1:7" x14ac:dyDescent="0.2">
      <c r="A10" s="866" t="s">
        <v>499</v>
      </c>
      <c r="B10" s="867" t="s">
        <v>1878</v>
      </c>
      <c r="C10" s="868"/>
      <c r="D10" s="866" t="s">
        <v>501</v>
      </c>
      <c r="E10" s="865"/>
      <c r="F10" s="1906">
        <f>'Expenditures 15-22'!K174</f>
        <v>245273</v>
      </c>
      <c r="G10" s="869"/>
    </row>
    <row r="11" spans="1:7" x14ac:dyDescent="0.2">
      <c r="A11" s="866" t="s">
        <v>461</v>
      </c>
      <c r="B11" s="867" t="s">
        <v>1879</v>
      </c>
      <c r="C11" s="868"/>
      <c r="D11" s="866" t="s">
        <v>501</v>
      </c>
      <c r="E11" s="865"/>
      <c r="F11" s="1906">
        <f>'Expenditures 15-22'!K210</f>
        <v>191520</v>
      </c>
      <c r="G11" s="869"/>
    </row>
    <row r="12" spans="1:7" x14ac:dyDescent="0.2">
      <c r="A12" s="866" t="s">
        <v>462</v>
      </c>
      <c r="B12" s="867" t="s">
        <v>1880</v>
      </c>
      <c r="C12" s="868"/>
      <c r="D12" s="866" t="s">
        <v>501</v>
      </c>
      <c r="E12" s="865"/>
      <c r="F12" s="1906">
        <f>'Expenditures 15-22'!K295</f>
        <v>80010</v>
      </c>
      <c r="G12" s="869"/>
    </row>
    <row r="13" spans="1:7" x14ac:dyDescent="0.2">
      <c r="A13" s="866" t="s">
        <v>106</v>
      </c>
      <c r="B13" s="867" t="s">
        <v>1881</v>
      </c>
      <c r="C13" s="868"/>
      <c r="D13" s="866" t="s">
        <v>501</v>
      </c>
      <c r="E13" s="865"/>
      <c r="F13" s="1906">
        <f>'Expenditures 15-22'!K342</f>
        <v>0</v>
      </c>
      <c r="G13" s="870"/>
    </row>
    <row r="14" spans="1:7" ht="12" customHeight="1" thickBot="1" x14ac:dyDescent="0.25">
      <c r="A14" s="1767"/>
      <c r="B14" s="1768"/>
      <c r="C14" s="1769"/>
      <c r="D14" s="1770" t="s">
        <v>501</v>
      </c>
      <c r="E14" s="1771" t="s">
        <v>958</v>
      </c>
      <c r="F14" s="1772">
        <f>SUM(F8:F13)</f>
        <v>3345156</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174433</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2340</v>
      </c>
      <c r="G52" s="862"/>
    </row>
    <row r="53" spans="1:7" x14ac:dyDescent="0.2">
      <c r="A53" s="866" t="s">
        <v>459</v>
      </c>
      <c r="B53" s="866" t="s">
        <v>1475</v>
      </c>
      <c r="C53" s="886">
        <f>'Expenditures 15-22'!B102</f>
        <v>4000</v>
      </c>
      <c r="D53" s="885" t="str">
        <f>'Expenditures 15-22'!A102</f>
        <v>Total Payments to Other Govt Units</v>
      </c>
      <c r="E53" s="865"/>
      <c r="F53" s="1910">
        <f>'Expenditures 15-22'!K102</f>
        <v>38621</v>
      </c>
      <c r="G53" s="862"/>
    </row>
    <row r="54" spans="1:7" x14ac:dyDescent="0.2">
      <c r="A54" s="866" t="s">
        <v>459</v>
      </c>
      <c r="B54" s="866" t="s">
        <v>1476</v>
      </c>
      <c r="C54" s="886" t="s">
        <v>982</v>
      </c>
      <c r="D54" s="882" t="s">
        <v>1095</v>
      </c>
      <c r="E54" s="865"/>
      <c r="F54" s="1910">
        <f>'Expenditures 15-22'!G114</f>
        <v>55742</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12069</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111000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191520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585725</v>
      </c>
      <c r="G76" s="862"/>
    </row>
    <row r="77" spans="1:8" s="890" customFormat="1" ht="12" customHeight="1" thickTop="1" thickBot="1" x14ac:dyDescent="0.25">
      <c r="A77" s="1776"/>
      <c r="B77" s="1773"/>
      <c r="C77" s="1769"/>
      <c r="D77" s="1774" t="s">
        <v>1900</v>
      </c>
      <c r="E77" s="1771"/>
      <c r="F77" s="1777">
        <f>(F14-F76)</f>
        <v>2759431</v>
      </c>
      <c r="G77" s="866"/>
    </row>
    <row r="78" spans="1:8" s="890" customFormat="1" ht="12" customHeight="1" thickTop="1" x14ac:dyDescent="0.2">
      <c r="A78" s="1778"/>
      <c r="B78" s="1773"/>
      <c r="C78" s="1769"/>
      <c r="D78" s="1774" t="s">
        <v>2062</v>
      </c>
      <c r="E78" s="1771"/>
      <c r="F78" s="895">
        <v>192.9</v>
      </c>
      <c r="G78" s="896"/>
      <c r="H78" s="866"/>
    </row>
    <row r="79" spans="1:8" s="890" customFormat="1" ht="12" customHeight="1" thickBot="1" x14ac:dyDescent="0.25">
      <c r="A79" s="1779"/>
      <c r="B79" s="1773"/>
      <c r="C79" s="1769"/>
      <c r="D79" s="1774" t="s">
        <v>1901</v>
      </c>
      <c r="E79" s="1771" t="s">
        <v>958</v>
      </c>
      <c r="F79" s="1780">
        <f>IF(F78&gt;0,F77/F78," Complete Line 78")</f>
        <v>14304.981855883878</v>
      </c>
      <c r="G79" s="866"/>
    </row>
    <row r="80" spans="1:8" s="890" customFormat="1" ht="8.25" customHeight="1" thickTop="1" x14ac:dyDescent="0.2">
      <c r="A80" s="897"/>
      <c r="B80" s="866"/>
      <c r="C80" s="868"/>
      <c r="D80" s="898"/>
      <c r="E80" s="865"/>
      <c r="F80" s="899"/>
      <c r="G80" s="866"/>
    </row>
    <row r="81" spans="1:7" s="890" customFormat="1" ht="12" thickBot="1" x14ac:dyDescent="0.25">
      <c r="A81" s="2306" t="s">
        <v>1105</v>
      </c>
      <c r="B81" s="2307"/>
      <c r="C81" s="2307"/>
      <c r="D81" s="2307"/>
      <c r="E81" s="2307"/>
      <c r="F81" s="2308"/>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39595</v>
      </c>
      <c r="G94" s="909"/>
    </row>
    <row r="95" spans="1:7" x14ac:dyDescent="0.2">
      <c r="A95" s="905" t="s">
        <v>140</v>
      </c>
      <c r="B95" s="905" t="s">
        <v>175</v>
      </c>
      <c r="C95" s="907">
        <v>1700</v>
      </c>
      <c r="D95" s="915" t="str">
        <f>'Revenues 9-14'!A82</f>
        <v>Total District/School Activity Income</v>
      </c>
      <c r="E95" s="903"/>
      <c r="F95" s="1786">
        <f>SUM('Revenues 9-14'!C82,'Revenues 9-14'!D82)</f>
        <v>6642</v>
      </c>
      <c r="G95" s="909"/>
    </row>
    <row r="96" spans="1:7" x14ac:dyDescent="0.2">
      <c r="A96" s="905" t="s">
        <v>459</v>
      </c>
      <c r="B96" s="905" t="s">
        <v>176</v>
      </c>
      <c r="C96" s="907">
        <f>'Revenues 9-14'!B84</f>
        <v>1811</v>
      </c>
      <c r="D96" s="908" t="str">
        <f>'Revenues 9-14'!A84</f>
        <v>Rentals - Regular Textbooks</v>
      </c>
      <c r="E96" s="903"/>
      <c r="F96" s="1786">
        <f>'Revenues 9-14'!C84</f>
        <v>13363</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28542</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40704</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645</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112129</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28609</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33609</v>
      </c>
      <c r="G125" s="927"/>
    </row>
    <row r="126" spans="1:7" x14ac:dyDescent="0.2">
      <c r="A126" s="924" t="s">
        <v>668</v>
      </c>
      <c r="B126" s="924" t="s">
        <v>2024</v>
      </c>
      <c r="C126" s="929">
        <v>4300</v>
      </c>
      <c r="D126" s="930" t="str">
        <f>'Revenues 9-14'!A204</f>
        <v>Total Title I</v>
      </c>
      <c r="E126" s="903"/>
      <c r="F126" s="1786">
        <f>SUM('Revenues 9-14'!C204,'Revenues 9-14'!D204,'Revenues 9-14'!F204,'Revenues 9-14'!G204)</f>
        <v>49631</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18377</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113796</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4893</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3705</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9039</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66255.03</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569534.03</v>
      </c>
    </row>
    <row r="175" spans="1:7" ht="12" customHeight="1" x14ac:dyDescent="0.2">
      <c r="A175" s="1767"/>
      <c r="B175" s="1781"/>
      <c r="C175" s="1782"/>
      <c r="D175" s="1783" t="s">
        <v>2057</v>
      </c>
      <c r="E175" s="1784"/>
      <c r="F175" s="1786">
        <f>'PCTC-OEPP 27-28'!F77-F174</f>
        <v>2189896.9699999997</v>
      </c>
    </row>
    <row r="176" spans="1:7" ht="12" customHeight="1" x14ac:dyDescent="0.2">
      <c r="A176" s="1767"/>
      <c r="B176" s="1781"/>
      <c r="C176" s="1782"/>
      <c r="D176" s="1783" t="s">
        <v>1817</v>
      </c>
      <c r="E176" s="1784"/>
      <c r="F176" s="1786">
        <f>'Cap Outlay Deprec 26'!I18</f>
        <v>240340</v>
      </c>
    </row>
    <row r="177" spans="1:7" ht="12" customHeight="1" x14ac:dyDescent="0.2">
      <c r="A177" s="1767"/>
      <c r="B177" s="1781"/>
      <c r="C177" s="1782"/>
      <c r="D177" s="1783" t="s">
        <v>2058</v>
      </c>
      <c r="E177" s="1784"/>
      <c r="F177" s="1786">
        <f>F175+F176</f>
        <v>2430236.9699999997</v>
      </c>
    </row>
    <row r="178" spans="1:7" ht="12" customHeight="1" x14ac:dyDescent="0.2">
      <c r="A178" s="1767"/>
      <c r="B178" s="1787"/>
      <c r="C178" s="1782"/>
      <c r="D178" s="1783" t="str">
        <f>D78</f>
        <v>9 Month ADA from District Average Daily Attendance/Prior General State Aid Inquiry 2018-2019</v>
      </c>
      <c r="E178" s="1784"/>
      <c r="F178" s="1788">
        <f>'PCTC-OEPP 27-28'!F78</f>
        <v>192.9</v>
      </c>
      <c r="G178" s="927"/>
    </row>
    <row r="179" spans="1:7" ht="12" customHeight="1" thickBot="1" x14ac:dyDescent="0.25">
      <c r="A179" s="1767"/>
      <c r="B179" s="1787"/>
      <c r="C179" s="1782"/>
      <c r="D179" s="1783" t="s">
        <v>2059</v>
      </c>
      <c r="E179" s="1784" t="s">
        <v>1545</v>
      </c>
      <c r="F179" s="1789">
        <f>F177/F178</f>
        <v>12598.429082426126</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1" sqref="A21"/>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320" t="s">
        <v>1818</v>
      </c>
      <c r="B4" s="2321"/>
      <c r="C4" s="2321"/>
      <c r="D4" s="2321"/>
      <c r="E4" s="2321"/>
      <c r="F4" s="2321"/>
      <c r="G4" s="2322"/>
    </row>
    <row r="5" spans="1:7" x14ac:dyDescent="0.25">
      <c r="A5" s="2323"/>
      <c r="B5" s="2324"/>
      <c r="C5" s="2324"/>
      <c r="D5" s="2324"/>
      <c r="E5" s="2324"/>
      <c r="F5" s="2324"/>
      <c r="G5" s="2325"/>
    </row>
    <row r="6" spans="1:7" ht="18.75" x14ac:dyDescent="0.25">
      <c r="A6" s="1531" t="s">
        <v>1819</v>
      </c>
      <c r="B6" s="1532"/>
      <c r="C6" s="1532"/>
      <c r="D6" s="1532"/>
      <c r="E6" s="1532"/>
      <c r="F6" s="1532"/>
      <c r="G6" s="1533"/>
    </row>
    <row r="7" spans="1:7" ht="30.75" customHeight="1" x14ac:dyDescent="0.25">
      <c r="A7" s="2326" t="s">
        <v>1932</v>
      </c>
      <c r="B7" s="2327"/>
      <c r="C7" s="2327"/>
      <c r="D7" s="2327"/>
      <c r="E7" s="2327"/>
      <c r="F7" s="2327"/>
      <c r="G7" s="2328"/>
    </row>
    <row r="8" spans="1:7" ht="15.75" customHeight="1" x14ac:dyDescent="0.25">
      <c r="A8" s="2329" t="s">
        <v>1907</v>
      </c>
      <c r="B8" s="2330"/>
      <c r="C8" s="2330"/>
      <c r="D8" s="2330"/>
      <c r="E8" s="2330"/>
      <c r="F8" s="2330"/>
      <c r="G8" s="2331"/>
    </row>
    <row r="9" spans="1:7" ht="35.25" customHeight="1" x14ac:dyDescent="0.25">
      <c r="A9" s="2326" t="s">
        <v>1935</v>
      </c>
      <c r="B9" s="2327"/>
      <c r="C9" s="2327"/>
      <c r="D9" s="2327"/>
      <c r="E9" s="2327"/>
      <c r="F9" s="2327"/>
      <c r="G9" s="2328"/>
    </row>
    <row r="10" spans="1:7" ht="15" customHeight="1" x14ac:dyDescent="0.25">
      <c r="A10" s="1534" t="s">
        <v>1820</v>
      </c>
      <c r="B10" s="1535"/>
      <c r="C10" s="1535"/>
      <c r="D10" s="1535"/>
      <c r="E10" s="1535"/>
      <c r="F10" s="1535"/>
      <c r="G10" s="1536"/>
    </row>
    <row r="11" spans="1:7" ht="17.25" customHeight="1" x14ac:dyDescent="0.25">
      <c r="A11" s="2326" t="s">
        <v>1934</v>
      </c>
      <c r="B11" s="2327"/>
      <c r="C11" s="2327"/>
      <c r="D11" s="2327"/>
      <c r="E11" s="2327"/>
      <c r="F11" s="2327"/>
      <c r="G11" s="2328"/>
    </row>
    <row r="12" spans="1:7" ht="15" customHeight="1" x14ac:dyDescent="0.25">
      <c r="A12" s="1534" t="s">
        <v>1825</v>
      </c>
      <c r="B12" s="1535"/>
      <c r="C12" s="1535"/>
      <c r="D12" s="1535"/>
      <c r="E12" s="1535"/>
      <c r="F12" s="1535"/>
      <c r="G12" s="1536"/>
    </row>
    <row r="13" spans="1:7" ht="32.25" customHeight="1" x14ac:dyDescent="0.25">
      <c r="A13" s="2317" t="s">
        <v>1976</v>
      </c>
      <c r="B13" s="2318"/>
      <c r="C13" s="2318"/>
      <c r="D13" s="2318"/>
      <c r="E13" s="2318"/>
      <c r="F13" s="2318"/>
      <c r="G13" s="2319"/>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85" t="s">
        <v>2127</v>
      </c>
      <c r="B17" s="1986" t="s">
        <v>1824</v>
      </c>
      <c r="C17" s="1937" t="s">
        <v>2088</v>
      </c>
      <c r="D17" s="1841">
        <v>5049</v>
      </c>
      <c r="E17" s="1537">
        <f t="shared" ref="E17:E141" si="0">IF(D17&lt;=25000,D17,IF(D17&gt;25000,25000,0))</f>
        <v>5049</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5049</v>
      </c>
      <c r="G17" s="1790">
        <f>IF(F17=0,0,D17-F17)</f>
        <v>0</v>
      </c>
      <c r="H17" s="1644"/>
    </row>
    <row r="18" spans="1:8" x14ac:dyDescent="0.25">
      <c r="A18" s="1985" t="s">
        <v>2128</v>
      </c>
      <c r="B18" s="1986" t="s">
        <v>2129</v>
      </c>
      <c r="C18" s="1987" t="s">
        <v>2089</v>
      </c>
      <c r="D18" s="1841">
        <v>70620</v>
      </c>
      <c r="E18" s="1537">
        <f t="shared" ref="E18:E140" si="2">IF(D18&lt;=25000,D18,IF(D18&gt;25000,25000,0))</f>
        <v>25000</v>
      </c>
      <c r="F18" s="1929">
        <f t="shared" si="1"/>
        <v>25000</v>
      </c>
      <c r="G18" s="1790">
        <f t="shared" ref="G18:G140" si="3">IF(F18=0,0,D18-F18)</f>
        <v>45620</v>
      </c>
    </row>
    <row r="19" spans="1:8" x14ac:dyDescent="0.25">
      <c r="A19" s="1988"/>
      <c r="B19" s="1989"/>
      <c r="C19" s="1990"/>
      <c r="D19" s="1841"/>
      <c r="E19" s="1537">
        <f t="shared" si="2"/>
        <v>0</v>
      </c>
      <c r="F19" s="1929">
        <f t="shared" si="1"/>
        <v>0</v>
      </c>
      <c r="G19" s="1790">
        <f t="shared" si="3"/>
        <v>0</v>
      </c>
    </row>
    <row r="20" spans="1:8" x14ac:dyDescent="0.25">
      <c r="A20" s="1988" t="s">
        <v>2136</v>
      </c>
      <c r="B20" s="1989" t="s">
        <v>2137</v>
      </c>
      <c r="C20" s="1990" t="s">
        <v>2138</v>
      </c>
      <c r="D20" s="1841">
        <v>58796</v>
      </c>
      <c r="E20" s="1537">
        <f t="shared" si="2"/>
        <v>25000</v>
      </c>
      <c r="F20" s="1929">
        <f t="shared" si="1"/>
        <v>25000</v>
      </c>
      <c r="G20" s="1790">
        <f t="shared" si="3"/>
        <v>33796</v>
      </c>
    </row>
    <row r="21" spans="1:8" x14ac:dyDescent="0.25">
      <c r="A21" s="1935"/>
      <c r="B21" s="1936"/>
      <c r="C21" s="1937"/>
      <c r="D21" s="1841"/>
      <c r="E21" s="1537">
        <f t="shared" si="2"/>
        <v>0</v>
      </c>
      <c r="F21" s="1929">
        <f t="shared" si="1"/>
        <v>0</v>
      </c>
      <c r="G21" s="1790">
        <f t="shared" si="3"/>
        <v>0</v>
      </c>
    </row>
    <row r="22" spans="1:8" x14ac:dyDescent="0.25">
      <c r="A22" s="1935"/>
      <c r="B22" s="1936"/>
      <c r="C22" s="1937"/>
      <c r="D22" s="1841"/>
      <c r="E22" s="1537">
        <f t="shared" si="2"/>
        <v>0</v>
      </c>
      <c r="F22" s="1929">
        <f t="shared" si="1"/>
        <v>0</v>
      </c>
      <c r="G22" s="1790">
        <f t="shared" si="3"/>
        <v>0</v>
      </c>
    </row>
    <row r="23" spans="1:8" x14ac:dyDescent="0.25">
      <c r="A23" s="1935"/>
      <c r="B23" s="1936"/>
      <c r="C23" s="1937"/>
      <c r="D23" s="1841"/>
      <c r="E23" s="1537">
        <f t="shared" si="2"/>
        <v>0</v>
      </c>
      <c r="F23" s="1929">
        <f t="shared" si="1"/>
        <v>0</v>
      </c>
      <c r="G23" s="1790">
        <f t="shared" si="3"/>
        <v>0</v>
      </c>
    </row>
    <row r="24" spans="1:8" x14ac:dyDescent="0.25">
      <c r="A24" s="1935"/>
      <c r="B24" s="1936"/>
      <c r="C24" s="1937"/>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134465</v>
      </c>
      <c r="E141" s="1538">
        <f t="shared" si="0"/>
        <v>25000</v>
      </c>
      <c r="F141" s="1930">
        <f>SUM(F17:F140)</f>
        <v>55049</v>
      </c>
      <c r="G141" s="1792">
        <f>SUM(G17:G140)</f>
        <v>79416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32" t="s">
        <v>1679</v>
      </c>
      <c r="B5" s="2333"/>
      <c r="C5" s="2333"/>
      <c r="D5" s="2333"/>
      <c r="E5" s="2333"/>
      <c r="F5" s="2333"/>
      <c r="G5" s="2334"/>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58847</v>
      </c>
      <c r="F10" s="971"/>
      <c r="G10" s="972"/>
      <c r="H10" s="162"/>
      <c r="I10" s="162"/>
    </row>
    <row r="11" spans="1:9" s="665" customFormat="1" ht="22.5" customHeight="1" x14ac:dyDescent="0.2">
      <c r="A11" s="2337" t="s">
        <v>1977</v>
      </c>
      <c r="B11" s="2338"/>
      <c r="C11" s="2338"/>
      <c r="D11" s="2339"/>
      <c r="E11" s="974">
        <v>940</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1670858</v>
      </c>
      <c r="F19" s="1796"/>
      <c r="G19" s="1798">
        <f>'Expenditures 15-22'!K33-SUM('Expenditures 15-22'!G33,'Expenditures 15-22'!I33)+'Expenditures 15-22'!D229</f>
        <v>1670858</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115520</v>
      </c>
      <c r="F21" s="1799"/>
      <c r="G21" s="1802">
        <f>'Expenditures 15-22'!K42-SUM('Expenditures 15-22'!G42,'Expenditures 15-22'!I42)+'Expenditures 15-22'!K120-SUM('Expenditures 15-22'!G120,'Expenditures 15-22'!I120)+'Expenditures 15-22'!K180-SUM('Expenditures 15-22'!G180,'Expenditures 15-22'!I180)+'Expenditures 15-22'!D238</f>
        <v>115520</v>
      </c>
      <c r="H21" s="984"/>
      <c r="I21" s="162"/>
    </row>
    <row r="22" spans="1:9" s="665" customFormat="1" ht="12" customHeight="1" x14ac:dyDescent="0.2">
      <c r="A22" s="991" t="s">
        <v>564</v>
      </c>
      <c r="B22" s="992"/>
      <c r="C22" s="990">
        <v>2200</v>
      </c>
      <c r="D22" s="1799"/>
      <c r="E22" s="1801">
        <f>'Expenditures 15-22'!K47-SUM('Expenditures 15-22'!G47,'Expenditures 15-22'!I47)+'Expenditures 15-22'!D243</f>
        <v>16801</v>
      </c>
      <c r="F22" s="1799"/>
      <c r="G22" s="1802">
        <f>'Expenditures 15-22'!K47-SUM('Expenditures 15-22'!G47,'Expenditures 15-22'!I47)+'Expenditures 15-22'!D243</f>
        <v>16801</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313419</v>
      </c>
      <c r="F23" s="1799"/>
      <c r="G23" s="1801">
        <f>'Expenditures 15-22'!K53-SUM('Expenditures 15-22'!G53,'Expenditures 15-22'!I53)+'Expenditures 15-22'!D257+'Expenditures 15-22'!K330-SUM('Expenditures 15-22'!G330,'Expenditures 15-22'!I330)</f>
        <v>313419</v>
      </c>
      <c r="H23" s="984"/>
      <c r="I23" s="162"/>
    </row>
    <row r="24" spans="1:9" s="665" customFormat="1" ht="12" customHeight="1" x14ac:dyDescent="0.2">
      <c r="A24" s="991" t="s">
        <v>566</v>
      </c>
      <c r="B24" s="992"/>
      <c r="C24" s="990">
        <v>2400</v>
      </c>
      <c r="D24" s="1799"/>
      <c r="E24" s="1801">
        <f>'Expenditures 15-22'!K57-SUM('Expenditures 15-22'!G57,'Expenditures 15-22'!I57)+'Expenditures 15-22'!D261</f>
        <v>125018</v>
      </c>
      <c r="F24" s="1799"/>
      <c r="G24" s="1802">
        <f>'Expenditures 15-22'!K57-SUM('Expenditures 15-22'!G57,'Expenditures 15-22'!I57)+'Expenditures 15-22'!D261</f>
        <v>125018</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68856</v>
      </c>
      <c r="E27" s="1801">
        <f>E8</f>
        <v>0</v>
      </c>
      <c r="F27" s="1801">
        <f>'Expenditures 15-22'!K60-SUM('Expenditures 15-22'!G60,'Expenditures 15-22'!I60)+'Expenditures 15-22'!D264-E8</f>
        <v>68856</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402290</v>
      </c>
      <c r="F28" s="1803">
        <f>'Expenditures 15-22'!K61-SUM('Expenditures 15-22'!G61,'Expenditures 15-22'!I61)+'Expenditures 15-22'!K124-SUM('Expenditures 15-22'!G124,'Expenditures 15-22'!I124)+'Expenditures 15-22'!D266-E9</f>
        <v>402290</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0</v>
      </c>
      <c r="F29" s="1799"/>
      <c r="G29" s="1802">
        <f>'Expenditures 15-22'!K62-SUM('Expenditures 15-22'!G62,'Expenditures 15-22'!I62)+'Expenditures 15-22'!K125-SUM('Expenditures 15-22'!G125,'Expenditures 15-22'!I125)+'Expenditures 15-22'!K182-SUM('Expenditures 15-22'!G182,'Expenditures 15-22'!I182)+'Expenditures 15-22'!D267</f>
        <v>0</v>
      </c>
      <c r="H29" s="982"/>
    </row>
    <row r="30" spans="1:9" ht="12" customHeight="1" x14ac:dyDescent="0.2">
      <c r="A30" s="991" t="s">
        <v>100</v>
      </c>
      <c r="B30" s="994"/>
      <c r="C30" s="990">
        <v>2560</v>
      </c>
      <c r="D30" s="1799"/>
      <c r="E30" s="1801">
        <f>'Expenditures 15-22'!K63-SUM('Expenditures 15-22'!G63,'Expenditures 15-22'!I63)+'Expenditures 15-22'!D268-E10</f>
        <v>27982</v>
      </c>
      <c r="F30" s="1799"/>
      <c r="G30" s="1801">
        <f>'Expenditures 15-22'!K63-SUM('Expenditures 15-22'!G63,'Expenditures 15-22'!I63)+'Expenditures 15-22'!D268-E10</f>
        <v>27982</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2340</v>
      </c>
      <c r="F39" s="1799"/>
      <c r="G39" s="1801">
        <f>'Expenditures 15-22'!K75-SUM('Expenditures 15-22'!G75,'Expenditures 15-22'!I75)+'Expenditures 15-22'!K130-SUM('Expenditures 15-22'!G130,'Expenditures 15-22'!I130)+'Expenditures 15-22'!K185-SUM('Expenditures 15-22'!G185,'Expenditures 15-22'!I185)+'Expenditures 15-22'!D280</f>
        <v>2340</v>
      </c>
    </row>
    <row r="40" spans="1:7" ht="12" customHeight="1" x14ac:dyDescent="0.2">
      <c r="A40" s="987" t="s">
        <v>1823</v>
      </c>
      <c r="B40" s="988"/>
      <c r="C40" s="990"/>
      <c r="D40" s="1799"/>
      <c r="E40" s="1803">
        <f>-'Contracts Paid in CY 29'!G141</f>
        <v>-79416</v>
      </c>
      <c r="F40" s="1799"/>
      <c r="G40" s="1803">
        <f>-'Contracts Paid in CY 29'!G141</f>
        <v>-79416</v>
      </c>
    </row>
    <row r="41" spans="1:7" ht="12" customHeight="1" x14ac:dyDescent="0.2">
      <c r="A41" s="995" t="s">
        <v>156</v>
      </c>
      <c r="B41" s="996"/>
      <c r="C41" s="997"/>
      <c r="D41" s="1803">
        <f>SUM(D19:D39)</f>
        <v>68856</v>
      </c>
      <c r="E41" s="1803">
        <f>SUM(E19:E40)</f>
        <v>2594812</v>
      </c>
      <c r="F41" s="1803">
        <f>SUM(F19:F39)</f>
        <v>471146</v>
      </c>
      <c r="G41" s="1803">
        <f>SUM(G19:G40)</f>
        <v>2192522</v>
      </c>
    </row>
    <row r="42" spans="1:7" x14ac:dyDescent="0.2">
      <c r="A42" s="984"/>
      <c r="B42" s="162"/>
      <c r="C42" s="998"/>
      <c r="D42" s="2335" t="s">
        <v>522</v>
      </c>
      <c r="E42" s="2336"/>
      <c r="F42" s="999" t="s">
        <v>523</v>
      </c>
      <c r="G42" s="1000"/>
    </row>
    <row r="43" spans="1:7" ht="12" customHeight="1" x14ac:dyDescent="0.2">
      <c r="A43" s="984"/>
      <c r="B43" s="162"/>
      <c r="C43" s="998"/>
      <c r="D43" s="1804" t="s">
        <v>473</v>
      </c>
      <c r="E43" s="1805">
        <f>D41</f>
        <v>68856</v>
      </c>
      <c r="F43" s="1804" t="s">
        <v>473</v>
      </c>
      <c r="G43" s="1805">
        <f>F41</f>
        <v>471146</v>
      </c>
    </row>
    <row r="44" spans="1:7" ht="12" customHeight="1" x14ac:dyDescent="0.2">
      <c r="A44" s="984"/>
      <c r="B44" s="162"/>
      <c r="C44" s="998"/>
      <c r="D44" s="1804" t="s">
        <v>474</v>
      </c>
      <c r="E44" s="1805">
        <f>E41</f>
        <v>2594812</v>
      </c>
      <c r="F44" s="1804" t="s">
        <v>474</v>
      </c>
      <c r="G44" s="1805">
        <f>G41</f>
        <v>2192522</v>
      </c>
    </row>
    <row r="45" spans="1:7" ht="12" customHeight="1" x14ac:dyDescent="0.2">
      <c r="A45" s="984"/>
      <c r="B45" s="162"/>
      <c r="C45" s="162"/>
      <c r="D45" s="1806" t="s">
        <v>1006</v>
      </c>
      <c r="E45" s="1807">
        <f>(E43/E44)</f>
        <v>2.6536026502112679E-2</v>
      </c>
      <c r="F45" s="1806" t="s">
        <v>1006</v>
      </c>
      <c r="G45" s="1807">
        <f>(G43/G44)</f>
        <v>0.21488769553965706</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F33" sqref="F33"/>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43" t="s">
        <v>1379</v>
      </c>
      <c r="B1" s="2343"/>
      <c r="C1" s="2343"/>
      <c r="D1" s="2343"/>
      <c r="E1" s="2343"/>
      <c r="F1" s="2343"/>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44" t="s">
        <v>1546</v>
      </c>
      <c r="B5" s="2345"/>
      <c r="C5" s="2346"/>
      <c r="D5" s="2346"/>
      <c r="E5" s="2346"/>
      <c r="F5" s="2346"/>
    </row>
    <row r="6" spans="1:10" ht="12" customHeight="1" x14ac:dyDescent="0.25">
      <c r="A6" s="1847"/>
      <c r="B6" s="1848"/>
      <c r="C6" s="2347" t="str">
        <f>COVER!A17</f>
        <v>Rankin CSD 98</v>
      </c>
      <c r="D6" s="2347"/>
      <c r="E6" s="2347"/>
      <c r="F6" s="1849"/>
    </row>
    <row r="7" spans="1:10" ht="11.25" customHeight="1" thickBot="1" x14ac:dyDescent="0.3">
      <c r="A7" s="1847"/>
      <c r="B7" s="1848"/>
      <c r="C7" s="2348">
        <f>COVER!A13</f>
        <v>53090098002</v>
      </c>
      <c r="D7" s="2348"/>
      <c r="E7" s="2348"/>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2079</v>
      </c>
      <c r="D26" s="1862" t="s">
        <v>2079</v>
      </c>
      <c r="E26" s="1865"/>
      <c r="F26" s="1864" t="s">
        <v>2087</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t="s">
        <v>2079</v>
      </c>
      <c r="D32" s="1862" t="s">
        <v>2079</v>
      </c>
      <c r="E32" s="1865"/>
      <c r="F32" s="1864" t="s">
        <v>2126</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10</v>
      </c>
      <c r="I34" s="1875">
        <f>SUM(I11:I32)</f>
        <v>10</v>
      </c>
      <c r="J34" s="1875">
        <f>SUM(J11:J32)</f>
        <v>0</v>
      </c>
      <c r="K34" s="1875">
        <f>SUM(H34:J34)</f>
        <v>20</v>
      </c>
    </row>
    <row r="35" spans="1:11" ht="12" customHeight="1" x14ac:dyDescent="0.2">
      <c r="A35" s="1868" t="s">
        <v>1392</v>
      </c>
      <c r="B35" s="1869"/>
      <c r="C35" s="2349"/>
      <c r="D35" s="2349"/>
      <c r="E35" s="2349"/>
      <c r="F35" s="2350"/>
    </row>
    <row r="36" spans="1:11" ht="12" customHeight="1" x14ac:dyDescent="0.2">
      <c r="A36" s="2340"/>
      <c r="B36" s="2341"/>
      <c r="C36" s="2341"/>
      <c r="D36" s="2341"/>
      <c r="E36" s="2341"/>
      <c r="F36" s="2342"/>
    </row>
    <row r="37" spans="1:11" ht="12" customHeight="1" x14ac:dyDescent="0.2">
      <c r="A37" s="2340"/>
      <c r="B37" s="2341"/>
      <c r="C37" s="2341"/>
      <c r="D37" s="2341"/>
      <c r="E37" s="2341"/>
      <c r="F37" s="2342"/>
    </row>
    <row r="38" spans="1:11" ht="12" customHeight="1" x14ac:dyDescent="0.2">
      <c r="A38" s="2354"/>
      <c r="B38" s="2355"/>
      <c r="C38" s="2355"/>
      <c r="D38" s="2355"/>
      <c r="E38" s="2355"/>
      <c r="F38" s="2356"/>
    </row>
    <row r="39" spans="1:11" ht="4.5" hidden="1" customHeight="1" x14ac:dyDescent="0.2">
      <c r="A39" s="1870"/>
      <c r="B39" s="1870"/>
      <c r="C39" s="1870"/>
      <c r="D39" s="1870"/>
      <c r="E39" s="1870"/>
      <c r="F39" s="1870"/>
    </row>
    <row r="40" spans="1:11" s="1867" customFormat="1" ht="12" customHeight="1" x14ac:dyDescent="0.25">
      <c r="A40" s="1871" t="s">
        <v>1391</v>
      </c>
      <c r="B40" s="1872"/>
      <c r="C40" s="2357"/>
      <c r="D40" s="2357"/>
      <c r="E40" s="2357"/>
      <c r="F40" s="2358"/>
      <c r="H40" s="1876"/>
      <c r="I40" s="1876"/>
      <c r="J40" s="1876"/>
      <c r="K40" s="1876"/>
    </row>
    <row r="41" spans="1:11" s="1867" customFormat="1" ht="12" customHeight="1" x14ac:dyDescent="0.25">
      <c r="A41" s="2359"/>
      <c r="B41" s="2360"/>
      <c r="C41" s="2360"/>
      <c r="D41" s="2360"/>
      <c r="E41" s="2360"/>
      <c r="F41" s="2361"/>
      <c r="H41" s="1876"/>
      <c r="I41" s="1876"/>
      <c r="J41" s="1876"/>
      <c r="K41" s="1876"/>
    </row>
    <row r="42" spans="1:11" s="1867" customFormat="1" ht="12" customHeight="1" x14ac:dyDescent="0.25">
      <c r="A42" s="2359"/>
      <c r="B42" s="2360"/>
      <c r="C42" s="2360"/>
      <c r="D42" s="2360"/>
      <c r="E42" s="2360"/>
      <c r="F42" s="2361"/>
      <c r="H42" s="1876"/>
      <c r="I42" s="1876"/>
      <c r="J42" s="1876"/>
      <c r="K42" s="1876"/>
    </row>
    <row r="43" spans="1:11" s="1867" customFormat="1" ht="15" x14ac:dyDescent="0.25">
      <c r="A43" s="2351"/>
      <c r="B43" s="2352"/>
      <c r="C43" s="2352"/>
      <c r="D43" s="2352"/>
      <c r="E43" s="2352"/>
      <c r="F43" s="2353"/>
      <c r="H43" s="1876"/>
      <c r="I43" s="1876"/>
      <c r="J43" s="1876"/>
      <c r="K43" s="1876"/>
    </row>
    <row r="44" spans="1:11" s="1867" customFormat="1" ht="12" hidden="1" customHeight="1" x14ac:dyDescent="0.25">
      <c r="A44" s="2351"/>
      <c r="B44" s="2352"/>
      <c r="C44" s="2352"/>
      <c r="D44" s="2352"/>
      <c r="E44" s="2352"/>
      <c r="F44" s="2353"/>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67" t="str">
        <f>COVER!A17</f>
        <v>Rankin CSD 98</v>
      </c>
      <c r="J6" s="2368"/>
      <c r="Q6" s="1661"/>
    </row>
    <row r="7" spans="1:17" x14ac:dyDescent="0.2">
      <c r="A7" s="2369" t="s">
        <v>869</v>
      </c>
      <c r="B7" s="2370"/>
      <c r="C7" s="2370"/>
      <c r="D7" s="2370"/>
      <c r="E7" s="2371"/>
      <c r="F7" s="1014"/>
      <c r="G7" s="1006"/>
      <c r="H7" s="1013" t="s">
        <v>372</v>
      </c>
      <c r="I7" s="2372">
        <f>COVER!A13</f>
        <v>53090098002</v>
      </c>
      <c r="J7" s="2372"/>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73" t="s">
        <v>481</v>
      </c>
      <c r="B11" s="2374"/>
      <c r="C11" s="2375"/>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187878</v>
      </c>
      <c r="F12" s="1036"/>
      <c r="G12" s="1808">
        <f t="shared" ref="G12:G18" si="0">SUM(E12:F12)</f>
        <v>187878</v>
      </c>
      <c r="H12" s="1037">
        <v>196933</v>
      </c>
      <c r="I12" s="1036"/>
      <c r="J12" s="1808">
        <f t="shared" ref="J12:J18" si="1">SUM(H12:I12)</f>
        <v>196933</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76" t="s">
        <v>7</v>
      </c>
      <c r="C18" s="2377"/>
      <c r="D18" s="2378"/>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187878</v>
      </c>
      <c r="F19" s="1810">
        <f t="shared" si="2"/>
        <v>0</v>
      </c>
      <c r="G19" s="1810">
        <f t="shared" si="2"/>
        <v>187878</v>
      </c>
      <c r="H19" s="1810">
        <f t="shared" si="2"/>
        <v>196933</v>
      </c>
      <c r="I19" s="1810">
        <f t="shared" si="2"/>
        <v>0</v>
      </c>
      <c r="J19" s="1810">
        <f t="shared" si="2"/>
        <v>196933</v>
      </c>
    </row>
    <row r="20" spans="1:10" ht="13.5" thickTop="1" x14ac:dyDescent="0.2">
      <c r="A20" s="1032">
        <v>9</v>
      </c>
      <c r="B20" s="2379" t="s">
        <v>1981</v>
      </c>
      <c r="C20" s="2379"/>
      <c r="D20" s="2380"/>
      <c r="E20" s="1043"/>
      <c r="F20" s="1043"/>
      <c r="G20" s="1043"/>
      <c r="H20" s="1043"/>
      <c r="I20" s="1043"/>
      <c r="J20" s="1811">
        <f>IF(AND(G19&gt;0,J19&gt;0),(((J19-G19)/G19)),"Enter Budget Data")</f>
        <v>4.8196169854905845E-2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85"/>
      <c r="D26" s="2385"/>
      <c r="E26" s="1047"/>
      <c r="F26" s="2384"/>
      <c r="G26" s="2384"/>
    </row>
    <row r="27" spans="1:10" x14ac:dyDescent="0.2">
      <c r="B27" s="1044"/>
      <c r="C27" s="1048" t="s">
        <v>1033</v>
      </c>
      <c r="D27" s="1049"/>
      <c r="E27" s="1050"/>
      <c r="F27" s="2381" t="s">
        <v>1509</v>
      </c>
      <c r="G27" s="2381"/>
    </row>
    <row r="28" spans="1:10" ht="28.5" customHeight="1" x14ac:dyDescent="0.2">
      <c r="B28" s="1044"/>
      <c r="C28" s="2383"/>
      <c r="D28" s="2383"/>
      <c r="E28" s="1051"/>
      <c r="F28" s="2383"/>
      <c r="G28" s="2383"/>
    </row>
    <row r="29" spans="1:10" x14ac:dyDescent="0.2">
      <c r="B29" s="1044"/>
      <c r="C29" s="1052" t="s">
        <v>1561</v>
      </c>
      <c r="E29" s="1053"/>
      <c r="F29" s="2382" t="s">
        <v>1510</v>
      </c>
      <c r="G29" s="2382"/>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64" t="s">
        <v>132</v>
      </c>
      <c r="D33" s="2365"/>
      <c r="E33" s="2365"/>
      <c r="F33" s="2365"/>
      <c r="G33" s="2365"/>
      <c r="H33" s="2365"/>
      <c r="I33" s="2365"/>
    </row>
    <row r="34" spans="1:10" ht="10.35" customHeight="1" x14ac:dyDescent="0.2">
      <c r="C34" s="2365"/>
      <c r="D34" s="2365"/>
      <c r="E34" s="2365"/>
      <c r="F34" s="2365"/>
      <c r="G34" s="2365"/>
      <c r="H34" s="2365"/>
      <c r="I34" s="2365"/>
    </row>
    <row r="35" spans="1:10" ht="7.5" customHeight="1" x14ac:dyDescent="0.2">
      <c r="C35" s="1059"/>
    </row>
    <row r="36" spans="1:10" ht="13.5" customHeight="1" x14ac:dyDescent="0.2">
      <c r="B36" s="1058"/>
      <c r="C36" s="2366" t="s">
        <v>1983</v>
      </c>
      <c r="D36" s="2365"/>
      <c r="E36" s="2365"/>
      <c r="F36" s="2365"/>
      <c r="G36" s="2365"/>
      <c r="H36" s="2365"/>
      <c r="I36" s="2365"/>
      <c r="J36" s="1060"/>
    </row>
    <row r="37" spans="1:10" ht="22.5" customHeight="1" x14ac:dyDescent="0.2">
      <c r="C37" s="2365"/>
      <c r="D37" s="2365"/>
      <c r="E37" s="2365"/>
      <c r="F37" s="2365"/>
      <c r="G37" s="2365"/>
      <c r="H37" s="2365"/>
      <c r="I37" s="2365"/>
      <c r="J37" s="1060"/>
    </row>
    <row r="38" spans="1:10" ht="7.5" customHeight="1" x14ac:dyDescent="0.2">
      <c r="C38" s="1059"/>
      <c r="D38" s="1061"/>
      <c r="E38" s="1062"/>
      <c r="F38" s="1063"/>
      <c r="G38" s="1062"/>
    </row>
    <row r="39" spans="1:10" ht="13.5" customHeight="1" x14ac:dyDescent="0.2">
      <c r="B39" s="1058"/>
      <c r="C39" s="2362" t="s">
        <v>882</v>
      </c>
      <c r="D39" s="2363"/>
      <c r="E39" s="2363"/>
      <c r="F39" s="2363"/>
      <c r="G39" s="2363"/>
      <c r="H39" s="2363"/>
      <c r="I39" s="2363"/>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2130</v>
      </c>
    </row>
    <row r="6" spans="1:2" x14ac:dyDescent="0.2">
      <c r="A6" s="1065"/>
      <c r="B6" s="329" t="s">
        <v>2132</v>
      </c>
    </row>
    <row r="7" spans="1:2" x14ac:dyDescent="0.2">
      <c r="A7" s="1065"/>
      <c r="B7" s="329" t="s">
        <v>2131</v>
      </c>
    </row>
    <row r="8" spans="1:2" x14ac:dyDescent="0.2">
      <c r="A8" s="1065">
        <v>2</v>
      </c>
      <c r="B8" s="329" t="s">
        <v>2139</v>
      </c>
    </row>
    <row r="9" spans="1:2" x14ac:dyDescent="0.2">
      <c r="A9" s="1065">
        <v>3</v>
      </c>
      <c r="B9" s="329" t="s">
        <v>2140</v>
      </c>
    </row>
    <row r="10" spans="1:2" x14ac:dyDescent="0.2">
      <c r="A10" s="1065">
        <v>4</v>
      </c>
      <c r="B10" s="329" t="s">
        <v>2133</v>
      </c>
    </row>
    <row r="11" spans="1:2" x14ac:dyDescent="0.2">
      <c r="A11" s="1065">
        <v>5</v>
      </c>
      <c r="B11" s="329" t="s">
        <v>2134</v>
      </c>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Rankin CSD 98</v>
      </c>
    </row>
    <row r="65" spans="2:2" x14ac:dyDescent="0.2">
      <c r="B65" s="1067">
        <f>COVER!A13</f>
        <v>53090098002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86" t="s">
        <v>1685</v>
      </c>
      <c r="B18" s="2386"/>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9937" r:id="rId4"/>
      </mc:Fallback>
    </mc:AlternateContent>
    <mc:AlternateContent xmlns:mc="http://schemas.openxmlformats.org/markup-compatibility/2006">
      <mc:Choice Requires="x14">
        <oleObject progId="Acrobat Document" dvAspect="DVASPECT_ICON" shapeId="39938" r:id="rId6">
          <objectPr defaultSize="0" r:id="rId7">
            <anchor moveWithCells="1">
              <from>
                <xdr:col>1</xdr:col>
                <xdr:colOff>1143000</xdr:colOff>
                <xdr:row>0</xdr:row>
                <xdr:rowOff>142875</xdr:rowOff>
              </from>
              <to>
                <xdr:col>1</xdr:col>
                <xdr:colOff>2057400</xdr:colOff>
                <xdr:row>5</xdr:row>
                <xdr:rowOff>19050</xdr:rowOff>
              </to>
            </anchor>
          </objectPr>
        </oleObject>
      </mc:Choice>
      <mc:Fallback>
        <oleObject progId="Acrobat Document" dvAspect="DVASPECT_ICON" shapeId="3993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7" t="s">
        <v>1690</v>
      </c>
      <c r="B1" s="2388"/>
      <c r="C1" s="2388"/>
      <c r="D1" s="2388"/>
      <c r="E1" s="2388"/>
      <c r="F1" s="2389"/>
    </row>
    <row r="2" spans="1:8" ht="45" customHeight="1" x14ac:dyDescent="0.2">
      <c r="A2" s="2397" t="s">
        <v>1987</v>
      </c>
      <c r="B2" s="2398"/>
      <c r="C2" s="2398"/>
      <c r="D2" s="2398"/>
      <c r="E2" s="2398"/>
      <c r="F2" s="2399"/>
      <c r="G2" s="1071"/>
      <c r="H2" s="1071"/>
    </row>
    <row r="3" spans="1:8" ht="57" customHeight="1" x14ac:dyDescent="0.2">
      <c r="A3" s="2400" t="s">
        <v>1686</v>
      </c>
      <c r="B3" s="2401"/>
      <c r="C3" s="2401"/>
      <c r="D3" s="2401"/>
      <c r="E3" s="2401"/>
      <c r="F3" s="2402"/>
      <c r="G3" s="1071"/>
      <c r="H3" s="1071"/>
    </row>
    <row r="4" spans="1:8" ht="14.25" customHeight="1" x14ac:dyDescent="0.2">
      <c r="A4" s="2406" t="s">
        <v>1988</v>
      </c>
      <c r="B4" s="2407"/>
      <c r="C4" s="2407"/>
      <c r="D4" s="2407"/>
      <c r="E4" s="2407"/>
      <c r="F4" s="2408"/>
      <c r="G4" s="1071"/>
      <c r="H4" s="1071"/>
    </row>
    <row r="5" spans="1:8" ht="14.25" customHeight="1" x14ac:dyDescent="0.2">
      <c r="A5" s="2409" t="s">
        <v>1984</v>
      </c>
      <c r="B5" s="2410"/>
      <c r="C5" s="2410"/>
      <c r="D5" s="2410"/>
      <c r="E5" s="2410"/>
      <c r="F5" s="2411"/>
      <c r="G5" s="1071"/>
      <c r="H5" s="1071"/>
    </row>
    <row r="6" spans="1:8" s="1072" customFormat="1" ht="41.25" customHeight="1" x14ac:dyDescent="0.2">
      <c r="A6" s="2403" t="s">
        <v>1691</v>
      </c>
      <c r="B6" s="2404"/>
      <c r="C6" s="2404"/>
      <c r="D6" s="2404"/>
      <c r="E6" s="2404"/>
      <c r="F6" s="2405"/>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2575825</v>
      </c>
      <c r="C8" s="1812">
        <f>'Acct Summary 7-8'!D8</f>
        <v>310972</v>
      </c>
      <c r="D8" s="1812">
        <f>'Acct Summary 7-8'!F8</f>
        <v>241501</v>
      </c>
      <c r="E8" s="1812">
        <f>'Acct Summary 7-8'!I8</f>
        <v>31068</v>
      </c>
      <c r="F8" s="1812">
        <f>SUM(B8:E8)</f>
        <v>3159366</v>
      </c>
    </row>
    <row r="9" spans="1:8" s="1076" customFormat="1" ht="14.25" customHeight="1" thickBot="1" x14ac:dyDescent="0.25">
      <c r="A9" s="1075" t="s">
        <v>1369</v>
      </c>
      <c r="B9" s="1813">
        <f>'Acct Summary 7-8'!C17</f>
        <v>2528777</v>
      </c>
      <c r="C9" s="1813">
        <f>'Acct Summary 7-8'!D17</f>
        <v>299576</v>
      </c>
      <c r="D9" s="1813">
        <f>'Acct Summary 7-8'!F17</f>
        <v>191520</v>
      </c>
      <c r="E9" s="1812"/>
      <c r="F9" s="1812">
        <f>SUM(B9:E9)</f>
        <v>3019873</v>
      </c>
    </row>
    <row r="10" spans="1:8" s="1076" customFormat="1" ht="14.25" thickTop="1" thickBot="1" x14ac:dyDescent="0.25">
      <c r="A10" s="1077" t="s">
        <v>1370</v>
      </c>
      <c r="B10" s="1814">
        <f>(B8-B9)</f>
        <v>47048</v>
      </c>
      <c r="C10" s="1814">
        <f>(C8-C9)</f>
        <v>11396</v>
      </c>
      <c r="D10" s="1814">
        <f>(D8-D9)</f>
        <v>49981</v>
      </c>
      <c r="E10" s="1813">
        <f>(E8-E9)</f>
        <v>31068</v>
      </c>
      <c r="F10" s="1815">
        <f>SUM(F8-F9)</f>
        <v>139493</v>
      </c>
    </row>
    <row r="11" spans="1:8" s="1076" customFormat="1" ht="14.25" thickTop="1" thickBot="1" x14ac:dyDescent="0.25">
      <c r="A11" s="1078" t="s">
        <v>1985</v>
      </c>
      <c r="B11" s="1816">
        <f>'Acct Summary 7-8'!C81</f>
        <v>2355222</v>
      </c>
      <c r="C11" s="1816">
        <f>'Acct Summary 7-8'!D81</f>
        <v>355413</v>
      </c>
      <c r="D11" s="1816">
        <f>'Acct Summary 7-8'!F81</f>
        <v>375007</v>
      </c>
      <c r="E11" s="1816">
        <f>'Acct Summary 7-8'!I81</f>
        <v>269913</v>
      </c>
      <c r="F11" s="1817">
        <f>SUM(B11:E11)</f>
        <v>3355555</v>
      </c>
    </row>
    <row r="12" spans="1:8" ht="16.5" customHeight="1" thickTop="1" x14ac:dyDescent="0.2">
      <c r="A12" s="1079"/>
      <c r="B12" s="1080"/>
      <c r="C12" s="2391" t="str">
        <f>IF(AND(F10&lt;0,F11&gt;=0,ABS(F10*3)&gt;ABS(F11)),A16,IF(AND(F10&lt;0,F11&gt;0,ABS(F10*3)&lt;=ABS(F11)),A17,IF(AND(F10&lt;0,F11&lt;0),A16,IF(F11=0,A19,A18))))</f>
        <v>Balanced - no deficit reduction plan is required.</v>
      </c>
      <c r="D12" s="2392"/>
      <c r="E12" s="2392"/>
      <c r="F12" s="2393"/>
    </row>
    <row r="13" spans="1:8" ht="19.5" customHeight="1" x14ac:dyDescent="0.2">
      <c r="A13" s="1081"/>
      <c r="B13" s="1082"/>
      <c r="C13" s="2391"/>
      <c r="D13" s="2392"/>
      <c r="E13" s="2392"/>
      <c r="F13" s="2393"/>
      <c r="H13" s="1071"/>
    </row>
    <row r="14" spans="1:8" ht="19.5" customHeight="1" x14ac:dyDescent="0.2">
      <c r="A14" s="1081"/>
      <c r="B14" s="1082"/>
      <c r="C14" s="2391"/>
      <c r="D14" s="2392"/>
      <c r="E14" s="2392"/>
      <c r="F14" s="2393"/>
      <c r="H14" s="1071"/>
    </row>
    <row r="15" spans="1:8" ht="17.25" customHeight="1" x14ac:dyDescent="0.2">
      <c r="A15" s="1081"/>
      <c r="B15" s="1082"/>
      <c r="C15" s="2394"/>
      <c r="D15" s="2395"/>
      <c r="E15" s="2395"/>
      <c r="F15" s="2396"/>
      <c r="H15" s="1071"/>
    </row>
    <row r="16" spans="1:8" s="310" customFormat="1" ht="51.75" hidden="1" customHeight="1" x14ac:dyDescent="0.2">
      <c r="A16" s="2390" t="s">
        <v>1687</v>
      </c>
      <c r="B16" s="2390"/>
      <c r="C16" s="2390"/>
      <c r="D16" s="2390"/>
      <c r="E16" s="2390"/>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412" t="s">
        <v>665</v>
      </c>
      <c r="B3" s="2413"/>
      <c r="C3" s="2413"/>
      <c r="D3" s="2414"/>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23" t="s">
        <v>1504</v>
      </c>
      <c r="D7" s="2424"/>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15" t="s">
        <v>1008</v>
      </c>
      <c r="B15" s="2416"/>
      <c r="C15" s="2416"/>
      <c r="D15" s="2417"/>
    </row>
    <row r="16" spans="1:4" s="665" customFormat="1" ht="24" customHeight="1" x14ac:dyDescent="0.2">
      <c r="A16" s="2418" t="s">
        <v>663</v>
      </c>
      <c r="B16" s="2419"/>
      <c r="C16" s="2419"/>
      <c r="D16" s="2420"/>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27" t="s">
        <v>314</v>
      </c>
      <c r="D21" s="2428"/>
    </row>
    <row r="22" spans="1:10" ht="12.75" x14ac:dyDescent="0.2">
      <c r="A22" s="1136"/>
      <c r="B22" s="1137">
        <v>2</v>
      </c>
      <c r="C22" s="2425" t="s">
        <v>1524</v>
      </c>
      <c r="D22" s="2426"/>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29" t="s">
        <v>536</v>
      </c>
      <c r="D43" s="2430"/>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21" t="s">
        <v>784</v>
      </c>
      <c r="D56" s="2422"/>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421" t="s">
        <v>1696</v>
      </c>
      <c r="D70" s="2422"/>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53090098002</v>
      </c>
    </row>
    <row r="3" spans="1:2" x14ac:dyDescent="0.2">
      <c r="A3" t="s">
        <v>956</v>
      </c>
      <c r="B3" s="138" t="str">
        <f>COVER!A15</f>
        <v>Tazewell</v>
      </c>
    </row>
    <row r="4" spans="1:2" x14ac:dyDescent="0.2">
      <c r="A4" t="s">
        <v>1007</v>
      </c>
      <c r="B4" s="138" t="str">
        <f>COVER!A17</f>
        <v>Rankin CSD 98</v>
      </c>
    </row>
    <row r="5" spans="1:2" x14ac:dyDescent="0.2">
      <c r="A5" t="s">
        <v>704</v>
      </c>
      <c r="B5" s="138" t="str">
        <f>COVER!A38</f>
        <v>Matt Gordon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rrumbold@gorenzcpa.com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35855</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1587203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2355222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2355222</v>
      </c>
      <c r="D92" s="2" t="str">
        <f t="shared" si="0"/>
        <v>Error?</v>
      </c>
    </row>
    <row r="93" spans="1:4" x14ac:dyDescent="0.2">
      <c r="A93" s="5">
        <v>32</v>
      </c>
      <c r="B93" s="138">
        <f>'Assets-Liab 5-6'!C41</f>
        <v>2355222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355413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355413</v>
      </c>
      <c r="D123" s="2" t="str">
        <f t="shared" si="0"/>
        <v>Error?</v>
      </c>
    </row>
    <row r="124" spans="1:4" x14ac:dyDescent="0.2">
      <c r="A124" s="5">
        <v>63</v>
      </c>
      <c r="B124" s="138">
        <f>'Assets-Liab 5-6'!D41</f>
        <v>355413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13751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13751</v>
      </c>
      <c r="D140" s="2" t="str">
        <f t="shared" si="1"/>
        <v>Error?</v>
      </c>
    </row>
    <row r="141" spans="1:4" x14ac:dyDescent="0.2">
      <c r="A141" s="5">
        <v>80</v>
      </c>
      <c r="B141" s="138">
        <f>'Assets-Liab 5-6'!E41</f>
        <v>13751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375007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375007</v>
      </c>
      <c r="D170" s="2" t="str">
        <f t="shared" si="1"/>
        <v>Error?</v>
      </c>
    </row>
    <row r="171" spans="1:4" x14ac:dyDescent="0.2">
      <c r="A171" s="5">
        <v>110</v>
      </c>
      <c r="B171" s="138">
        <f>'Assets-Liab 5-6'!F41</f>
        <v>375007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157237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69524</v>
      </c>
      <c r="D189" s="2" t="str">
        <f t="shared" si="1"/>
        <v>Error?</v>
      </c>
    </row>
    <row r="190" spans="1:4" x14ac:dyDescent="0.2">
      <c r="A190" s="5">
        <v>129</v>
      </c>
      <c r="B190" s="138">
        <f>'Assets-Liab 5-6'!G41</f>
        <v>157237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184347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184347</v>
      </c>
      <c r="D212" s="2" t="str">
        <f t="shared" si="2"/>
        <v>Error?</v>
      </c>
    </row>
    <row r="213" spans="1:4" x14ac:dyDescent="0.2">
      <c r="A213" s="12">
        <v>152</v>
      </c>
      <c r="B213" s="138">
        <f>'Assets-Liab 5-6'!H41</f>
        <v>184347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125600</v>
      </c>
      <c r="D273" s="2" t="str">
        <f t="shared" si="3"/>
        <v>Error?</v>
      </c>
    </row>
    <row r="274" spans="1:4" x14ac:dyDescent="0.2">
      <c r="A274" s="5">
        <v>213</v>
      </c>
      <c r="B274" s="138">
        <f>'Assets-Liab 5-6'!M17</f>
        <v>8095639</v>
      </c>
      <c r="D274" s="2" t="str">
        <f t="shared" si="3"/>
        <v>Error?</v>
      </c>
    </row>
    <row r="275" spans="1:4" x14ac:dyDescent="0.2">
      <c r="A275" s="5">
        <v>214</v>
      </c>
      <c r="B275" s="138">
        <f>'Assets-Liab 5-6'!M18</f>
        <v>889006</v>
      </c>
      <c r="D275" s="2" t="str">
        <f t="shared" si="3"/>
        <v>Error?</v>
      </c>
    </row>
    <row r="276" spans="1:4" x14ac:dyDescent="0.2">
      <c r="A276" s="5">
        <v>215</v>
      </c>
      <c r="B276" s="138">
        <f>'Assets-Liab 5-6'!M19</f>
        <v>422938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9533183</v>
      </c>
      <c r="C279" s="2" t="s">
        <v>573</v>
      </c>
      <c r="D279" s="2" t="str">
        <f t="shared" si="3"/>
        <v>Error?</v>
      </c>
    </row>
    <row r="280" spans="1:4" x14ac:dyDescent="0.2">
      <c r="A280" s="5">
        <v>219</v>
      </c>
      <c r="B280" s="138">
        <f>'Assets-Liab 5-6'!M40</f>
        <v>9533183</v>
      </c>
      <c r="D280" s="2" t="str">
        <f t="shared" si="3"/>
        <v>Error?</v>
      </c>
    </row>
    <row r="281" spans="1:4" x14ac:dyDescent="0.2">
      <c r="A281" s="5">
        <v>220</v>
      </c>
      <c r="B281" s="138">
        <f>'Assets-Liab 5-6'!M41</f>
        <v>9533183</v>
      </c>
      <c r="C281" s="2" t="s">
        <v>573</v>
      </c>
      <c r="D281" s="2" t="str">
        <f t="shared" si="3"/>
        <v>Error?</v>
      </c>
    </row>
    <row r="282" spans="1:4" x14ac:dyDescent="0.2">
      <c r="A282" s="5">
        <v>221</v>
      </c>
      <c r="B282" s="138">
        <f>'Assets-Liab 5-6'!N21</f>
        <v>13751</v>
      </c>
      <c r="D282" s="2" t="str">
        <f t="shared" si="3"/>
        <v>Error?</v>
      </c>
    </row>
    <row r="283" spans="1:4" x14ac:dyDescent="0.2">
      <c r="A283" s="5">
        <v>222</v>
      </c>
      <c r="B283" s="138">
        <f>'Assets-Liab 5-6'!N22</f>
        <v>3341249</v>
      </c>
      <c r="D283" s="2" t="str">
        <f t="shared" si="3"/>
        <v>Error?</v>
      </c>
    </row>
    <row r="284" spans="1:4" x14ac:dyDescent="0.2">
      <c r="A284" s="5">
        <v>223</v>
      </c>
      <c r="B284" s="138">
        <f>'Assets-Liab 5-6'!N23</f>
        <v>3355000</v>
      </c>
      <c r="C284" s="2" t="s">
        <v>573</v>
      </c>
      <c r="D284" s="2" t="str">
        <f t="shared" si="3"/>
        <v>Error?</v>
      </c>
    </row>
    <row r="285" spans="1:4" x14ac:dyDescent="0.2">
      <c r="A285" s="5">
        <v>224</v>
      </c>
      <c r="B285" s="138">
        <f>'Assets-Liab 5-6'!N36</f>
        <v>3355000</v>
      </c>
      <c r="D285" s="2" t="str">
        <f t="shared" si="3"/>
        <v>Error?</v>
      </c>
    </row>
    <row r="286" spans="1:4" x14ac:dyDescent="0.2">
      <c r="A286" s="10">
        <v>225</v>
      </c>
      <c r="D286" s="2" t="str">
        <f t="shared" si="3"/>
        <v>OK</v>
      </c>
    </row>
    <row r="287" spans="1:4" x14ac:dyDescent="0.2">
      <c r="A287" s="5">
        <v>226</v>
      </c>
      <c r="B287" s="138">
        <f>'Assets-Liab 5-6'!N37</f>
        <v>3355000</v>
      </c>
      <c r="C287" s="2" t="s">
        <v>573</v>
      </c>
      <c r="D287" s="2" t="str">
        <f t="shared" si="3"/>
        <v>Error?</v>
      </c>
    </row>
    <row r="288" spans="1:4" x14ac:dyDescent="0.2">
      <c r="A288" s="5">
        <v>227</v>
      </c>
      <c r="B288" s="138">
        <f>'Assets-Liab 5-6'!N41</f>
        <v>3355000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830572</v>
      </c>
      <c r="D705" s="2" t="str">
        <f t="shared" si="10"/>
        <v>Error?</v>
      </c>
    </row>
    <row r="706" spans="1:4" x14ac:dyDescent="0.2">
      <c r="A706" s="5">
        <v>645</v>
      </c>
      <c r="B706" s="138">
        <f>'Expenditures 15-22'!C16</f>
        <v>677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31335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987300</v>
      </c>
      <c r="C720" s="2" t="s">
        <v>573</v>
      </c>
      <c r="D720" s="2" t="str">
        <f t="shared" si="10"/>
        <v>Error?</v>
      </c>
    </row>
    <row r="721" spans="1:4" x14ac:dyDescent="0.2">
      <c r="A721" s="5">
        <v>660</v>
      </c>
      <c r="B721" s="138">
        <f>'Expenditures 15-22'!C36</f>
        <v>32726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31621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21213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85560</v>
      </c>
      <c r="C727" s="2" t="s">
        <v>573</v>
      </c>
      <c r="D727" s="2" t="str">
        <f t="shared" si="10"/>
        <v>Error?</v>
      </c>
    </row>
    <row r="728" spans="1:4" x14ac:dyDescent="0.2">
      <c r="A728" s="5">
        <v>667</v>
      </c>
      <c r="B728" s="138">
        <f>'Expenditures 15-22'!C44</f>
        <v>3359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3359</v>
      </c>
      <c r="C731" s="2" t="s">
        <v>573</v>
      </c>
      <c r="D731" s="2" t="str">
        <f t="shared" si="10"/>
        <v>Error?</v>
      </c>
    </row>
    <row r="732" spans="1:4" x14ac:dyDescent="0.2">
      <c r="A732" s="5">
        <v>671</v>
      </c>
      <c r="B732" s="138">
        <f>'Expenditures 15-22'!C49</f>
        <v>3926</v>
      </c>
      <c r="D732" s="2" t="str">
        <f t="shared" si="10"/>
        <v>Error?</v>
      </c>
    </row>
    <row r="733" spans="1:4" x14ac:dyDescent="0.2">
      <c r="A733" s="5">
        <v>672</v>
      </c>
      <c r="B733" s="138">
        <f>'Expenditures 15-22'!C50</f>
        <v>144324</v>
      </c>
      <c r="D733" s="2" t="str">
        <f t="shared" si="10"/>
        <v>Error?</v>
      </c>
    </row>
    <row r="734" spans="1:4" x14ac:dyDescent="0.2">
      <c r="A734" s="5">
        <v>673</v>
      </c>
      <c r="B734" s="138">
        <f>'Expenditures 15-22'!C53</f>
        <v>148250</v>
      </c>
      <c r="C734" s="2" t="s">
        <v>573</v>
      </c>
      <c r="D734" s="2" t="str">
        <f t="shared" si="10"/>
        <v>Error?</v>
      </c>
    </row>
    <row r="735" spans="1:4" x14ac:dyDescent="0.2">
      <c r="A735" s="5">
        <v>674</v>
      </c>
      <c r="B735" s="138">
        <f>'Expenditures 15-22'!C55</f>
        <v>105244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105244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50118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23099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73217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415630</v>
      </c>
      <c r="C755" s="2" t="s">
        <v>573</v>
      </c>
      <c r="D755" s="2" t="str">
        <f t="shared" si="10"/>
        <v>Error?</v>
      </c>
    </row>
    <row r="756" spans="1:4" x14ac:dyDescent="0.2">
      <c r="A756" s="5">
        <v>695</v>
      </c>
      <c r="B756" s="138">
        <f>'Expenditures 15-22'!C75</f>
        <v>1909</v>
      </c>
      <c r="D756" s="2" t="str">
        <f t="shared" si="10"/>
        <v>Error?</v>
      </c>
    </row>
    <row r="757" spans="1:4" x14ac:dyDescent="0.2">
      <c r="A757" s="5">
        <v>696</v>
      </c>
      <c r="B757" s="138">
        <f>'Expenditures 15-22'!C114</f>
        <v>1404839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203004</v>
      </c>
      <c r="D763" s="2" t="str">
        <f t="shared" si="10"/>
        <v>Error?</v>
      </c>
    </row>
    <row r="764" spans="1:4" x14ac:dyDescent="0.2">
      <c r="A764" s="5">
        <v>703</v>
      </c>
      <c r="B764" s="138">
        <f>'Expenditures 15-22'!D16</f>
        <v>77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3563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239521</v>
      </c>
      <c r="C778" s="2" t="s">
        <v>573</v>
      </c>
      <c r="D778" s="2" t="str">
        <f t="shared" si="11"/>
        <v>Error?</v>
      </c>
    </row>
    <row r="779" spans="1:4" x14ac:dyDescent="0.2">
      <c r="A779" s="5">
        <v>718</v>
      </c>
      <c r="B779" s="138">
        <f>'Expenditures 15-22'!D36</f>
        <v>5487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3223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8710</v>
      </c>
      <c r="C785" s="2" t="s">
        <v>573</v>
      </c>
      <c r="D785" s="2" t="str">
        <f t="shared" si="11"/>
        <v>Error?</v>
      </c>
    </row>
    <row r="786" spans="1:4" x14ac:dyDescent="0.2">
      <c r="A786" s="5">
        <v>725</v>
      </c>
      <c r="B786" s="138">
        <f>'Expenditures 15-22'!D44</f>
        <v>7194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7194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24830</v>
      </c>
      <c r="D791" s="2" t="str">
        <f t="shared" si="11"/>
        <v>Error?</v>
      </c>
    </row>
    <row r="792" spans="1:4" x14ac:dyDescent="0.2">
      <c r="A792" s="5">
        <v>731</v>
      </c>
      <c r="B792" s="138">
        <f>'Expenditures 15-22'!D53</f>
        <v>24830</v>
      </c>
      <c r="C792" s="2" t="s">
        <v>573</v>
      </c>
      <c r="D792" s="2" t="str">
        <f t="shared" si="11"/>
        <v>Error?</v>
      </c>
    </row>
    <row r="793" spans="1:4" x14ac:dyDescent="0.2">
      <c r="A793" s="5">
        <v>732</v>
      </c>
      <c r="B793" s="138">
        <f>'Expenditures 15-22'!D55</f>
        <v>14547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14547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8322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8322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63603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303124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39912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7470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49269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11360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11360</v>
      </c>
      <c r="C843" s="2" t="s">
        <v>573</v>
      </c>
      <c r="D843" s="2" t="str">
        <f t="shared" si="12"/>
        <v>Error?</v>
      </c>
    </row>
    <row r="844" spans="1:4" x14ac:dyDescent="0.2">
      <c r="A844" s="5">
        <v>783</v>
      </c>
      <c r="B844" s="138">
        <f>'Expenditures 15-22'!E44</f>
        <v>6219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6219</v>
      </c>
      <c r="C847" s="2" t="s">
        <v>573</v>
      </c>
      <c r="D847" s="2" t="str">
        <f t="shared" si="12"/>
        <v>Error?</v>
      </c>
    </row>
    <row r="848" spans="1:4" x14ac:dyDescent="0.2">
      <c r="A848" s="5">
        <v>787</v>
      </c>
      <c r="B848" s="138">
        <f>'Expenditures 15-22'!E49</f>
        <v>9628</v>
      </c>
      <c r="D848" s="2" t="str">
        <f t="shared" si="12"/>
        <v>Error?</v>
      </c>
    </row>
    <row r="849" spans="1:4" x14ac:dyDescent="0.2">
      <c r="A849" s="5">
        <v>788</v>
      </c>
      <c r="B849" s="138">
        <f>'Expenditures 15-22'!E50</f>
        <v>209</v>
      </c>
      <c r="D849" s="2" t="str">
        <f t="shared" si="12"/>
        <v>Error?</v>
      </c>
    </row>
    <row r="850" spans="1:4" x14ac:dyDescent="0.2">
      <c r="A850" s="5">
        <v>789</v>
      </c>
      <c r="B850" s="138">
        <f>'Expenditures 15-22'!E53</f>
        <v>92112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1201</v>
      </c>
      <c r="D855" s="2" t="str">
        <f t="shared" si="12"/>
        <v>Error?</v>
      </c>
    </row>
    <row r="856" spans="1:4" x14ac:dyDescent="0.2">
      <c r="A856" s="5">
        <v>795</v>
      </c>
      <c r="B856" s="138">
        <f>'Expenditures 15-22'!E61</f>
        <v>2690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4177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113868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200339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152202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14984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188807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1189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708</v>
      </c>
      <c r="D899" s="2" t="str">
        <f t="shared" si="13"/>
        <v>Error?</v>
      </c>
    </row>
    <row r="900" spans="1:4" x14ac:dyDescent="0.2">
      <c r="A900" s="5">
        <v>839</v>
      </c>
      <c r="B900" s="138">
        <f>'Expenditures 15-22'!F41</f>
        <v>2212</v>
      </c>
      <c r="D900" s="2" t="str">
        <f t="shared" si="13"/>
        <v>Error?</v>
      </c>
    </row>
    <row r="901" spans="1:4" x14ac:dyDescent="0.2">
      <c r="A901" s="5">
        <v>840</v>
      </c>
      <c r="B901" s="138">
        <f>'Expenditures 15-22'!F42</f>
        <v>4109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699</v>
      </c>
      <c r="D906" s="2" t="str">
        <f t="shared" si="13"/>
        <v>Error?</v>
      </c>
    </row>
    <row r="907" spans="1:4" x14ac:dyDescent="0.2">
      <c r="A907" s="5">
        <v>846</v>
      </c>
      <c r="B907" s="138">
        <f>'Expenditures 15-22'!F50</f>
        <v>3596</v>
      </c>
      <c r="D907" s="2" t="str">
        <f t="shared" si="13"/>
        <v>Error?</v>
      </c>
    </row>
    <row r="908" spans="1:4" x14ac:dyDescent="0.2">
      <c r="A908" s="5">
        <v>847</v>
      </c>
      <c r="B908" s="138">
        <f>'Expenditures 15-22'!F53</f>
        <v>4295</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1288</v>
      </c>
      <c r="D913" s="2" t="str">
        <f t="shared" si="13"/>
        <v>Error?</v>
      </c>
    </row>
    <row r="914" spans="1:4" x14ac:dyDescent="0.2">
      <c r="A914" s="5">
        <v>853</v>
      </c>
      <c r="B914" s="138">
        <f>'Expenditures 15-22'!F61</f>
        <v>89663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60036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150987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159391</v>
      </c>
      <c r="C929" s="2" t="s">
        <v>573</v>
      </c>
      <c r="D929" s="2" t="str">
        <f t="shared" si="13"/>
        <v>Error?</v>
      </c>
    </row>
    <row r="930" spans="1:4" x14ac:dyDescent="0.2">
      <c r="A930" s="5">
        <v>869</v>
      </c>
      <c r="B930" s="138">
        <f>'Expenditures 15-22'!F75</f>
        <v>431</v>
      </c>
      <c r="D930" s="2" t="str">
        <f t="shared" si="13"/>
        <v>Error?</v>
      </c>
    </row>
    <row r="931" spans="1:4" x14ac:dyDescent="0.2">
      <c r="A931" s="5">
        <v>870</v>
      </c>
      <c r="B931" s="138">
        <f>'Expenditures 15-22'!F114</f>
        <v>348629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49387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5019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54916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826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826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826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55742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2849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177282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22484</v>
      </c>
      <c r="D1022" s="2" t="str">
        <f t="shared" si="14"/>
        <v>Error?</v>
      </c>
    </row>
    <row r="1023" spans="1:4" x14ac:dyDescent="0.2">
      <c r="A1023" s="5">
        <v>962</v>
      </c>
      <c r="B1023" s="138">
        <f>'Expenditures 15-22'!H50</f>
        <v>14919</v>
      </c>
      <c r="D1023" s="2" t="str">
        <f t="shared" ref="D1023:D1086" si="15">IF(ISBLANK(B1023),"OK",IF(A1023-B1023=0,"OK","Error?"))</f>
        <v>Error?</v>
      </c>
    </row>
    <row r="1024" spans="1:4" x14ac:dyDescent="0.2">
      <c r="A1024" s="5">
        <v>963</v>
      </c>
      <c r="B1024" s="138">
        <f>'Expenditures 15-22'!H53</f>
        <v>37403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37403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1419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216104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1275077</v>
      </c>
      <c r="C1093" s="2" t="s">
        <v>573</v>
      </c>
      <c r="D1093" s="2" t="str">
        <f t="shared" si="16"/>
        <v>Error?</v>
      </c>
    </row>
    <row r="1094" spans="1:4" x14ac:dyDescent="0.2">
      <c r="A1094" s="5">
        <v>1033</v>
      </c>
      <c r="B1094" s="138">
        <f>'Expenditures 15-22'!K16</f>
        <v>754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65220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1697095</v>
      </c>
      <c r="C1108" s="2" t="s">
        <v>573</v>
      </c>
      <c r="D1108" s="2" t="str">
        <f t="shared" si="16"/>
        <v>Error?</v>
      </c>
    </row>
    <row r="1109" spans="1:4" x14ac:dyDescent="0.2">
      <c r="A1109" s="5">
        <v>1048</v>
      </c>
      <c r="B1109" s="138">
        <f>'Expenditures 15-22'!K36</f>
        <v>38213</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32810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36504</v>
      </c>
      <c r="C1113" s="2" t="s">
        <v>573</v>
      </c>
      <c r="D1113" s="2" t="str">
        <f t="shared" si="16"/>
        <v>Error?</v>
      </c>
    </row>
    <row r="1114" spans="1:4" x14ac:dyDescent="0.2">
      <c r="A1114" s="5">
        <v>1053</v>
      </c>
      <c r="B1114" s="138">
        <f>'Expenditures 15-22'!K41</f>
        <v>2212</v>
      </c>
      <c r="C1114" s="2" t="s">
        <v>573</v>
      </c>
      <c r="D1114" s="2" t="str">
        <f t="shared" si="16"/>
        <v>Error?</v>
      </c>
    </row>
    <row r="1115" spans="1:4" x14ac:dyDescent="0.2">
      <c r="A1115" s="5">
        <v>1054</v>
      </c>
      <c r="B1115" s="138">
        <f>'Expenditures 15-22'!K42</f>
        <v>109739</v>
      </c>
      <c r="C1115" s="2" t="s">
        <v>573</v>
      </c>
      <c r="D1115" s="2" t="str">
        <f t="shared" si="16"/>
        <v>Error?</v>
      </c>
    </row>
    <row r="1116" spans="1:4" x14ac:dyDescent="0.2">
      <c r="A1116" s="5">
        <v>1055</v>
      </c>
      <c r="B1116" s="138">
        <f>'Expenditures 15-22'!K44</f>
        <v>16772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16772</v>
      </c>
      <c r="C1119" s="2" t="s">
        <v>573</v>
      </c>
      <c r="D1119" s="2" t="str">
        <f t="shared" si="16"/>
        <v>Error?</v>
      </c>
    </row>
    <row r="1120" spans="1:4" x14ac:dyDescent="0.2">
      <c r="A1120" s="5">
        <v>1059</v>
      </c>
      <c r="B1120" s="138">
        <f>'Expenditures 15-22'!K49</f>
        <v>36737</v>
      </c>
      <c r="C1120" s="2" t="s">
        <v>573</v>
      </c>
      <c r="D1120" s="2" t="str">
        <f t="shared" si="16"/>
        <v>Error?</v>
      </c>
    </row>
    <row r="1121" spans="1:4" x14ac:dyDescent="0.2">
      <c r="A1121" s="5">
        <v>1060</v>
      </c>
      <c r="B1121" s="138">
        <f>'Expenditures 15-22'!K50</f>
        <v>187878</v>
      </c>
      <c r="C1121" s="2" t="s">
        <v>573</v>
      </c>
      <c r="D1121" s="2" t="str">
        <f t="shared" si="16"/>
        <v>Error?</v>
      </c>
    </row>
    <row r="1122" spans="1:4" x14ac:dyDescent="0.2">
      <c r="A1122" s="5">
        <v>1061</v>
      </c>
      <c r="B1122" s="138">
        <f>'Expenditures 15-22'!K53</f>
        <v>306890</v>
      </c>
      <c r="C1122" s="2" t="s">
        <v>573</v>
      </c>
      <c r="D1122" s="2" t="str">
        <f t="shared" si="16"/>
        <v>Error?</v>
      </c>
    </row>
    <row r="1123" spans="1:4" x14ac:dyDescent="0.2">
      <c r="A1123" s="5">
        <v>1062</v>
      </c>
      <c r="B1123" s="138">
        <f>'Expenditures 15-22'!K55</f>
        <v>119791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119791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60929</v>
      </c>
      <c r="C1127" s="2" t="s">
        <v>573</v>
      </c>
      <c r="D1127" s="2" t="str">
        <f t="shared" si="16"/>
        <v>Error?</v>
      </c>
    </row>
    <row r="1128" spans="1:4" x14ac:dyDescent="0.2">
      <c r="A1128" s="5">
        <v>1067</v>
      </c>
      <c r="B1128" s="138">
        <f>'Expenditures 15-22'!K61</f>
        <v>92353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84247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237529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790721</v>
      </c>
      <c r="C1143" s="2" t="s">
        <v>573</v>
      </c>
      <c r="D1143" s="2" t="str">
        <f t="shared" si="16"/>
        <v>Error?</v>
      </c>
    </row>
    <row r="1144" spans="1:4" x14ac:dyDescent="0.2">
      <c r="A1144" s="5">
        <v>1083</v>
      </c>
      <c r="B1144" s="138">
        <f>'Expenditures 15-22'!K75</f>
        <v>2340</v>
      </c>
      <c r="C1144" s="2" t="s">
        <v>573</v>
      </c>
      <c r="D1144" s="2" t="str">
        <f t="shared" si="16"/>
        <v>Error?</v>
      </c>
    </row>
    <row r="1145" spans="1:4" x14ac:dyDescent="0.2">
      <c r="A1145" s="5">
        <v>1084</v>
      </c>
      <c r="B1145" s="138">
        <f>'Expenditures 15-22'!K102</f>
        <v>38621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2528777</v>
      </c>
      <c r="C1152" s="2" t="s">
        <v>573</v>
      </c>
      <c r="D1152" s="2" t="str">
        <f t="shared" si="17"/>
        <v>Error?</v>
      </c>
    </row>
    <row r="1153" spans="1:4" x14ac:dyDescent="0.2">
      <c r="A1153" s="5">
        <v>1092</v>
      </c>
      <c r="B1153" s="138">
        <f>'Expenditures 15-22'!K115</f>
        <v>47048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142145</v>
      </c>
      <c r="D1221" s="2" t="str">
        <f t="shared" si="18"/>
        <v>Error?</v>
      </c>
    </row>
    <row r="1222" spans="1:4" x14ac:dyDescent="0.2">
      <c r="A1222" s="10">
        <v>1161</v>
      </c>
      <c r="D1222" s="2" t="str">
        <f t="shared" si="18"/>
        <v>OK</v>
      </c>
    </row>
    <row r="1223" spans="1:4" x14ac:dyDescent="0.2">
      <c r="A1223" s="5">
        <v>1162</v>
      </c>
      <c r="B1223" s="138">
        <f>'Expenditures 15-22'!C127</f>
        <v>142145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142145</v>
      </c>
      <c r="C1225" s="2" t="s">
        <v>573</v>
      </c>
      <c r="D1225" s="2" t="str">
        <f t="shared" si="18"/>
        <v>Error?</v>
      </c>
    </row>
    <row r="1226" spans="1:4" x14ac:dyDescent="0.2">
      <c r="A1226" s="5">
        <v>1165</v>
      </c>
      <c r="B1226" s="138">
        <f>'Expenditures 15-22'!C151</f>
        <v>142145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41105</v>
      </c>
      <c r="D1229" s="2" t="str">
        <f t="shared" si="18"/>
        <v>Error?</v>
      </c>
    </row>
    <row r="1230" spans="1:4" x14ac:dyDescent="0.2">
      <c r="A1230" s="10">
        <v>1169</v>
      </c>
      <c r="D1230" s="2" t="str">
        <f t="shared" si="18"/>
        <v>OK</v>
      </c>
    </row>
    <row r="1231" spans="1:4" x14ac:dyDescent="0.2">
      <c r="A1231" s="5">
        <v>1170</v>
      </c>
      <c r="B1231" s="138">
        <f>'Expenditures 15-22'!D127</f>
        <v>41105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41105</v>
      </c>
      <c r="C1233" s="2" t="s">
        <v>573</v>
      </c>
      <c r="D1233" s="2" t="str">
        <f t="shared" si="18"/>
        <v>Error?</v>
      </c>
    </row>
    <row r="1234" spans="1:4" x14ac:dyDescent="0.2">
      <c r="A1234" s="5">
        <v>1173</v>
      </c>
      <c r="B1234" s="138">
        <f>'Expenditures 15-22'!D151</f>
        <v>41105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79515</v>
      </c>
      <c r="D1237" s="2" t="str">
        <f t="shared" si="18"/>
        <v>Error?</v>
      </c>
    </row>
    <row r="1238" spans="1:4" x14ac:dyDescent="0.2">
      <c r="A1238" s="10">
        <v>1177</v>
      </c>
      <c r="D1238" s="2" t="str">
        <f t="shared" si="18"/>
        <v>OK</v>
      </c>
    </row>
    <row r="1239" spans="1:4" x14ac:dyDescent="0.2">
      <c r="A1239" s="5">
        <v>1178</v>
      </c>
      <c r="B1239" s="138">
        <f>'Expenditures 15-22'!E127</f>
        <v>79515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79515</v>
      </c>
      <c r="C1241" s="2" t="s">
        <v>573</v>
      </c>
      <c r="D1241" s="2" t="str">
        <f t="shared" si="18"/>
        <v>Error?</v>
      </c>
    </row>
    <row r="1242" spans="1:4" x14ac:dyDescent="0.2">
      <c r="A1242" s="5">
        <v>1181</v>
      </c>
      <c r="B1242" s="138">
        <f>'Expenditures 15-22'!E151</f>
        <v>79515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24742</v>
      </c>
      <c r="D1245" s="2" t="str">
        <f t="shared" si="18"/>
        <v>Error?</v>
      </c>
    </row>
    <row r="1246" spans="1:4" x14ac:dyDescent="0.2">
      <c r="A1246" s="10">
        <v>1185</v>
      </c>
      <c r="D1246" s="2" t="str">
        <f t="shared" si="18"/>
        <v>OK</v>
      </c>
    </row>
    <row r="1247" spans="1:4" x14ac:dyDescent="0.2">
      <c r="A1247" s="5">
        <v>1186</v>
      </c>
      <c r="B1247" s="138">
        <f>'Expenditures 15-22'!F127</f>
        <v>24742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24742</v>
      </c>
      <c r="C1249" s="2" t="s">
        <v>573</v>
      </c>
      <c r="D1249" s="2" t="str">
        <f t="shared" si="18"/>
        <v>Error?</v>
      </c>
    </row>
    <row r="1250" spans="1:4" x14ac:dyDescent="0.2">
      <c r="A1250" s="5">
        <v>1189</v>
      </c>
      <c r="B1250" s="138">
        <f>'Expenditures 15-22'!F151</f>
        <v>24742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12069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12069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12069</v>
      </c>
      <c r="C1258" s="2" t="s">
        <v>573</v>
      </c>
      <c r="D1258" s="2" t="str">
        <f t="shared" si="18"/>
        <v>Error?</v>
      </c>
    </row>
    <row r="1259" spans="1:4" x14ac:dyDescent="0.2">
      <c r="A1259" s="5">
        <v>1198</v>
      </c>
      <c r="B1259" s="138">
        <f>'Expenditures 15-22'!G151</f>
        <v>12069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299576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299576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299576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299576</v>
      </c>
      <c r="C1288" s="2" t="s">
        <v>573</v>
      </c>
      <c r="D1288" s="2" t="str">
        <f t="shared" si="19"/>
        <v>Error?</v>
      </c>
    </row>
    <row r="1289" spans="1:4" x14ac:dyDescent="0.2">
      <c r="A1289" s="5">
        <v>1228</v>
      </c>
      <c r="B1289" s="138">
        <f>'Expenditures 15-22'!K152</f>
        <v>11396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850</v>
      </c>
      <c r="D1307" s="2" t="str">
        <f t="shared" si="19"/>
        <v>Error?</v>
      </c>
    </row>
    <row r="1308" spans="1:4" x14ac:dyDescent="0.2">
      <c r="A1308" s="5">
        <v>1247</v>
      </c>
      <c r="B1308" s="138">
        <f>'Expenditures 15-22'!E172</f>
        <v>850</v>
      </c>
      <c r="C1308" s="2" t="s">
        <v>573</v>
      </c>
      <c r="D1308" s="2" t="str">
        <f t="shared" si="19"/>
        <v>Error?</v>
      </c>
    </row>
    <row r="1309" spans="1:4" x14ac:dyDescent="0.2">
      <c r="A1309" s="5">
        <v>1248</v>
      </c>
      <c r="B1309" s="138">
        <f>'Expenditures 15-22'!E174</f>
        <v>850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133423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111000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244423</v>
      </c>
      <c r="C1317" s="2" t="s">
        <v>573</v>
      </c>
      <c r="D1317" s="2" t="str">
        <f t="shared" si="19"/>
        <v>Error?</v>
      </c>
    </row>
    <row r="1318" spans="1:4" x14ac:dyDescent="0.2">
      <c r="A1318" s="5">
        <v>1257</v>
      </c>
      <c r="B1318" s="138">
        <f>'Expenditures 15-22'!H174</f>
        <v>244423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133423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111000</v>
      </c>
      <c r="C1329" s="2" t="s">
        <v>573</v>
      </c>
      <c r="D1329" s="2" t="str">
        <f t="shared" si="19"/>
        <v>Error?</v>
      </c>
    </row>
    <row r="1330" spans="1:4" x14ac:dyDescent="0.2">
      <c r="A1330" s="5">
        <v>1269</v>
      </c>
      <c r="B1330" s="138">
        <f>'Expenditures 15-22'!K171</f>
        <v>850</v>
      </c>
      <c r="C1330" s="2" t="s">
        <v>573</v>
      </c>
      <c r="D1330" s="2" t="str">
        <f t="shared" si="19"/>
        <v>Error?</v>
      </c>
    </row>
    <row r="1331" spans="1:4" x14ac:dyDescent="0.2">
      <c r="A1331" s="5">
        <v>1270</v>
      </c>
      <c r="B1331" s="138">
        <f>'Expenditures 15-22'!K172</f>
        <v>245273</v>
      </c>
      <c r="C1331" s="2" t="s">
        <v>573</v>
      </c>
      <c r="D1331" s="2" t="str">
        <f t="shared" si="19"/>
        <v>Error?</v>
      </c>
    </row>
    <row r="1332" spans="1:4" x14ac:dyDescent="0.2">
      <c r="A1332" s="5">
        <v>1271</v>
      </c>
      <c r="B1332" s="138">
        <f>'Expenditures 15-22'!K174</f>
        <v>245273</v>
      </c>
      <c r="C1332" s="2" t="s">
        <v>573</v>
      </c>
      <c r="D1332" s="2" t="str">
        <f t="shared" si="19"/>
        <v>Error?</v>
      </c>
    </row>
    <row r="1333" spans="1:4" x14ac:dyDescent="0.2">
      <c r="A1333" s="5">
        <v>1272</v>
      </c>
      <c r="B1333" s="138">
        <f>'Expenditures 15-22'!K175</f>
        <v>1373</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191520</v>
      </c>
      <c r="C1352" s="2" t="s">
        <v>573</v>
      </c>
      <c r="D1352" s="2" t="str">
        <f t="shared" si="20"/>
        <v>Error?</v>
      </c>
    </row>
    <row r="1353" spans="1:4" x14ac:dyDescent="0.2">
      <c r="A1353" s="5">
        <v>1292</v>
      </c>
      <c r="B1353" s="138">
        <f>'Expenditures 15-22'!E210</f>
        <v>191520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191520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191520</v>
      </c>
      <c r="C1388" s="2" t="s">
        <v>573</v>
      </c>
      <c r="D1388" s="2" t="str">
        <f t="shared" si="20"/>
        <v>Error?</v>
      </c>
    </row>
    <row r="1389" spans="1:4" x14ac:dyDescent="0.2">
      <c r="A1389" s="5">
        <v>1328</v>
      </c>
      <c r="B1389" s="138">
        <f>'Expenditures 15-22'!K211</f>
        <v>49981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598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28679</v>
      </c>
      <c r="C1410" s="2" t="s">
        <v>573</v>
      </c>
      <c r="D1410" s="2" t="str">
        <f t="shared" si="21"/>
        <v>Error?</v>
      </c>
    </row>
    <row r="1411" spans="1:4" x14ac:dyDescent="0.2">
      <c r="A1411" s="5">
        <v>1350</v>
      </c>
      <c r="B1411" s="138">
        <f>'Expenditures 15-22'!D232</f>
        <v>474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4972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335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5781</v>
      </c>
      <c r="C1417" s="2" t="s">
        <v>573</v>
      </c>
      <c r="D1417" s="2" t="str">
        <f t="shared" si="21"/>
        <v>Error?</v>
      </c>
    </row>
    <row r="1418" spans="1:4" x14ac:dyDescent="0.2">
      <c r="A1418" s="5">
        <v>1357</v>
      </c>
      <c r="B1418" s="138">
        <f>'Expenditures 15-22'!D240</f>
        <v>29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v>
      </c>
      <c r="C1421" s="2" t="s">
        <v>573</v>
      </c>
      <c r="D1421" s="2" t="str">
        <f t="shared" si="21"/>
        <v>Error?</v>
      </c>
    </row>
    <row r="1422" spans="1:4" x14ac:dyDescent="0.2">
      <c r="A1422" s="5">
        <v>1361</v>
      </c>
      <c r="B1422" s="138">
        <f>'Expenditures 15-22'!D245</f>
        <v>300</v>
      </c>
      <c r="D1422" s="2" t="str">
        <f t="shared" si="21"/>
        <v>Error?</v>
      </c>
    </row>
    <row r="1423" spans="1:4" x14ac:dyDescent="0.2">
      <c r="A1423" s="5">
        <v>1362</v>
      </c>
      <c r="B1423" s="138">
        <f>'Expenditures 15-22'!D246</f>
        <v>6229</v>
      </c>
      <c r="D1423" s="2" t="str">
        <f t="shared" si="21"/>
        <v>Error?</v>
      </c>
    </row>
    <row r="1424" spans="1:4" x14ac:dyDescent="0.2">
      <c r="A1424" s="5">
        <v>1363</v>
      </c>
      <c r="B1424" s="138">
        <f>'Expenditures 15-22'!D257</f>
        <v>6529</v>
      </c>
      <c r="C1424" s="2" t="s">
        <v>573</v>
      </c>
      <c r="D1424" s="2" t="str">
        <f t="shared" si="21"/>
        <v>Error?</v>
      </c>
    </row>
    <row r="1425" spans="1:4" x14ac:dyDescent="0.2">
      <c r="A1425" s="5">
        <v>1364</v>
      </c>
      <c r="B1425" s="138">
        <f>'Expenditures 15-22'!D259</f>
        <v>5227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5227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7927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22430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3408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33765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51331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80010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598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28679</v>
      </c>
      <c r="C1474" s="2" t="s">
        <v>573</v>
      </c>
      <c r="D1474" s="2" t="str">
        <f t="shared" si="22"/>
        <v>Error?</v>
      </c>
    </row>
    <row r="1475" spans="1:4" x14ac:dyDescent="0.2">
      <c r="A1475" s="5">
        <v>1414</v>
      </c>
      <c r="B1475" s="138">
        <f>'Expenditures 15-22'!K232</f>
        <v>474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4972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335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5781</v>
      </c>
      <c r="C1481" s="2" t="s">
        <v>573</v>
      </c>
      <c r="D1481" s="2" t="str">
        <f t="shared" si="22"/>
        <v>Error?</v>
      </c>
    </row>
    <row r="1482" spans="1:4" x14ac:dyDescent="0.2">
      <c r="A1482" s="5">
        <v>1421</v>
      </c>
      <c r="B1482" s="138">
        <f>'Expenditures 15-22'!K240</f>
        <v>29</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29</v>
      </c>
      <c r="C1485" s="2" t="s">
        <v>573</v>
      </c>
      <c r="D1485" s="2" t="str">
        <f t="shared" si="22"/>
        <v>Error?</v>
      </c>
    </row>
    <row r="1486" spans="1:4" x14ac:dyDescent="0.2">
      <c r="A1486" s="5">
        <v>1425</v>
      </c>
      <c r="B1486" s="138">
        <f>'Expenditures 15-22'!K245</f>
        <v>300</v>
      </c>
      <c r="C1486" s="2" t="s">
        <v>573</v>
      </c>
      <c r="D1486" s="2" t="str">
        <f t="shared" si="22"/>
        <v>Error?</v>
      </c>
    </row>
    <row r="1487" spans="1:4" x14ac:dyDescent="0.2">
      <c r="A1487" s="5">
        <v>1426</v>
      </c>
      <c r="B1487" s="138">
        <f>'Expenditures 15-22'!K246</f>
        <v>6229</v>
      </c>
      <c r="C1487" s="2" t="s">
        <v>573</v>
      </c>
      <c r="D1487" s="2" t="str">
        <f t="shared" si="22"/>
        <v>Error?</v>
      </c>
    </row>
    <row r="1488" spans="1:4" x14ac:dyDescent="0.2">
      <c r="A1488" s="5">
        <v>1427</v>
      </c>
      <c r="B1488" s="138">
        <f>'Expenditures 15-22'!K257</f>
        <v>6529</v>
      </c>
      <c r="C1488" s="2" t="s">
        <v>573</v>
      </c>
      <c r="D1488" s="2" t="str">
        <f t="shared" si="22"/>
        <v>Error?</v>
      </c>
    </row>
    <row r="1489" spans="1:4" x14ac:dyDescent="0.2">
      <c r="A1489" s="5">
        <v>1428</v>
      </c>
      <c r="B1489" s="138">
        <f>'Expenditures 15-22'!K259</f>
        <v>5227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5227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7927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22430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3408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33765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51331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80010</v>
      </c>
      <c r="C1517" s="2" t="s">
        <v>573</v>
      </c>
      <c r="D1517" s="2" t="str">
        <f t="shared" si="22"/>
        <v>Error?</v>
      </c>
    </row>
    <row r="1518" spans="1:4" x14ac:dyDescent="0.2">
      <c r="A1518" s="5">
        <v>1457</v>
      </c>
      <c r="B1518" s="138">
        <f>'Expenditures 15-22'!K296</f>
        <v>22576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489751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489751</v>
      </c>
      <c r="C1547" s="2" t="s">
        <v>573</v>
      </c>
      <c r="D1547" s="2" t="str">
        <f t="shared" si="23"/>
        <v>Error?</v>
      </c>
    </row>
    <row r="1548" spans="1:4" x14ac:dyDescent="0.2">
      <c r="A1548" s="5">
        <v>1487</v>
      </c>
      <c r="B1548" s="138">
        <f>'Expenditures 15-22'!G312</f>
        <v>489751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489751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489751</v>
      </c>
      <c r="C1559" s="2" t="s">
        <v>573</v>
      </c>
      <c r="D1559" s="2" t="str">
        <f t="shared" si="23"/>
        <v>Error?</v>
      </c>
    </row>
    <row r="1560" spans="1:4" x14ac:dyDescent="0.2">
      <c r="A1560" s="5">
        <v>1499</v>
      </c>
      <c r="B1560" s="138">
        <f>'Expenditures 15-22'!K312</f>
        <v>489751</v>
      </c>
      <c r="C1560" s="2" t="s">
        <v>573</v>
      </c>
      <c r="D1560" s="2" t="str">
        <f t="shared" si="23"/>
        <v>Error?</v>
      </c>
    </row>
    <row r="1561" spans="1:4" x14ac:dyDescent="0.2">
      <c r="A1561" s="5">
        <v>1500</v>
      </c>
      <c r="B1561" s="138">
        <f>'Expenditures 15-22'!K313</f>
        <v>-483917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2278174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2355222</v>
      </c>
      <c r="C1630" s="2" t="s">
        <v>573</v>
      </c>
      <c r="D1630" s="2" t="str">
        <f t="shared" si="24"/>
        <v>Error?</v>
      </c>
    </row>
    <row r="1631" spans="1:4" x14ac:dyDescent="0.2">
      <c r="A1631" s="5">
        <v>1570</v>
      </c>
      <c r="B1631" s="138">
        <f>'Acct Summary 7-8'!D79</f>
        <v>344017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355413</v>
      </c>
      <c r="C1644" s="2" t="s">
        <v>573</v>
      </c>
      <c r="D1644" s="2" t="str">
        <f t="shared" si="24"/>
        <v>Error?</v>
      </c>
    </row>
    <row r="1645" spans="1:4" x14ac:dyDescent="0.2">
      <c r="A1645" s="5">
        <v>1584</v>
      </c>
      <c r="B1645" s="138">
        <f>'Acct Summary 7-8'!E79</f>
        <v>12378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13751</v>
      </c>
      <c r="C1658" s="2" t="s">
        <v>573</v>
      </c>
      <c r="D1658" s="2" t="str">
        <f t="shared" si="24"/>
        <v>Error?</v>
      </c>
    </row>
    <row r="1659" spans="1:4" x14ac:dyDescent="0.2">
      <c r="A1659" s="5">
        <v>1598</v>
      </c>
      <c r="B1659" s="138">
        <f>'Acct Summary 7-8'!F79</f>
        <v>325026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375007</v>
      </c>
      <c r="C1672" s="2" t="s">
        <v>573</v>
      </c>
      <c r="D1672" s="2" t="str">
        <f t="shared" si="25"/>
        <v>Error?</v>
      </c>
    </row>
    <row r="1673" spans="1:4" x14ac:dyDescent="0.2">
      <c r="A1673" s="5">
        <v>1612</v>
      </c>
      <c r="B1673" s="138">
        <f>'Acct Summary 7-8'!G79</f>
        <v>134661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157237</v>
      </c>
      <c r="C1686" s="2" t="s">
        <v>573</v>
      </c>
      <c r="D1686" s="2" t="str">
        <f t="shared" si="25"/>
        <v>Error?</v>
      </c>
    </row>
    <row r="1687" spans="1:4" x14ac:dyDescent="0.2">
      <c r="A1687" s="5">
        <v>1626</v>
      </c>
      <c r="B1687" s="138">
        <f>'Acct Summary 7-8'!H79</f>
        <v>641664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184347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1648491</v>
      </c>
      <c r="C1744" s="2" t="s">
        <v>573</v>
      </c>
      <c r="D1744" s="2" t="str">
        <f t="shared" si="26"/>
        <v>Error?</v>
      </c>
    </row>
    <row r="1745" spans="1:5" x14ac:dyDescent="0.2">
      <c r="A1745" s="5">
        <v>1684</v>
      </c>
      <c r="B1745" s="138">
        <f>'Tax Sched 23'!B5</f>
        <v>202288</v>
      </c>
      <c r="C1745" s="2" t="s">
        <v>573</v>
      </c>
      <c r="D1745" s="2" t="str">
        <f t="shared" si="26"/>
        <v>Error?</v>
      </c>
    </row>
    <row r="1746" spans="1:5" x14ac:dyDescent="0.2">
      <c r="A1746" s="5">
        <v>1685</v>
      </c>
      <c r="B1746" s="138">
        <f>'Tax Sched 23'!B6</f>
        <v>246148</v>
      </c>
      <c r="C1746" s="2" t="s">
        <v>573</v>
      </c>
      <c r="D1746" s="2" t="str">
        <f t="shared" si="26"/>
        <v>Error?</v>
      </c>
    </row>
    <row r="1747" spans="1:5" x14ac:dyDescent="0.2">
      <c r="A1747" s="5">
        <v>1686</v>
      </c>
      <c r="B1747" s="138">
        <f>'Tax Sched 23'!B7</f>
        <v>116321</v>
      </c>
      <c r="C1747" s="2" t="s">
        <v>573</v>
      </c>
      <c r="D1747" s="2" t="str">
        <f t="shared" si="26"/>
        <v>Error?</v>
      </c>
    </row>
    <row r="1748" spans="1:5" x14ac:dyDescent="0.2">
      <c r="A1748" s="5">
        <v>1687</v>
      </c>
      <c r="B1748" s="138">
        <f>'Tax Sched 23'!B8</f>
        <v>40474</v>
      </c>
      <c r="C1748" s="2" t="s">
        <v>573</v>
      </c>
      <c r="D1748" s="2" t="str">
        <f t="shared" si="26"/>
        <v>Error?</v>
      </c>
    </row>
    <row r="1749" spans="1:5" x14ac:dyDescent="0.2">
      <c r="A1749" s="5">
        <v>1688</v>
      </c>
      <c r="B1749" s="138">
        <f>'Tax Sched 23'!B10</f>
        <v>30546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39455</v>
      </c>
      <c r="C1753" s="2" t="s">
        <v>573</v>
      </c>
      <c r="D1753" s="2" t="str">
        <f t="shared" si="26"/>
        <v>Error?</v>
      </c>
    </row>
    <row r="1754" spans="1:5" x14ac:dyDescent="0.2">
      <c r="A1754" s="5">
        <v>1693</v>
      </c>
      <c r="B1754" s="138">
        <f>'Tax Sched 23'!B14</f>
        <v>15177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2393526</v>
      </c>
      <c r="C1759" s="2" t="s">
        <v>573</v>
      </c>
      <c r="D1759" s="2" t="str">
        <f t="shared" si="26"/>
        <v>Error?</v>
      </c>
    </row>
    <row r="1760" spans="1:5" x14ac:dyDescent="0.2">
      <c r="A1760" s="5">
        <v>1699</v>
      </c>
      <c r="B1760" s="138">
        <f>'Tax Sched 23'!D4</f>
        <v>1648491</v>
      </c>
      <c r="C1760" s="2" t="s">
        <v>573</v>
      </c>
      <c r="D1760" s="2" t="str">
        <f t="shared" si="26"/>
        <v>Error?</v>
      </c>
    </row>
    <row r="1761" spans="1:5" x14ac:dyDescent="0.2">
      <c r="A1761" s="5">
        <v>1700</v>
      </c>
      <c r="B1761" s="138">
        <f>'Tax Sched 23'!D5</f>
        <v>202288</v>
      </c>
      <c r="C1761" s="2" t="s">
        <v>573</v>
      </c>
      <c r="D1761" s="2" t="str">
        <f t="shared" si="26"/>
        <v>Error?</v>
      </c>
    </row>
    <row r="1762" spans="1:5" s="8" customFormat="1" x14ac:dyDescent="0.2">
      <c r="A1762" s="5">
        <v>1701</v>
      </c>
      <c r="B1762" s="138">
        <f>'Tax Sched 23'!D6</f>
        <v>246148</v>
      </c>
      <c r="C1762" s="2" t="s">
        <v>573</v>
      </c>
      <c r="D1762" s="2" t="str">
        <f t="shared" si="26"/>
        <v>Error?</v>
      </c>
      <c r="E1762" s="9"/>
    </row>
    <row r="1763" spans="1:5" x14ac:dyDescent="0.2">
      <c r="A1763" s="5">
        <v>1702</v>
      </c>
      <c r="B1763" s="138">
        <f>'Tax Sched 23'!D7</f>
        <v>116321</v>
      </c>
      <c r="C1763" s="2" t="s">
        <v>573</v>
      </c>
      <c r="D1763" s="2" t="str">
        <f t="shared" si="26"/>
        <v>Error?</v>
      </c>
    </row>
    <row r="1764" spans="1:5" x14ac:dyDescent="0.2">
      <c r="A1764" s="5">
        <v>1703</v>
      </c>
      <c r="B1764" s="138">
        <f>'Tax Sched 23'!D8</f>
        <v>40474</v>
      </c>
      <c r="C1764" s="2" t="s">
        <v>573</v>
      </c>
      <c r="D1764" s="2" t="str">
        <f t="shared" si="26"/>
        <v>Error?</v>
      </c>
    </row>
    <row r="1765" spans="1:5" x14ac:dyDescent="0.2">
      <c r="A1765" s="5">
        <v>1704</v>
      </c>
      <c r="B1765" s="138">
        <f>'Tax Sched 23'!D10</f>
        <v>30546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39455</v>
      </c>
      <c r="C1769" s="2" t="s">
        <v>573</v>
      </c>
      <c r="D1769" s="2" t="str">
        <f t="shared" si="26"/>
        <v>Error?</v>
      </c>
    </row>
    <row r="1770" spans="1:5" x14ac:dyDescent="0.2">
      <c r="A1770" s="5">
        <v>1709</v>
      </c>
      <c r="B1770" s="138">
        <f>'Tax Sched 23'!D14</f>
        <v>15177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2393526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1698570</v>
      </c>
      <c r="C1792" s="2" t="s">
        <v>573</v>
      </c>
      <c r="D1792" s="2" t="str">
        <f t="shared" si="27"/>
        <v>Error?</v>
      </c>
    </row>
    <row r="1793" spans="1:4" x14ac:dyDescent="0.2">
      <c r="A1793" s="5">
        <v>1732</v>
      </c>
      <c r="B1793" s="138">
        <f>'Tax Sched 23'!F5</f>
        <v>208292</v>
      </c>
      <c r="C1793" s="2" t="s">
        <v>573</v>
      </c>
      <c r="D1793" s="2" t="str">
        <f t="shared" si="27"/>
        <v>Error?</v>
      </c>
    </row>
    <row r="1794" spans="1:4" x14ac:dyDescent="0.2">
      <c r="A1794" s="5">
        <v>1733</v>
      </c>
      <c r="B1794" s="138">
        <f>'Tax Sched 23'!F6</f>
        <v>255883</v>
      </c>
      <c r="C1794" s="2" t="s">
        <v>573</v>
      </c>
      <c r="D1794" s="2" t="str">
        <f t="shared" si="27"/>
        <v>Error?</v>
      </c>
    </row>
    <row r="1795" spans="1:4" x14ac:dyDescent="0.2">
      <c r="A1795" s="5">
        <v>1734</v>
      </c>
      <c r="B1795" s="138">
        <f>'Tax Sched 23'!F7</f>
        <v>119775</v>
      </c>
      <c r="C1795" s="2" t="s">
        <v>573</v>
      </c>
      <c r="D1795" s="2" t="str">
        <f t="shared" si="27"/>
        <v>Error?</v>
      </c>
    </row>
    <row r="1796" spans="1:4" x14ac:dyDescent="0.2">
      <c r="A1796" s="5">
        <v>1735</v>
      </c>
      <c r="B1796" s="138">
        <f>'Tax Sched 23'!F8</f>
        <v>41676</v>
      </c>
      <c r="C1796" s="2" t="s">
        <v>573</v>
      </c>
      <c r="D1796" s="2" t="str">
        <f t="shared" si="27"/>
        <v>Error?</v>
      </c>
    </row>
    <row r="1797" spans="1:4" x14ac:dyDescent="0.2">
      <c r="A1797" s="5">
        <v>1736</v>
      </c>
      <c r="B1797" s="138">
        <f>'Tax Sched 23'!F10</f>
        <v>30208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40632</v>
      </c>
      <c r="C1801" s="2" t="s">
        <v>573</v>
      </c>
      <c r="D1801" s="2" t="str">
        <f t="shared" si="27"/>
        <v>Error?</v>
      </c>
    </row>
    <row r="1802" spans="1:4" x14ac:dyDescent="0.2">
      <c r="A1802" s="5">
        <v>1741</v>
      </c>
      <c r="B1802" s="138">
        <f>'Tax Sched 23'!F14</f>
        <v>15632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2466920</v>
      </c>
      <c r="C1807" s="2" t="s">
        <v>573</v>
      </c>
      <c r="D1807" s="2" t="str">
        <f t="shared" si="27"/>
        <v>Error?</v>
      </c>
    </row>
    <row r="1808" spans="1:4" x14ac:dyDescent="0.2">
      <c r="A1808" s="5">
        <v>1747</v>
      </c>
      <c r="B1808" s="138">
        <f>'Tax Sched 23'!E4</f>
        <v>1698570</v>
      </c>
      <c r="D1808" s="2" t="str">
        <f t="shared" si="27"/>
        <v>Error?</v>
      </c>
    </row>
    <row r="1809" spans="1:4" x14ac:dyDescent="0.2">
      <c r="A1809" s="5">
        <v>1748</v>
      </c>
      <c r="B1809" s="138">
        <f>'Tax Sched 23'!E5</f>
        <v>208292</v>
      </c>
      <c r="D1809" s="2" t="str">
        <f t="shared" si="27"/>
        <v>Error?</v>
      </c>
    </row>
    <row r="1810" spans="1:4" x14ac:dyDescent="0.2">
      <c r="A1810" s="5">
        <v>1749</v>
      </c>
      <c r="B1810" s="138">
        <f>'Tax Sched 23'!E6</f>
        <v>255883</v>
      </c>
      <c r="D1810" s="2" t="str">
        <f t="shared" si="27"/>
        <v>Error?</v>
      </c>
    </row>
    <row r="1811" spans="1:4" x14ac:dyDescent="0.2">
      <c r="A1811" s="5">
        <v>1750</v>
      </c>
      <c r="B1811" s="138">
        <f>'Tax Sched 23'!E7</f>
        <v>119775</v>
      </c>
      <c r="D1811" s="2" t="str">
        <f t="shared" si="27"/>
        <v>Error?</v>
      </c>
    </row>
    <row r="1812" spans="1:4" x14ac:dyDescent="0.2">
      <c r="A1812" s="5">
        <v>1751</v>
      </c>
      <c r="B1812" s="138">
        <f>'Tax Sched 23'!E8</f>
        <v>41676</v>
      </c>
      <c r="D1812" s="2" t="str">
        <f t="shared" si="27"/>
        <v>Error?</v>
      </c>
    </row>
    <row r="1813" spans="1:4" x14ac:dyDescent="0.2">
      <c r="A1813" s="5">
        <v>1752</v>
      </c>
      <c r="B1813" s="138">
        <f>'Tax Sched 23'!E10</f>
        <v>30208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40632</v>
      </c>
      <c r="D1817" s="2" t="str">
        <f t="shared" si="27"/>
        <v>Error?</v>
      </c>
    </row>
    <row r="1818" spans="1:4" x14ac:dyDescent="0.2">
      <c r="A1818" s="5">
        <v>1757</v>
      </c>
      <c r="B1818" s="138">
        <f>'Tax Sched 23'!E14</f>
        <v>15632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2466920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3466000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15177</v>
      </c>
      <c r="D1972" s="2" t="str">
        <f t="shared" si="29"/>
        <v>Error?</v>
      </c>
    </row>
    <row r="1973" spans="1:5" x14ac:dyDescent="0.2">
      <c r="A1973" s="5">
        <v>1912</v>
      </c>
      <c r="B1973" s="138">
        <f>'Rest Tax Levies-Tort Im 25'!H6</f>
        <v>222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15399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15399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125600</v>
      </c>
      <c r="D2008" s="2" t="str">
        <f t="shared" si="30"/>
        <v>Error?</v>
      </c>
    </row>
    <row r="2009" spans="1:4" x14ac:dyDescent="0.2">
      <c r="A2009" s="5">
        <v>1948</v>
      </c>
      <c r="B2009" s="138">
        <f>'Cap Outlay Deprec 26'!C8</f>
        <v>7593698</v>
      </c>
      <c r="D2009" s="2" t="str">
        <f t="shared" si="30"/>
        <v>Error?</v>
      </c>
    </row>
    <row r="2010" spans="1:4" x14ac:dyDescent="0.2">
      <c r="A2010" s="5">
        <v>1949</v>
      </c>
      <c r="B2010" s="138">
        <f>'Cap Outlay Deprec 26'!C10</f>
        <v>852152</v>
      </c>
      <c r="D2010" s="2" t="str">
        <f t="shared" si="30"/>
        <v>Error?</v>
      </c>
    </row>
    <row r="2011" spans="1:4" x14ac:dyDescent="0.2">
      <c r="A2011" s="5">
        <v>1950</v>
      </c>
      <c r="B2011" s="138">
        <f>'Cap Outlay Deprec 26'!C12</f>
        <v>354452</v>
      </c>
      <c r="D2011" s="2" t="str">
        <f t="shared" si="30"/>
        <v>Error?</v>
      </c>
    </row>
    <row r="2012" spans="1:4" x14ac:dyDescent="0.2">
      <c r="A2012" s="5">
        <v>1951</v>
      </c>
      <c r="B2012" s="138">
        <f>'Cap Outlay Deprec 26'!C13</f>
        <v>23260</v>
      </c>
      <c r="D2012" s="2" t="str">
        <f t="shared" si="30"/>
        <v>Error?</v>
      </c>
    </row>
    <row r="2013" spans="1:4" x14ac:dyDescent="0.2">
      <c r="A2013" s="5">
        <v>1952</v>
      </c>
      <c r="B2013" s="138">
        <f>'Cap Outlay Deprec 26'!C16</f>
        <v>8949162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501941</v>
      </c>
      <c r="D2015" s="2" t="str">
        <f t="shared" si="30"/>
        <v>Error?</v>
      </c>
    </row>
    <row r="2016" spans="1:4" x14ac:dyDescent="0.2">
      <c r="A2016" s="5">
        <v>1955</v>
      </c>
      <c r="B2016" s="138">
        <f>'Cap Outlay Deprec 26'!D10</f>
        <v>36854</v>
      </c>
      <c r="D2016" s="2" t="str">
        <f t="shared" si="30"/>
        <v>Error?</v>
      </c>
    </row>
    <row r="2017" spans="1:4" x14ac:dyDescent="0.2">
      <c r="A2017" s="5">
        <v>1956</v>
      </c>
      <c r="B2017" s="138">
        <f>'Cap Outlay Deprec 26'!D12</f>
        <v>56247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595042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11021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11021</v>
      </c>
      <c r="C2025" s="2" t="s">
        <v>573</v>
      </c>
      <c r="D2025" s="2" t="str">
        <f t="shared" si="30"/>
        <v>Error?</v>
      </c>
    </row>
    <row r="2026" spans="1:4" x14ac:dyDescent="0.2">
      <c r="A2026" s="5">
        <v>1965</v>
      </c>
      <c r="B2026" s="138">
        <f>'Cap Outlay Deprec 26'!F5</f>
        <v>125600</v>
      </c>
      <c r="C2026" s="2" t="s">
        <v>573</v>
      </c>
      <c r="D2026" s="2" t="str">
        <f t="shared" si="30"/>
        <v>Error?</v>
      </c>
    </row>
    <row r="2027" spans="1:4" x14ac:dyDescent="0.2">
      <c r="A2027" s="5">
        <v>1966</v>
      </c>
      <c r="B2027" s="138">
        <f>'Cap Outlay Deprec 26'!F8</f>
        <v>8095639</v>
      </c>
      <c r="C2027" s="2" t="s">
        <v>573</v>
      </c>
      <c r="D2027" s="2" t="str">
        <f t="shared" si="30"/>
        <v>Error?</v>
      </c>
    </row>
    <row r="2028" spans="1:4" x14ac:dyDescent="0.2">
      <c r="A2028" s="5">
        <v>1967</v>
      </c>
      <c r="B2028" s="138">
        <f>'Cap Outlay Deprec 26'!F10</f>
        <v>889006</v>
      </c>
      <c r="C2028" s="2" t="s">
        <v>573</v>
      </c>
      <c r="D2028" s="2" t="str">
        <f t="shared" si="30"/>
        <v>Error?</v>
      </c>
    </row>
    <row r="2029" spans="1:4" x14ac:dyDescent="0.2">
      <c r="A2029" s="5">
        <v>1968</v>
      </c>
      <c r="B2029" s="138">
        <f>'Cap Outlay Deprec 26'!F12</f>
        <v>399678</v>
      </c>
      <c r="C2029" s="2" t="s">
        <v>573</v>
      </c>
      <c r="D2029" s="2" t="str">
        <f t="shared" si="30"/>
        <v>Error?</v>
      </c>
    </row>
    <row r="2030" spans="1:4" x14ac:dyDescent="0.2">
      <c r="A2030" s="5">
        <v>1969</v>
      </c>
      <c r="B2030" s="138">
        <f>'Cap Outlay Deprec 26'!F13</f>
        <v>23260</v>
      </c>
      <c r="C2030" s="2" t="s">
        <v>573</v>
      </c>
      <c r="D2030" s="2" t="str">
        <f t="shared" si="30"/>
        <v>Error?</v>
      </c>
    </row>
    <row r="2031" spans="1:4" x14ac:dyDescent="0.2">
      <c r="A2031" s="5">
        <v>1970</v>
      </c>
      <c r="B2031" s="138">
        <f>'Cap Outlay Deprec 26'!F16</f>
        <v>9533183</v>
      </c>
      <c r="C2031" s="2" t="s">
        <v>573</v>
      </c>
      <c r="D2031" s="2" t="str">
        <f t="shared" si="30"/>
        <v>Error?</v>
      </c>
    </row>
    <row r="2032" spans="1:4" x14ac:dyDescent="0.2">
      <c r="A2032" s="10">
        <v>1971</v>
      </c>
      <c r="D2032" s="2" t="str">
        <f t="shared" si="30"/>
        <v>OK</v>
      </c>
    </row>
    <row r="2033" spans="1:4" x14ac:dyDescent="0.2">
      <c r="A2033" s="5">
        <v>1972</v>
      </c>
      <c r="B2033" s="138">
        <f>'Cap Outlay Deprec 26'!H8</f>
        <v>1976756</v>
      </c>
      <c r="D2033" s="2" t="str">
        <f t="shared" si="30"/>
        <v>Error?</v>
      </c>
    </row>
    <row r="2034" spans="1:4" x14ac:dyDescent="0.2">
      <c r="A2034" s="5">
        <v>1973</v>
      </c>
      <c r="B2034" s="138">
        <f>'Cap Outlay Deprec 26'!H10</f>
        <v>529845</v>
      </c>
      <c r="D2034" s="2" t="str">
        <f t="shared" si="30"/>
        <v>Error?</v>
      </c>
    </row>
    <row r="2035" spans="1:4" x14ac:dyDescent="0.2">
      <c r="A2035" s="5">
        <v>1974</v>
      </c>
      <c r="B2035" s="138">
        <f>'Cap Outlay Deprec 26'!H12</f>
        <v>127672</v>
      </c>
      <c r="D2035" s="2" t="str">
        <f t="shared" si="30"/>
        <v>Error?</v>
      </c>
    </row>
    <row r="2036" spans="1:4" x14ac:dyDescent="0.2">
      <c r="A2036" s="5">
        <v>1975</v>
      </c>
      <c r="B2036" s="138">
        <f>'Cap Outlay Deprec 26'!H13</f>
        <v>23260</v>
      </c>
      <c r="D2036" s="2" t="str">
        <f t="shared" si="30"/>
        <v>Error?</v>
      </c>
    </row>
    <row r="2037" spans="1:4" x14ac:dyDescent="0.2">
      <c r="A2037" s="5">
        <v>1976</v>
      </c>
      <c r="B2037" s="138">
        <f>'Cap Outlay Deprec 26'!H16</f>
        <v>2657533</v>
      </c>
      <c r="C2037" s="2" t="s">
        <v>573</v>
      </c>
      <c r="D2037" s="2" t="str">
        <f t="shared" si="30"/>
        <v>Error?</v>
      </c>
    </row>
    <row r="2038" spans="1:4" x14ac:dyDescent="0.2">
      <c r="A2038" s="10">
        <v>1977</v>
      </c>
      <c r="D2038" s="2" t="str">
        <f t="shared" si="30"/>
        <v>OK</v>
      </c>
    </row>
    <row r="2039" spans="1:4" x14ac:dyDescent="0.2">
      <c r="A2039" s="5">
        <v>1978</v>
      </c>
      <c r="B2039" s="138">
        <f>'Cap Outlay Deprec 26'!I8</f>
        <v>156879</v>
      </c>
      <c r="D2039" s="2" t="str">
        <f t="shared" si="30"/>
        <v>Error?</v>
      </c>
    </row>
    <row r="2040" spans="1:4" x14ac:dyDescent="0.2">
      <c r="A2040" s="5">
        <v>1979</v>
      </c>
      <c r="B2040" s="138">
        <f>'Cap Outlay Deprec 26'!I10</f>
        <v>43496</v>
      </c>
      <c r="D2040" s="2" t="str">
        <f t="shared" si="30"/>
        <v>Error?</v>
      </c>
    </row>
    <row r="2041" spans="1:4" x14ac:dyDescent="0.2">
      <c r="A2041" s="5">
        <v>1980</v>
      </c>
      <c r="B2041" s="138">
        <f>'Cap Outlay Deprec 26'!I12</f>
        <v>39965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240340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11021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11021</v>
      </c>
      <c r="C2049" s="2" t="s">
        <v>573</v>
      </c>
      <c r="D2049" s="2" t="str">
        <f t="shared" si="31"/>
        <v>Error?</v>
      </c>
    </row>
    <row r="2050" spans="1:4" x14ac:dyDescent="0.2">
      <c r="A2050" s="10">
        <v>1989</v>
      </c>
      <c r="D2050" s="2" t="str">
        <f t="shared" si="31"/>
        <v>OK</v>
      </c>
    </row>
    <row r="2051" spans="1:4" x14ac:dyDescent="0.2">
      <c r="A2051" s="5">
        <v>1990</v>
      </c>
      <c r="B2051" s="138">
        <f>'Cap Outlay Deprec 26'!K8</f>
        <v>2133635</v>
      </c>
      <c r="C2051" s="2" t="s">
        <v>573</v>
      </c>
      <c r="D2051" s="2" t="str">
        <f t="shared" si="31"/>
        <v>Error?</v>
      </c>
    </row>
    <row r="2052" spans="1:4" x14ac:dyDescent="0.2">
      <c r="A2052" s="5">
        <v>1991</v>
      </c>
      <c r="B2052" s="138">
        <f>'Cap Outlay Deprec 26'!K10</f>
        <v>573341</v>
      </c>
      <c r="C2052" s="2" t="s">
        <v>573</v>
      </c>
      <c r="D2052" s="2" t="str">
        <f t="shared" si="31"/>
        <v>Error?</v>
      </c>
    </row>
    <row r="2053" spans="1:4" x14ac:dyDescent="0.2">
      <c r="A2053" s="5">
        <v>1992</v>
      </c>
      <c r="B2053" s="138">
        <f>'Cap Outlay Deprec 26'!K12</f>
        <v>156616</v>
      </c>
      <c r="C2053" s="2" t="s">
        <v>573</v>
      </c>
      <c r="D2053" s="2" t="str">
        <f t="shared" si="31"/>
        <v>Error?</v>
      </c>
    </row>
    <row r="2054" spans="1:4" x14ac:dyDescent="0.2">
      <c r="A2054" s="5">
        <v>1993</v>
      </c>
      <c r="B2054" s="138">
        <f>'Cap Outlay Deprec 26'!K13</f>
        <v>23260</v>
      </c>
      <c r="C2054" s="2" t="s">
        <v>573</v>
      </c>
      <c r="D2054" s="2" t="str">
        <f t="shared" si="31"/>
        <v>Error?</v>
      </c>
    </row>
    <row r="2055" spans="1:4" x14ac:dyDescent="0.2">
      <c r="A2055" s="5">
        <v>1994</v>
      </c>
      <c r="B2055" s="138">
        <f>'Cap Outlay Deprec 26'!K16</f>
        <v>2886852</v>
      </c>
      <c r="C2055" s="2" t="s">
        <v>573</v>
      </c>
      <c r="D2055" s="2" t="str">
        <f t="shared" si="31"/>
        <v>Error?</v>
      </c>
    </row>
    <row r="2056" spans="1:4" x14ac:dyDescent="0.2">
      <c r="A2056" s="5">
        <v>1995</v>
      </c>
      <c r="B2056" s="138">
        <f>'Cap Outlay Deprec 26'!L5</f>
        <v>125600</v>
      </c>
      <c r="C2056" s="2" t="s">
        <v>573</v>
      </c>
      <c r="D2056" s="2" t="str">
        <f t="shared" si="31"/>
        <v>Error?</v>
      </c>
    </row>
    <row r="2057" spans="1:4" x14ac:dyDescent="0.2">
      <c r="A2057" s="5">
        <v>1996</v>
      </c>
      <c r="B2057" s="138">
        <f>'Cap Outlay Deprec 26'!L8</f>
        <v>5962004</v>
      </c>
      <c r="C2057" s="2" t="s">
        <v>573</v>
      </c>
      <c r="D2057" s="2" t="str">
        <f t="shared" si="31"/>
        <v>Error?</v>
      </c>
    </row>
    <row r="2058" spans="1:4" x14ac:dyDescent="0.2">
      <c r="A2058" s="5">
        <v>1997</v>
      </c>
      <c r="B2058" s="138">
        <f>'Cap Outlay Deprec 26'!L10</f>
        <v>315665</v>
      </c>
      <c r="C2058" s="2" t="s">
        <v>573</v>
      </c>
      <c r="D2058" s="2" t="str">
        <f t="shared" si="31"/>
        <v>Error?</v>
      </c>
    </row>
    <row r="2059" spans="1:4" x14ac:dyDescent="0.2">
      <c r="A2059" s="5">
        <v>1998</v>
      </c>
      <c r="B2059" s="138">
        <f>'Cap Outlay Deprec 26'!L12</f>
        <v>243062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6646331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1419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38621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87713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1972628</v>
      </c>
      <c r="C2551" s="2" t="s">
        <v>573</v>
      </c>
      <c r="D2551" s="2" t="str">
        <f t="shared" si="38"/>
        <v>Error?</v>
      </c>
    </row>
    <row r="2552" spans="1:4" x14ac:dyDescent="0.2">
      <c r="A2552" s="10">
        <v>2491</v>
      </c>
      <c r="D2552" s="2" t="str">
        <f t="shared" si="38"/>
        <v>OK</v>
      </c>
    </row>
    <row r="2553" spans="1:4" x14ac:dyDescent="0.2">
      <c r="A2553" s="5">
        <v>2492</v>
      </c>
      <c r="B2553" s="138">
        <f>'Acct Summary 7-8'!C6</f>
        <v>341538</v>
      </c>
      <c r="C2553" s="2" t="s">
        <v>573</v>
      </c>
      <c r="D2553" s="2" t="str">
        <f t="shared" si="38"/>
        <v>Error?</v>
      </c>
    </row>
    <row r="2554" spans="1:4" x14ac:dyDescent="0.2">
      <c r="A2554" s="5">
        <v>2493</v>
      </c>
      <c r="B2554" s="138">
        <f>'Acct Summary 7-8'!C7</f>
        <v>261659</v>
      </c>
      <c r="C2554" s="2" t="s">
        <v>573</v>
      </c>
      <c r="D2554" s="2" t="str">
        <f t="shared" si="38"/>
        <v>Error?</v>
      </c>
    </row>
    <row r="2555" spans="1:4" x14ac:dyDescent="0.2">
      <c r="A2555" s="5">
        <v>2494</v>
      </c>
      <c r="B2555" s="138">
        <f>'Acct Summary 7-8'!C8</f>
        <v>2575825</v>
      </c>
      <c r="C2555" s="2" t="s">
        <v>573</v>
      </c>
      <c r="D2555" s="2" t="str">
        <f t="shared" si="38"/>
        <v>Error?</v>
      </c>
    </row>
    <row r="2556" spans="1:4" x14ac:dyDescent="0.2">
      <c r="A2556" s="5">
        <v>2495</v>
      </c>
      <c r="B2556" s="138">
        <f>'Acct Summary 7-8'!C12</f>
        <v>1697095</v>
      </c>
      <c r="C2556" s="2" t="s">
        <v>573</v>
      </c>
      <c r="D2556" s="2" t="str">
        <f t="shared" si="38"/>
        <v>Error?</v>
      </c>
    </row>
    <row r="2557" spans="1:4" x14ac:dyDescent="0.2">
      <c r="A2557" s="5">
        <v>2496</v>
      </c>
      <c r="B2557" s="138">
        <f>'Acct Summary 7-8'!C13</f>
        <v>790721</v>
      </c>
      <c r="C2557" s="2" t="s">
        <v>573</v>
      </c>
      <c r="D2557" s="2" t="str">
        <f t="shared" si="38"/>
        <v>Error?</v>
      </c>
    </row>
    <row r="2558" spans="1:4" x14ac:dyDescent="0.2">
      <c r="A2558" s="5">
        <v>2497</v>
      </c>
      <c r="B2558" s="138">
        <f>'Acct Summary 7-8'!C14</f>
        <v>2340</v>
      </c>
      <c r="C2558" s="2" t="s">
        <v>573</v>
      </c>
      <c r="D2558" s="2" t="str">
        <f t="shared" si="38"/>
        <v>Error?</v>
      </c>
    </row>
    <row r="2559" spans="1:4" x14ac:dyDescent="0.2">
      <c r="A2559" s="5">
        <v>2498</v>
      </c>
      <c r="B2559" s="138">
        <f>'Acct Summary 7-8'!C15</f>
        <v>38621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2528777</v>
      </c>
      <c r="C2561" s="2" t="s">
        <v>573</v>
      </c>
      <c r="D2561" s="2" t="str">
        <f t="shared" si="39"/>
        <v>Error?</v>
      </c>
    </row>
    <row r="2562" spans="1:4" x14ac:dyDescent="0.2">
      <c r="A2562" s="5">
        <v>2501</v>
      </c>
      <c r="B2562" s="138">
        <f>'Acct Summary 7-8'!C20</f>
        <v>47048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203972</v>
      </c>
      <c r="C2564" s="2" t="s">
        <v>573</v>
      </c>
      <c r="D2564" s="2" t="str">
        <f t="shared" si="39"/>
        <v>Error?</v>
      </c>
    </row>
    <row r="2565" spans="1:4" x14ac:dyDescent="0.2">
      <c r="A2565" s="10">
        <v>2504</v>
      </c>
      <c r="D2565" s="2" t="str">
        <f t="shared" si="39"/>
        <v>OK</v>
      </c>
    </row>
    <row r="2566" spans="1:4" x14ac:dyDescent="0.2">
      <c r="A2566" s="5">
        <v>2505</v>
      </c>
      <c r="B2566" s="138">
        <f>'Acct Summary 7-8'!D6</f>
        <v>107000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310972</v>
      </c>
      <c r="C2568" s="2" t="s">
        <v>573</v>
      </c>
      <c r="D2568" s="2" t="str">
        <f t="shared" si="39"/>
        <v>Error?</v>
      </c>
    </row>
    <row r="2569" spans="1:4" x14ac:dyDescent="0.2">
      <c r="A2569" s="5">
        <v>2508</v>
      </c>
      <c r="B2569" s="138">
        <f>'Acct Summary 7-8'!D13</f>
        <v>299576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299576</v>
      </c>
      <c r="C2573" s="2" t="s">
        <v>573</v>
      </c>
      <c r="D2573" s="2" t="str">
        <f t="shared" si="39"/>
        <v>Error?</v>
      </c>
    </row>
    <row r="2574" spans="1:4" x14ac:dyDescent="0.2">
      <c r="A2574" s="5">
        <v>2513</v>
      </c>
      <c r="B2574" s="138">
        <f>'Acct Summary 7-8'!D20</f>
        <v>11396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129372</v>
      </c>
      <c r="C2591" s="2" t="s">
        <v>573</v>
      </c>
      <c r="D2591" s="2" t="str">
        <f t="shared" si="39"/>
        <v>Error?</v>
      </c>
    </row>
    <row r="2592" spans="1:4" x14ac:dyDescent="0.2">
      <c r="A2592" s="10">
        <v>2531</v>
      </c>
      <c r="D2592" s="2" t="str">
        <f t="shared" si="39"/>
        <v>OK</v>
      </c>
    </row>
    <row r="2593" spans="1:4" x14ac:dyDescent="0.2">
      <c r="A2593" s="5">
        <v>2532</v>
      </c>
      <c r="B2593" s="138">
        <f>'Acct Summary 7-8'!F6</f>
        <v>112129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241501</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191520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191520</v>
      </c>
      <c r="C2600" s="2" t="s">
        <v>573</v>
      </c>
      <c r="D2600" s="2" t="str">
        <f t="shared" si="39"/>
        <v>Error?</v>
      </c>
    </row>
    <row r="2601" spans="1:4" x14ac:dyDescent="0.2">
      <c r="A2601" s="5">
        <v>2540</v>
      </c>
      <c r="B2601" s="138">
        <f>'Acct Summary 7-8'!F20</f>
        <v>49981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102586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102586</v>
      </c>
      <c r="C2606" s="2" t="s">
        <v>573</v>
      </c>
      <c r="D2606" s="2" t="str">
        <f t="shared" si="39"/>
        <v>Error?</v>
      </c>
    </row>
    <row r="2607" spans="1:4" x14ac:dyDescent="0.2">
      <c r="A2607" s="5">
        <v>2546</v>
      </c>
      <c r="B2607" s="138">
        <f>'Acct Summary 7-8'!G12</f>
        <v>28679</v>
      </c>
      <c r="C2607" s="2" t="s">
        <v>573</v>
      </c>
      <c r="D2607" s="2" t="str">
        <f t="shared" si="39"/>
        <v>Error?</v>
      </c>
    </row>
    <row r="2608" spans="1:4" x14ac:dyDescent="0.2">
      <c r="A2608" s="5">
        <v>2547</v>
      </c>
      <c r="B2608" s="138">
        <f>'Acct Summary 7-8'!G13</f>
        <v>51331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80010</v>
      </c>
      <c r="C2612" s="2" t="s">
        <v>573</v>
      </c>
      <c r="D2612" s="2" t="str">
        <f t="shared" si="39"/>
        <v>Error?</v>
      </c>
    </row>
    <row r="2613" spans="1:4" x14ac:dyDescent="0.2">
      <c r="A2613" s="5">
        <v>2552</v>
      </c>
      <c r="B2613" s="138">
        <f>'Acct Summary 7-8'!G20</f>
        <v>22576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246646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246646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245273</v>
      </c>
      <c r="C2634" s="2" t="s">
        <v>573</v>
      </c>
      <c r="D2634" s="2" t="str">
        <f t="shared" si="40"/>
        <v>Error?</v>
      </c>
    </row>
    <row r="2635" spans="1:4" x14ac:dyDescent="0.2">
      <c r="A2635" s="5">
        <v>2574</v>
      </c>
      <c r="B2635" s="138">
        <f>'Acct Summary 7-8'!E17</f>
        <v>245273</v>
      </c>
      <c r="C2635" s="2" t="s">
        <v>573</v>
      </c>
      <c r="D2635" s="2" t="str">
        <f t="shared" si="40"/>
        <v>Error?</v>
      </c>
    </row>
    <row r="2636" spans="1:4" x14ac:dyDescent="0.2">
      <c r="A2636" s="5">
        <v>2575</v>
      </c>
      <c r="B2636" s="138">
        <f>'Acct Summary 7-8'!E20</f>
        <v>1373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5834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5834</v>
      </c>
      <c r="C2658" s="2" t="s">
        <v>573</v>
      </c>
      <c r="D2658" s="2" t="str">
        <f t="shared" si="40"/>
        <v>Error?</v>
      </c>
    </row>
    <row r="2659" spans="1:4" x14ac:dyDescent="0.2">
      <c r="A2659" s="5">
        <v>2598</v>
      </c>
      <c r="B2659" s="138">
        <f>'Acct Summary 7-8'!H13</f>
        <v>489751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489751</v>
      </c>
      <c r="C2661" s="2" t="s">
        <v>573</v>
      </c>
      <c r="D2661" s="2" t="str">
        <f t="shared" si="40"/>
        <v>Error?</v>
      </c>
    </row>
    <row r="2662" spans="1:4" x14ac:dyDescent="0.2">
      <c r="A2662" s="5">
        <v>2601</v>
      </c>
      <c r="B2662" s="138">
        <f>'Acct Summary 7-8'!H20</f>
        <v>-483917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37202</v>
      </c>
      <c r="C2789" s="2" t="s">
        <v>573</v>
      </c>
      <c r="D2789" s="2" t="str">
        <f t="shared" si="42"/>
        <v>Error?</v>
      </c>
    </row>
    <row r="2790" spans="1:4" x14ac:dyDescent="0.2">
      <c r="A2790" s="5">
        <v>2729</v>
      </c>
      <c r="B2790" s="138">
        <f>'Expenditures 15-22'!E102</f>
        <v>37202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191520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191520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269913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13292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269913</v>
      </c>
      <c r="D2912" s="2" t="str">
        <f t="shared" si="44"/>
        <v>Error?</v>
      </c>
    </row>
    <row r="2913" spans="1:4" x14ac:dyDescent="0.2">
      <c r="A2913" s="5">
        <v>2852</v>
      </c>
      <c r="B2913" s="138">
        <f>'Assets-Liab 5-6'!I41</f>
        <v>269913</v>
      </c>
      <c r="C2913" s="2" t="s">
        <v>573</v>
      </c>
      <c r="D2913" s="2" t="str">
        <f t="shared" si="44"/>
        <v>Error?</v>
      </c>
    </row>
    <row r="2914" spans="1:4" x14ac:dyDescent="0.2">
      <c r="A2914" s="5">
        <v>2853</v>
      </c>
      <c r="B2914" s="138">
        <f>'Assets-Liab 5-6'!L33</f>
        <v>13292</v>
      </c>
      <c r="D2914" s="2" t="str">
        <f t="shared" si="44"/>
        <v>Error?</v>
      </c>
    </row>
    <row r="2915" spans="1:4" x14ac:dyDescent="0.2">
      <c r="A2915" s="10">
        <v>2854</v>
      </c>
      <c r="D2915" s="2" t="str">
        <f t="shared" si="44"/>
        <v>OK</v>
      </c>
    </row>
    <row r="2916" spans="1:4" x14ac:dyDescent="0.2">
      <c r="A2916" s="5">
        <v>2855</v>
      </c>
      <c r="B2916" s="138">
        <f>'Assets-Liab 5-6'!L34</f>
        <v>13292</v>
      </c>
      <c r="C2916" s="2" t="s">
        <v>573</v>
      </c>
      <c r="D2916" s="2" t="str">
        <f t="shared" si="44"/>
        <v>Error?</v>
      </c>
    </row>
    <row r="2917" spans="1:4" x14ac:dyDescent="0.2">
      <c r="A2917" s="5">
        <v>2856</v>
      </c>
      <c r="B2917" s="138">
        <f>'Assets-Liab 5-6'!L41</f>
        <v>13292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37202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1419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38621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148384</v>
      </c>
      <c r="D2989" s="2" t="str">
        <f t="shared" si="45"/>
        <v>Error?</v>
      </c>
    </row>
    <row r="2990" spans="1:4" x14ac:dyDescent="0.2">
      <c r="A2990" s="5">
        <v>2929</v>
      </c>
      <c r="B2990" s="138">
        <f>'Expenditures 15-22'!E189</f>
        <v>43136</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148384</v>
      </c>
      <c r="C3007" s="2" t="s">
        <v>573</v>
      </c>
      <c r="D3007" s="2" t="str">
        <f t="shared" ref="D3007:D3070" si="46">IF(ISBLANK(B3007),"OK",IF(A3007-B3007=0,"OK","Error?"))</f>
        <v>Error?</v>
      </c>
    </row>
    <row r="3008" spans="1:4" x14ac:dyDescent="0.2">
      <c r="A3008" s="5">
        <v>2947</v>
      </c>
      <c r="B3008" s="138">
        <f>'Expenditures 15-22'!K189</f>
        <v>43136</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42059</v>
      </c>
      <c r="D3055" s="2" t="str">
        <f t="shared" si="46"/>
        <v>Error?</v>
      </c>
    </row>
    <row r="3056" spans="1:4" x14ac:dyDescent="0.2">
      <c r="A3056" s="5">
        <v>2995</v>
      </c>
      <c r="B3056" s="138">
        <f>'Expenditures 15-22'!D10</f>
        <v>8794</v>
      </c>
      <c r="D3056" s="2" t="str">
        <f t="shared" si="46"/>
        <v>Error?</v>
      </c>
    </row>
    <row r="3057" spans="1:4" x14ac:dyDescent="0.2">
      <c r="A3057" s="5">
        <v>2996</v>
      </c>
      <c r="B3057" s="138">
        <f>'Expenditures 15-22'!E10</f>
        <v>1862</v>
      </c>
      <c r="D3057" s="2" t="str">
        <f t="shared" si="46"/>
        <v>Error?</v>
      </c>
    </row>
    <row r="3058" spans="1:4" x14ac:dyDescent="0.2">
      <c r="A3058" s="5">
        <v>2997</v>
      </c>
      <c r="B3058" s="138">
        <f>'Expenditures 15-22'!F10</f>
        <v>19561</v>
      </c>
      <c r="D3058" s="2" t="str">
        <f t="shared" si="46"/>
        <v>Error?</v>
      </c>
    </row>
    <row r="3059" spans="1:4" x14ac:dyDescent="0.2">
      <c r="A3059" s="5">
        <v>2998</v>
      </c>
      <c r="B3059" s="138">
        <f>'Expenditures 15-22'!G10</f>
        <v>510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72786</v>
      </c>
      <c r="C3062" s="2" t="s">
        <v>573</v>
      </c>
      <c r="D3062" s="2" t="str">
        <f t="shared" si="46"/>
        <v>Error?</v>
      </c>
    </row>
    <row r="3063" spans="1:4" x14ac:dyDescent="0.2">
      <c r="A3063" s="10">
        <v>3002</v>
      </c>
      <c r="D3063" s="2" t="str">
        <f t="shared" si="46"/>
        <v>OK</v>
      </c>
    </row>
    <row r="3064" spans="1:4" x14ac:dyDescent="0.2">
      <c r="A3064" s="5">
        <v>3003</v>
      </c>
      <c r="B3064" s="138">
        <f>'Expenditures 15-22'!D219</f>
        <v>610</v>
      </c>
      <c r="D3064" s="2" t="str">
        <f t="shared" si="46"/>
        <v>Error?</v>
      </c>
    </row>
    <row r="3065" spans="1:4" x14ac:dyDescent="0.2">
      <c r="A3065" s="5">
        <v>3004</v>
      </c>
      <c r="B3065" s="138">
        <f>'Expenditures 15-22'!K219</f>
        <v>610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31068</v>
      </c>
      <c r="C3225" s="2" t="s">
        <v>573</v>
      </c>
      <c r="D3225" s="2" t="str">
        <f t="shared" si="49"/>
        <v>Error?</v>
      </c>
    </row>
    <row r="3226" spans="1:4" x14ac:dyDescent="0.2">
      <c r="A3226" s="5">
        <v>3165</v>
      </c>
      <c r="B3226" s="138">
        <f>'Acct Summary 7-8'!I8</f>
        <v>31068</v>
      </c>
      <c r="C3226" s="2" t="s">
        <v>573</v>
      </c>
      <c r="D3226" s="2" t="str">
        <f t="shared" si="49"/>
        <v>Error?</v>
      </c>
    </row>
    <row r="3227" spans="1:4" x14ac:dyDescent="0.2">
      <c r="A3227" s="5">
        <v>3166</v>
      </c>
      <c r="B3227" s="138">
        <f>'Acct Summary 7-8'!I20</f>
        <v>31068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30000</v>
      </c>
      <c r="C3232" s="2" t="s">
        <v>573</v>
      </c>
      <c r="D3232" s="2" t="str">
        <f t="shared" si="49"/>
        <v>Error?</v>
      </c>
    </row>
    <row r="3233" spans="1:4" x14ac:dyDescent="0.2">
      <c r="A3233" s="5">
        <v>3172</v>
      </c>
      <c r="B3233" s="138">
        <f>'Acct Summary 7-8'!C78</f>
        <v>77048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11396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49981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22576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1373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26600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26600</v>
      </c>
      <c r="C3299" s="2" t="s">
        <v>573</v>
      </c>
      <c r="D3299" s="2" t="str">
        <f t="shared" si="50"/>
        <v>Error?</v>
      </c>
    </row>
    <row r="3300" spans="1:4" x14ac:dyDescent="0.2">
      <c r="A3300" s="5">
        <v>3239</v>
      </c>
      <c r="B3300" s="138">
        <f>'Acct Summary 7-8'!H78</f>
        <v>-457317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30000</v>
      </c>
      <c r="C3318" s="2" t="s">
        <v>573</v>
      </c>
      <c r="D3318" s="2" t="str">
        <f t="shared" si="50"/>
        <v>Error?</v>
      </c>
    </row>
    <row r="3319" spans="1:4" x14ac:dyDescent="0.2">
      <c r="A3319" s="5">
        <v>3258</v>
      </c>
      <c r="B3319" s="138">
        <f>'Acct Summary 7-8'!I77</f>
        <v>-30000</v>
      </c>
      <c r="C3319" s="2" t="s">
        <v>573</v>
      </c>
      <c r="D3319" s="2" t="str">
        <f t="shared" si="50"/>
        <v>Error?</v>
      </c>
    </row>
    <row r="3320" spans="1:4" x14ac:dyDescent="0.2">
      <c r="A3320" s="5">
        <v>3259</v>
      </c>
      <c r="B3320" s="138">
        <f>'Acct Summary 7-8'!I78</f>
        <v>1068</v>
      </c>
      <c r="C3320" s="2" t="s">
        <v>573</v>
      </c>
      <c r="D3320" s="2" t="str">
        <f t="shared" si="50"/>
        <v>Error?</v>
      </c>
    </row>
    <row r="3321" spans="1:4" x14ac:dyDescent="0.2">
      <c r="A3321" s="5">
        <v>3260</v>
      </c>
      <c r="B3321" s="138">
        <f>'Acct Summary 7-8'!I79</f>
        <v>268845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269913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82657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24083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108825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26320</v>
      </c>
      <c r="D3387" s="2" t="str">
        <f t="shared" si="51"/>
        <v>Error?</v>
      </c>
    </row>
    <row r="3388" spans="1:4" x14ac:dyDescent="0.2">
      <c r="A3388" s="5">
        <v>3327</v>
      </c>
      <c r="B3388" s="138">
        <f>'Expenditures 15-22'!D217</f>
        <v>1141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26320</v>
      </c>
      <c r="C3390" s="2" t="s">
        <v>573</v>
      </c>
      <c r="D3390" s="2" t="str">
        <f t="shared" si="51"/>
        <v>Error?</v>
      </c>
    </row>
    <row r="3391" spans="1:4" x14ac:dyDescent="0.2">
      <c r="A3391" s="5">
        <v>3330</v>
      </c>
      <c r="B3391" s="138">
        <f>'Expenditures 15-22'!K217</f>
        <v>1141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768019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355413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13751</v>
      </c>
      <c r="D3417" s="2" t="str">
        <f t="shared" si="52"/>
        <v>Error?</v>
      </c>
    </row>
    <row r="3418" spans="1:4" x14ac:dyDescent="0.2">
      <c r="A3418" s="10">
        <v>3357</v>
      </c>
      <c r="D3418" s="2" t="str">
        <f t="shared" si="52"/>
        <v>OK</v>
      </c>
    </row>
    <row r="3419" spans="1:4" x14ac:dyDescent="0.2">
      <c r="A3419" s="5">
        <v>3358</v>
      </c>
      <c r="B3419" s="138">
        <f>'Assets-Liab 5-6'!F4</f>
        <v>375007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157237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184347</v>
      </c>
      <c r="D3425" s="2" t="str">
        <f t="shared" si="52"/>
        <v>Error?</v>
      </c>
    </row>
    <row r="3426" spans="1:4" x14ac:dyDescent="0.2">
      <c r="A3426" s="10">
        <v>3365</v>
      </c>
      <c r="D3426" s="2" t="str">
        <f t="shared" si="52"/>
        <v>OK</v>
      </c>
    </row>
    <row r="3427" spans="1:4" x14ac:dyDescent="0.2">
      <c r="A3427" s="5">
        <v>3366</v>
      </c>
      <c r="B3427" s="138">
        <f>'Assets-Liab 5-6'!I4</f>
        <v>269913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13292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54626</v>
      </c>
      <c r="C3446" s="2" t="s">
        <v>573</v>
      </c>
      <c r="D3446" s="2" t="str">
        <f t="shared" si="52"/>
        <v>Error?</v>
      </c>
    </row>
    <row r="3447" spans="1:4" x14ac:dyDescent="0.2">
      <c r="A3447" s="5">
        <v>3386</v>
      </c>
      <c r="B3447" s="138">
        <f>'Tax Sched 23'!D16</f>
        <v>54626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56252</v>
      </c>
      <c r="C3449" s="2" t="s">
        <v>573</v>
      </c>
      <c r="D3449" s="2" t="str">
        <f t="shared" si="52"/>
        <v>Error?</v>
      </c>
    </row>
    <row r="3450" spans="1:4" x14ac:dyDescent="0.2">
      <c r="A3450" s="5">
        <v>3389</v>
      </c>
      <c r="B3450" s="138">
        <f>'Tax Sched 23'!E16</f>
        <v>56252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26600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71915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71915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71915</v>
      </c>
      <c r="D3567" s="2" t="str">
        <f t="shared" si="54"/>
        <v>Error?</v>
      </c>
    </row>
    <row r="3568" spans="1:4" x14ac:dyDescent="0.2">
      <c r="A3568" s="5">
        <v>3507</v>
      </c>
      <c r="B3568" s="138">
        <f>'Assets-Liab 5-6'!K41</f>
        <v>71915</v>
      </c>
      <c r="C3568" s="2" t="s">
        <v>573</v>
      </c>
      <c r="D3568" s="2" t="str">
        <f t="shared" si="54"/>
        <v>Error?</v>
      </c>
    </row>
    <row r="3569" spans="1:4" x14ac:dyDescent="0.2">
      <c r="A3569" s="5">
        <v>3508</v>
      </c>
      <c r="B3569" s="138">
        <f>'Acct Summary 7-8'!K4</f>
        <v>39678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39678</v>
      </c>
      <c r="C3571" s="2" t="s">
        <v>573</v>
      </c>
      <c r="D3571" s="2" t="str">
        <f t="shared" si="54"/>
        <v>Error?</v>
      </c>
    </row>
    <row r="3572" spans="1:4" x14ac:dyDescent="0.2">
      <c r="A3572" s="5">
        <v>3511</v>
      </c>
      <c r="B3572" s="138">
        <f>'Acct Summary 7-8'!K13</f>
        <v>38914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38914</v>
      </c>
      <c r="C3575" s="2" t="s">
        <v>573</v>
      </c>
      <c r="D3575" s="2" t="str">
        <f t="shared" si="54"/>
        <v>Error?</v>
      </c>
    </row>
    <row r="3576" spans="1:4" x14ac:dyDescent="0.2">
      <c r="A3576" s="5">
        <v>3515</v>
      </c>
      <c r="B3576" s="138">
        <f>'Acct Summary 7-8'!K20</f>
        <v>764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764</v>
      </c>
      <c r="C3588" s="2" t="s">
        <v>573</v>
      </c>
      <c r="D3588" s="2" t="str">
        <f t="shared" si="55"/>
        <v>Error?</v>
      </c>
    </row>
    <row r="3589" spans="1:4" x14ac:dyDescent="0.2">
      <c r="A3589" s="5">
        <v>3528</v>
      </c>
      <c r="B3589" s="138">
        <f>'Acct Summary 7-8'!K79</f>
        <v>71151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71915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1434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1434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1434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37480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37480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37480</v>
      </c>
      <c r="C3649" s="2" t="s">
        <v>573</v>
      </c>
      <c r="D3649" s="2" t="str">
        <f t="shared" si="56"/>
        <v>Error?</v>
      </c>
    </row>
    <row r="3650" spans="1:4" x14ac:dyDescent="0.2">
      <c r="A3650" s="5">
        <v>3589</v>
      </c>
      <c r="B3650" s="138">
        <f>'Expenditures 15-22'!G367</f>
        <v>37480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38914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38914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38914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38914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764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58847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886969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3462794</v>
      </c>
      <c r="C4122" s="2" t="s">
        <v>573</v>
      </c>
      <c r="D4122" s="2" t="str">
        <f t="shared" si="63"/>
        <v>Error?</v>
      </c>
    </row>
    <row r="4123" spans="1:4" x14ac:dyDescent="0.2">
      <c r="A4123" s="5">
        <v>4062</v>
      </c>
      <c r="B4123" s="138">
        <f>'Acct Summary 7-8'!D10</f>
        <v>310972</v>
      </c>
      <c r="C4123" s="2" t="s">
        <v>573</v>
      </c>
      <c r="D4123" s="2" t="str">
        <f t="shared" si="63"/>
        <v>Error?</v>
      </c>
    </row>
    <row r="4124" spans="1:4" x14ac:dyDescent="0.2">
      <c r="A4124" s="5">
        <v>4063</v>
      </c>
      <c r="B4124" s="138">
        <f>'Acct Summary 7-8'!E10</f>
        <v>246646</v>
      </c>
      <c r="C4124" s="2" t="s">
        <v>573</v>
      </c>
      <c r="D4124" s="2" t="str">
        <f t="shared" si="63"/>
        <v>Error?</v>
      </c>
    </row>
    <row r="4125" spans="1:4" x14ac:dyDescent="0.2">
      <c r="A4125" s="5">
        <v>4064</v>
      </c>
      <c r="B4125" s="138">
        <f>'Acct Summary 7-8'!F10</f>
        <v>241501</v>
      </c>
      <c r="C4125" s="2" t="s">
        <v>573</v>
      </c>
      <c r="D4125" s="2" t="str">
        <f t="shared" si="63"/>
        <v>Error?</v>
      </c>
    </row>
    <row r="4126" spans="1:4" x14ac:dyDescent="0.2">
      <c r="A4126" s="5">
        <v>4065</v>
      </c>
      <c r="B4126" s="138">
        <f>'Acct Summary 7-8'!G10</f>
        <v>102586</v>
      </c>
      <c r="C4126" s="2" t="s">
        <v>573</v>
      </c>
      <c r="D4126" s="2" t="str">
        <f t="shared" si="63"/>
        <v>Error?</v>
      </c>
    </row>
    <row r="4127" spans="1:4" x14ac:dyDescent="0.2">
      <c r="A4127" s="5">
        <v>4066</v>
      </c>
      <c r="B4127" s="138">
        <f>'Acct Summary 7-8'!H10</f>
        <v>5834</v>
      </c>
      <c r="C4127" s="2" t="s">
        <v>573</v>
      </c>
      <c r="D4127" s="2" t="str">
        <f t="shared" si="63"/>
        <v>Error?</v>
      </c>
    </row>
    <row r="4128" spans="1:4" x14ac:dyDescent="0.2">
      <c r="A4128" s="5">
        <v>4067</v>
      </c>
      <c r="B4128" s="138">
        <f>'Acct Summary 7-8'!I10</f>
        <v>31068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39678</v>
      </c>
      <c r="C4130" s="2" t="s">
        <v>573</v>
      </c>
      <c r="D4130" s="2" t="str">
        <f t="shared" si="63"/>
        <v>Error?</v>
      </c>
    </row>
    <row r="4131" spans="1:4" x14ac:dyDescent="0.2">
      <c r="A4131" s="5">
        <v>4070</v>
      </c>
      <c r="B4131" s="138">
        <f>'Acct Summary 7-8'!C18</f>
        <v>886969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3415746</v>
      </c>
      <c r="C4136" s="2" t="s">
        <v>573</v>
      </c>
      <c r="D4136" s="2" t="str">
        <f t="shared" si="63"/>
        <v>Error?</v>
      </c>
    </row>
    <row r="4137" spans="1:4" x14ac:dyDescent="0.2">
      <c r="A4137" s="5">
        <v>4076</v>
      </c>
      <c r="B4137" s="138">
        <f>'Acct Summary 7-8'!D19</f>
        <v>299576</v>
      </c>
      <c r="C4137" s="2" t="s">
        <v>573</v>
      </c>
      <c r="D4137" s="2" t="str">
        <f t="shared" si="63"/>
        <v>Error?</v>
      </c>
    </row>
    <row r="4138" spans="1:4" x14ac:dyDescent="0.2">
      <c r="A4138" s="5">
        <v>4077</v>
      </c>
      <c r="B4138" s="138">
        <f>'Acct Summary 7-8'!E19</f>
        <v>245273</v>
      </c>
      <c r="C4138" s="2" t="s">
        <v>573</v>
      </c>
      <c r="D4138" s="2" t="str">
        <f t="shared" si="63"/>
        <v>Error?</v>
      </c>
    </row>
    <row r="4139" spans="1:4" x14ac:dyDescent="0.2">
      <c r="A4139" s="5">
        <v>4078</v>
      </c>
      <c r="B4139" s="138">
        <f>'Acct Summary 7-8'!F19</f>
        <v>191520</v>
      </c>
      <c r="C4139" s="2" t="s">
        <v>573</v>
      </c>
      <c r="D4139" s="2" t="str">
        <f t="shared" si="63"/>
        <v>Error?</v>
      </c>
    </row>
    <row r="4140" spans="1:4" x14ac:dyDescent="0.2">
      <c r="A4140" s="5">
        <v>4079</v>
      </c>
      <c r="B4140" s="138">
        <f>'Acct Summary 7-8'!G19</f>
        <v>80010</v>
      </c>
      <c r="C4140" s="2" t="s">
        <v>573</v>
      </c>
      <c r="D4140" s="2" t="str">
        <f t="shared" si="63"/>
        <v>Error?</v>
      </c>
    </row>
    <row r="4141" spans="1:4" x14ac:dyDescent="0.2">
      <c r="A4141" s="5">
        <v>4080</v>
      </c>
      <c r="B4141" s="138">
        <f>'Acct Summary 7-8'!H19</f>
        <v>489751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38914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3355000</v>
      </c>
      <c r="C4171" s="2" t="s">
        <v>573</v>
      </c>
      <c r="D4171" s="2" t="str">
        <f t="shared" si="64"/>
        <v>Error?</v>
      </c>
    </row>
    <row r="4172" spans="1:4" x14ac:dyDescent="0.2">
      <c r="A4172" s="5">
        <v>4111</v>
      </c>
      <c r="B4172" s="138">
        <f>'Short-Term Long-Term Debt 24'!J49</f>
        <v>3341249</v>
      </c>
      <c r="C4172" s="2" t="s">
        <v>573</v>
      </c>
      <c r="D4172" s="2" t="str">
        <f t="shared" si="64"/>
        <v>Error?</v>
      </c>
    </row>
    <row r="4173" spans="1:4" x14ac:dyDescent="0.2">
      <c r="A4173" s="5">
        <v>4112</v>
      </c>
      <c r="B4173" s="138">
        <f>'Short-Term Long-Term Debt 24'!H49</f>
        <v>111000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2716.43</v>
      </c>
      <c r="C4265" s="2" t="s">
        <v>573</v>
      </c>
      <c r="D4265" s="2" t="str">
        <f t="shared" si="65"/>
        <v>Error?</v>
      </c>
      <c r="E4265" s="128"/>
    </row>
    <row r="4266" spans="1:5" x14ac:dyDescent="0.2">
      <c r="A4266" s="12">
        <v>4205</v>
      </c>
      <c r="B4266" s="138">
        <f>('FP Info 3'!F10)*100000</f>
        <v>333.11</v>
      </c>
      <c r="C4266" s="2" t="s">
        <v>573</v>
      </c>
      <c r="D4266" s="2" t="str">
        <f t="shared" si="65"/>
        <v>Error?</v>
      </c>
      <c r="E4266" s="128"/>
    </row>
    <row r="4267" spans="1:5" x14ac:dyDescent="0.2">
      <c r="A4267" s="12">
        <v>4206</v>
      </c>
      <c r="B4267" s="138">
        <f>('FP Info 3'!H10)*100000</f>
        <v>191.55</v>
      </c>
      <c r="C4267" s="2" t="s">
        <v>573</v>
      </c>
      <c r="D4267" s="2" t="str">
        <f t="shared" si="65"/>
        <v>Error?</v>
      </c>
      <c r="E4267" s="128"/>
    </row>
    <row r="4268" spans="1:5" x14ac:dyDescent="0.2">
      <c r="A4268" s="12">
        <v>4207</v>
      </c>
      <c r="B4268" s="138">
        <f>('FP Info 3'!J10)*100000</f>
        <v>3241</v>
      </c>
      <c r="C4268" s="2" t="s">
        <v>573</v>
      </c>
      <c r="D4268" s="2" t="str">
        <f t="shared" si="65"/>
        <v>Error?</v>
      </c>
    </row>
    <row r="4269" spans="1:5" x14ac:dyDescent="0.2">
      <c r="A4269" s="12">
        <v>4208</v>
      </c>
      <c r="B4269" s="138">
        <f>'FP Info 3'!J16</f>
        <v>3355555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14961</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3705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9039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4893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48.309999999999995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28609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62529484</v>
      </c>
      <c r="D4995" s="2" t="str">
        <f t="shared" si="77"/>
        <v>Error?</v>
      </c>
    </row>
    <row r="4996" spans="1:4" x14ac:dyDescent="0.2">
      <c r="A4996" s="12">
        <v>4935</v>
      </c>
      <c r="B4996" s="138">
        <f>'FP Info 3'!H31</f>
        <v>4314534.3960000006</v>
      </c>
      <c r="D4996" s="2" t="str">
        <f t="shared" si="77"/>
        <v>Error?</v>
      </c>
    </row>
    <row r="4997" spans="1:4" x14ac:dyDescent="0.2">
      <c r="A4997" s="12">
        <v>4936</v>
      </c>
      <c r="B4997" s="138">
        <f>'FP Info 3'!H37</f>
        <v>3355000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1648491</v>
      </c>
      <c r="D5061" s="2" t="str">
        <f t="shared" si="78"/>
        <v>Error?</v>
      </c>
    </row>
    <row r="5062" spans="1:4" x14ac:dyDescent="0.2">
      <c r="A5062" s="10">
        <v>5001</v>
      </c>
      <c r="D5062" s="2" t="str">
        <f t="shared" si="78"/>
        <v>OK</v>
      </c>
    </row>
    <row r="5063" spans="1:4" x14ac:dyDescent="0.2">
      <c r="A5063" s="5">
        <v>5002</v>
      </c>
      <c r="B5063" s="138">
        <f>'Revenues 9-14'!C7</f>
        <v>15177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1663668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64073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64073</v>
      </c>
      <c r="C5071" s="2" t="s">
        <v>573</v>
      </c>
      <c r="D5071" s="2" t="str">
        <f t="shared" si="78"/>
        <v>Error?</v>
      </c>
    </row>
    <row r="5072" spans="1:4" x14ac:dyDescent="0.2">
      <c r="A5072" s="5">
        <v>5011</v>
      </c>
      <c r="B5072" s="138">
        <f>'Revenues 9-14'!C20</f>
        <v>19500</v>
      </c>
      <c r="D5072" s="2" t="str">
        <f t="shared" si="78"/>
        <v>Error?</v>
      </c>
    </row>
    <row r="5073" spans="1:4" x14ac:dyDescent="0.2">
      <c r="A5073" s="5">
        <v>5012</v>
      </c>
      <c r="B5073" s="138">
        <f>'Revenues 9-14'!C21</f>
        <v>79145</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98645</v>
      </c>
      <c r="C5087" s="2" t="s">
        <v>573</v>
      </c>
      <c r="D5087" s="2" t="str">
        <f t="shared" si="78"/>
        <v>Error?</v>
      </c>
    </row>
    <row r="5088" spans="1:4" x14ac:dyDescent="0.2">
      <c r="A5088" s="5">
        <v>5027</v>
      </c>
      <c r="B5088" s="138">
        <f>'Revenues 9-14'!C65</f>
        <v>25087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25087</v>
      </c>
      <c r="C5090" s="2" t="s">
        <v>573</v>
      </c>
      <c r="D5090" s="2" t="str">
        <f t="shared" si="78"/>
        <v>Error?</v>
      </c>
    </row>
    <row r="5091" spans="1:4" x14ac:dyDescent="0.2">
      <c r="A5091" s="5">
        <v>5030</v>
      </c>
      <c r="B5091" s="138">
        <f>'Revenues 9-14'!C70</f>
        <v>6373</v>
      </c>
      <c r="D5091" s="2" t="str">
        <f t="shared" si="78"/>
        <v>Error?</v>
      </c>
    </row>
    <row r="5092" spans="1:4" x14ac:dyDescent="0.2">
      <c r="A5092" s="5">
        <v>5031</v>
      </c>
      <c r="B5092" s="138">
        <f>'Revenues 9-14'!C71</f>
        <v>8138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39595</v>
      </c>
      <c r="C5096" s="2" t="s">
        <v>573</v>
      </c>
      <c r="D5096" s="2" t="str">
        <f t="shared" si="78"/>
        <v>Error?</v>
      </c>
    </row>
    <row r="5097" spans="1:4" x14ac:dyDescent="0.2">
      <c r="A5097" s="5">
        <v>5036</v>
      </c>
      <c r="B5097" s="138">
        <f>'Revenues 9-14'!C77</f>
        <v>6642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6642</v>
      </c>
      <c r="C5102" s="2" t="s">
        <v>573</v>
      </c>
      <c r="D5102" s="2" t="str">
        <f t="shared" si="78"/>
        <v>Error?</v>
      </c>
    </row>
    <row r="5103" spans="1:4" x14ac:dyDescent="0.2">
      <c r="A5103" s="5">
        <v>5042</v>
      </c>
      <c r="B5103" s="138">
        <f>'Revenues 9-14'!C84</f>
        <v>13363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13363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31960</v>
      </c>
      <c r="D5114" s="2" t="str">
        <f t="shared" si="78"/>
        <v>Error?</v>
      </c>
    </row>
    <row r="5115" spans="1:4" x14ac:dyDescent="0.2">
      <c r="A5115" s="5">
        <v>5054</v>
      </c>
      <c r="B5115" s="138">
        <f>'Revenues 9-14'!C98</f>
        <v>16305</v>
      </c>
      <c r="D5115" s="2" t="str">
        <f t="shared" si="78"/>
        <v>Error?</v>
      </c>
    </row>
    <row r="5116" spans="1:4" x14ac:dyDescent="0.2">
      <c r="A5116" s="5">
        <v>5055</v>
      </c>
      <c r="B5116" s="138">
        <f>'Revenues 9-14'!C99</f>
        <v>12911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379</v>
      </c>
      <c r="D5119" s="2" t="str">
        <f t="shared" ref="D5119:D5182" si="79">IF(ISBLANK(B5119),"OK",IF(A5119-B5119=0,"OK","Error?"))</f>
        <v>Error?</v>
      </c>
    </row>
    <row r="5120" spans="1:4" x14ac:dyDescent="0.2">
      <c r="A5120" s="5">
        <v>5059</v>
      </c>
      <c r="B5120" s="138">
        <f>'Revenues 9-14'!C108</f>
        <v>61555</v>
      </c>
      <c r="C5120" s="2" t="s">
        <v>573</v>
      </c>
      <c r="D5120" s="2" t="str">
        <f t="shared" si="79"/>
        <v>Error?</v>
      </c>
    </row>
    <row r="5121" spans="1:4" x14ac:dyDescent="0.2">
      <c r="A5121" s="5">
        <v>5060</v>
      </c>
      <c r="B5121" s="138">
        <f>'Revenues 9-14'!C109</f>
        <v>1972628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300189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300189</v>
      </c>
      <c r="C5132" s="2" t="s">
        <v>573</v>
      </c>
      <c r="D5132" s="2" t="str">
        <f t="shared" si="79"/>
        <v>Error?</v>
      </c>
    </row>
    <row r="5133" spans="1:4" x14ac:dyDescent="0.2">
      <c r="A5133" s="5">
        <v>5072</v>
      </c>
      <c r="B5133" s="138">
        <f>'Revenues 9-14'!C125</f>
        <v>27850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11637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1217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40704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645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41349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341538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28609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22135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11474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33609</v>
      </c>
      <c r="C5246" s="2" t="s">
        <v>573</v>
      </c>
      <c r="D5246" s="2" t="str">
        <f t="shared" si="80"/>
        <v>Error?</v>
      </c>
    </row>
    <row r="5247" spans="1:4" x14ac:dyDescent="0.2">
      <c r="A5247" s="5">
        <v>5186</v>
      </c>
      <c r="B5247" s="138">
        <f>'Revenues 9-14'!C200</f>
        <v>34670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49631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18377</v>
      </c>
      <c r="D5278" s="2" t="str">
        <f t="shared" si="81"/>
        <v>Error?</v>
      </c>
    </row>
    <row r="5279" spans="1:4" x14ac:dyDescent="0.2">
      <c r="A5279" s="5">
        <v>5218</v>
      </c>
      <c r="B5279" s="138">
        <f>'Revenues 9-14'!C214</f>
        <v>113796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132173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233050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261659</v>
      </c>
      <c r="C5326" s="2" t="s">
        <v>573</v>
      </c>
      <c r="D5326" s="2" t="str">
        <f t="shared" si="82"/>
        <v>Error?</v>
      </c>
    </row>
    <row r="5327" spans="1:5" x14ac:dyDescent="0.2">
      <c r="A5327" s="5">
        <v>5266</v>
      </c>
      <c r="B5327" s="138">
        <f>'Revenues 9-14'!C268</f>
        <v>2575825</v>
      </c>
      <c r="C5327" s="2" t="s">
        <v>573</v>
      </c>
      <c r="D5327" s="2" t="str">
        <f t="shared" si="82"/>
        <v>Error?</v>
      </c>
    </row>
    <row r="5328" spans="1:5" x14ac:dyDescent="0.2">
      <c r="A5328" s="5">
        <v>5267</v>
      </c>
      <c r="B5328" s="138">
        <f>'Revenues 9-14'!D5</f>
        <v>202288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202288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1034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1034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650</v>
      </c>
      <c r="D5354" s="2" t="str">
        <f t="shared" si="82"/>
        <v>Error?</v>
      </c>
    </row>
    <row r="5355" spans="1:4" x14ac:dyDescent="0.2">
      <c r="A5355" s="5">
        <v>5294</v>
      </c>
      <c r="B5355" s="138">
        <f>'Revenues 9-14'!D108</f>
        <v>650</v>
      </c>
      <c r="C5355" s="2" t="s">
        <v>573</v>
      </c>
      <c r="D5355" s="2" t="str">
        <f t="shared" si="82"/>
        <v>Error?</v>
      </c>
    </row>
    <row r="5356" spans="1:4" x14ac:dyDescent="0.2">
      <c r="A5356" s="5">
        <v>5295</v>
      </c>
      <c r="B5356" s="138">
        <f>'Revenues 9-14'!D109</f>
        <v>203972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107000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107000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107000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310972</v>
      </c>
      <c r="C5508" s="2" t="s">
        <v>573</v>
      </c>
      <c r="D5508" s="2" t="str">
        <f t="shared" si="85"/>
        <v>Error?</v>
      </c>
    </row>
    <row r="5509" spans="1:4" x14ac:dyDescent="0.2">
      <c r="A5509" s="5">
        <v>5448</v>
      </c>
      <c r="B5509" s="138">
        <f>'Revenues 9-14'!E5</f>
        <v>246148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246148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498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498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246646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246646</v>
      </c>
      <c r="C5552" s="2" t="s">
        <v>573</v>
      </c>
      <c r="D5552" s="2" t="str">
        <f t="shared" si="85"/>
        <v>Error?</v>
      </c>
    </row>
    <row r="5553" spans="1:4" x14ac:dyDescent="0.2">
      <c r="A5553" s="5">
        <v>5492</v>
      </c>
      <c r="B5553" s="138">
        <f>'Revenues 9-14'!F5</f>
        <v>116321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116321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814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12237</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12237</v>
      </c>
      <c r="C5587" s="2" t="s">
        <v>573</v>
      </c>
      <c r="D5587" s="2" t="str">
        <f t="shared" si="86"/>
        <v>Error?</v>
      </c>
    </row>
    <row r="5588" spans="1:4" x14ac:dyDescent="0.2">
      <c r="A5588" s="5">
        <v>5527</v>
      </c>
      <c r="B5588" s="138">
        <f>'Revenues 9-14'!F109</f>
        <v>129372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62502</v>
      </c>
      <c r="D5615" s="2" t="str">
        <f t="shared" si="86"/>
        <v>Error?</v>
      </c>
    </row>
    <row r="5616" spans="1:4" x14ac:dyDescent="0.2">
      <c r="A5616" s="10">
        <v>5555</v>
      </c>
      <c r="D5616" s="2" t="str">
        <f t="shared" si="86"/>
        <v>OK</v>
      </c>
    </row>
    <row r="5617" spans="1:5" x14ac:dyDescent="0.2">
      <c r="A5617" s="5">
        <v>5556</v>
      </c>
      <c r="B5617" s="138">
        <f>'Revenues 9-14'!F153</f>
        <v>49627</v>
      </c>
      <c r="D5617" s="2" t="str">
        <f t="shared" si="86"/>
        <v>Error?</v>
      </c>
    </row>
    <row r="5618" spans="1:5" x14ac:dyDescent="0.2">
      <c r="A5618" s="5">
        <v>5557</v>
      </c>
      <c r="B5618" s="138">
        <f>'Revenues 9-14'!F155</f>
        <v>112129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112129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112129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241501</v>
      </c>
      <c r="C5720" s="2" t="s">
        <v>573</v>
      </c>
      <c r="D5720" s="2" t="str">
        <f t="shared" si="88"/>
        <v>Error?</v>
      </c>
    </row>
    <row r="5721" spans="1:4" x14ac:dyDescent="0.2">
      <c r="A5721" s="5">
        <v>5660</v>
      </c>
      <c r="B5721" s="138">
        <f>'Revenues 9-14'!G5</f>
        <v>40474</v>
      </c>
      <c r="D5721" s="2" t="str">
        <f t="shared" si="88"/>
        <v>Error?</v>
      </c>
    </row>
    <row r="5722" spans="1:4" x14ac:dyDescent="0.2">
      <c r="A5722" s="5">
        <v>5661</v>
      </c>
      <c r="B5722" s="138">
        <f>'Revenues 9-14'!G7</f>
        <v>0</v>
      </c>
      <c r="D5722" s="2" t="str">
        <f t="shared" si="88"/>
        <v>Error?</v>
      </c>
    </row>
    <row r="5723" spans="1:4" x14ac:dyDescent="0.2">
      <c r="A5723" s="5">
        <v>5662</v>
      </c>
      <c r="B5723" s="138">
        <f>'Revenues 9-14'!G8</f>
        <v>54626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95100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7050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7050</v>
      </c>
      <c r="C5730" s="2" t="s">
        <v>573</v>
      </c>
      <c r="D5730" s="2" t="str">
        <f t="shared" si="88"/>
        <v>Error?</v>
      </c>
    </row>
    <row r="5731" spans="1:4" x14ac:dyDescent="0.2">
      <c r="A5731" s="5">
        <v>5670</v>
      </c>
      <c r="B5731" s="138">
        <f>'Revenues 9-14'!G65</f>
        <v>436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102586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5834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5834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5834</v>
      </c>
      <c r="C5915" s="2" t="s">
        <v>573</v>
      </c>
      <c r="D5915" s="2" t="str">
        <f t="shared" si="91"/>
        <v>Error?</v>
      </c>
    </row>
    <row r="5916" spans="1:4" x14ac:dyDescent="0.2">
      <c r="A5916" s="5">
        <v>5855</v>
      </c>
      <c r="B5916" s="138">
        <f>'Revenues 9-14'!I5</f>
        <v>30546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30546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522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31068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39455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39455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223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39678</v>
      </c>
      <c r="C6023" s="2" t="s">
        <v>573</v>
      </c>
      <c r="D6023" s="2" t="str">
        <f t="shared" si="93"/>
        <v>Error?</v>
      </c>
    </row>
    <row r="6024" spans="1:5" x14ac:dyDescent="0.2">
      <c r="A6024" s="5">
        <v>5963</v>
      </c>
      <c r="B6024" s="138">
        <f>'Revenues 9-14'!G109</f>
        <v>102586</v>
      </c>
      <c r="C6024" s="2" t="s">
        <v>573</v>
      </c>
      <c r="D6024" s="2" t="str">
        <f t="shared" si="93"/>
        <v>Error?</v>
      </c>
    </row>
    <row r="6025" spans="1:5" x14ac:dyDescent="0.2">
      <c r="A6025" s="5">
        <v>5964</v>
      </c>
      <c r="B6025" s="138">
        <f>'Revenues 9-14'!H109</f>
        <v>5834</v>
      </c>
      <c r="C6025" s="2" t="s">
        <v>573</v>
      </c>
      <c r="D6025" s="2" t="str">
        <f t="shared" si="93"/>
        <v>Error?</v>
      </c>
    </row>
    <row r="6026" spans="1:5" x14ac:dyDescent="0.2">
      <c r="A6026" s="5">
        <v>5965</v>
      </c>
      <c r="B6026" s="138">
        <f>'Revenues 9-14'!I109</f>
        <v>31068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39678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23153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940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192.9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77048</v>
      </c>
      <c r="D6267" s="2" t="str">
        <f t="shared" si="96"/>
        <v>Error?</v>
      </c>
      <c r="E6267" s="2" t="s">
        <v>190</v>
      </c>
    </row>
    <row r="6268" spans="1:5" x14ac:dyDescent="0.2">
      <c r="A6268">
        <v>6207</v>
      </c>
      <c r="B6268" s="138">
        <f>'Acct Summary 7-8'!D82</f>
        <v>11396</v>
      </c>
      <c r="D6268" s="2" t="str">
        <f t="shared" si="96"/>
        <v>Error?</v>
      </c>
      <c r="E6268" s="2" t="s">
        <v>190</v>
      </c>
    </row>
    <row r="6269" spans="1:5" x14ac:dyDescent="0.2">
      <c r="A6269">
        <v>6208</v>
      </c>
      <c r="B6269" s="138">
        <f>'Acct Summary 7-8'!E82</f>
        <v>1373</v>
      </c>
      <c r="D6269" s="2" t="str">
        <f t="shared" si="96"/>
        <v>Error?</v>
      </c>
      <c r="E6269" s="2" t="s">
        <v>190</v>
      </c>
    </row>
    <row r="6270" spans="1:5" x14ac:dyDescent="0.2">
      <c r="A6270">
        <v>6209</v>
      </c>
      <c r="B6270" s="138">
        <f>'Acct Summary 7-8'!F82</f>
        <v>49981</v>
      </c>
      <c r="D6270" s="2" t="str">
        <f t="shared" si="96"/>
        <v>Error?</v>
      </c>
      <c r="E6270" s="2" t="s">
        <v>190</v>
      </c>
    </row>
    <row r="6271" spans="1:5" x14ac:dyDescent="0.2">
      <c r="A6271">
        <v>6210</v>
      </c>
      <c r="B6271" s="138">
        <f>'Acct Summary 7-8'!G82</f>
        <v>22576</v>
      </c>
      <c r="D6271" s="2" t="str">
        <f t="shared" ref="D6271:D6334" si="97">IF(ISBLANK(B6271),"OK",IF(A6271-B6271=0,"OK","Error?"))</f>
        <v>Error?</v>
      </c>
      <c r="E6271" s="2" t="s">
        <v>190</v>
      </c>
    </row>
    <row r="6272" spans="1:5" x14ac:dyDescent="0.2">
      <c r="A6272">
        <v>6211</v>
      </c>
      <c r="B6272" s="138">
        <f>'Acct Summary 7-8'!H82</f>
        <v>-457317</v>
      </c>
      <c r="D6272" s="2" t="str">
        <f t="shared" si="97"/>
        <v>Error?</v>
      </c>
      <c r="E6272" s="2" t="s">
        <v>190</v>
      </c>
    </row>
    <row r="6273" spans="1:5" x14ac:dyDescent="0.2">
      <c r="A6273">
        <v>6212</v>
      </c>
      <c r="B6273" s="138">
        <f>'Acct Summary 7-8'!I82</f>
        <v>1068</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764</v>
      </c>
      <c r="D6275" s="2" t="str">
        <f t="shared" si="97"/>
        <v>Error?</v>
      </c>
      <c r="E6275" s="2" t="s">
        <v>190</v>
      </c>
    </row>
    <row r="6276" spans="1:5" x14ac:dyDescent="0.2">
      <c r="A6276">
        <v>6215</v>
      </c>
      <c r="B6276" s="138">
        <f>'Acct Summary 7-8'!C83</f>
        <v>3.2713688985581829E-2</v>
      </c>
      <c r="D6276" s="2" t="str">
        <f t="shared" si="97"/>
        <v>Error?</v>
      </c>
      <c r="E6276" s="2" t="s">
        <v>190</v>
      </c>
    </row>
    <row r="6277" spans="1:5" x14ac:dyDescent="0.2">
      <c r="A6277">
        <v>6216</v>
      </c>
      <c r="B6277" s="138">
        <f>'Acct Summary 7-8'!D83</f>
        <v>3.2064105702380045E-2</v>
      </c>
      <c r="D6277" s="2" t="str">
        <f t="shared" si="97"/>
        <v>Error?</v>
      </c>
      <c r="E6277" s="2" t="s">
        <v>190</v>
      </c>
    </row>
    <row r="6278" spans="1:5" x14ac:dyDescent="0.2">
      <c r="A6278">
        <v>6217</v>
      </c>
      <c r="B6278" s="138">
        <f>'Acct Summary 7-8'!E83</f>
        <v>9.9847283833902983E-2</v>
      </c>
      <c r="D6278" s="2" t="str">
        <f t="shared" si="97"/>
        <v>Error?</v>
      </c>
      <c r="E6278" s="2" t="s">
        <v>190</v>
      </c>
    </row>
    <row r="6279" spans="1:5" x14ac:dyDescent="0.2">
      <c r="A6279">
        <v>6218</v>
      </c>
      <c r="B6279" s="138">
        <f>'Acct Summary 7-8'!F83</f>
        <v>0.13328017876999629</v>
      </c>
      <c r="D6279" s="2" t="str">
        <f t="shared" si="97"/>
        <v>Error?</v>
      </c>
      <c r="E6279" s="2" t="s">
        <v>190</v>
      </c>
    </row>
    <row r="6280" spans="1:5" x14ac:dyDescent="0.2">
      <c r="A6280">
        <v>6219</v>
      </c>
      <c r="B6280" s="138">
        <f>'Acct Summary 7-8'!G83</f>
        <v>0.14357943740976997</v>
      </c>
      <c r="D6280" s="2" t="str">
        <f t="shared" si="97"/>
        <v>Error?</v>
      </c>
      <c r="E6280" s="2" t="s">
        <v>190</v>
      </c>
    </row>
    <row r="6281" spans="1:5" x14ac:dyDescent="0.2">
      <c r="A6281">
        <v>6220</v>
      </c>
      <c r="B6281" s="138">
        <f>'Acct Summary 7-8'!H83</f>
        <v>-2.4807401259581114</v>
      </c>
      <c r="D6281" s="2" t="str">
        <f t="shared" si="97"/>
        <v>Error?</v>
      </c>
      <c r="E6281" s="2" t="s">
        <v>190</v>
      </c>
    </row>
    <row r="6282" spans="1:5" x14ac:dyDescent="0.2">
      <c r="A6282">
        <v>6221</v>
      </c>
      <c r="B6282" s="138">
        <f>'Acct Summary 7-8'!I83</f>
        <v>3.9568305342832693E-3</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1.0623652923590349E-2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174433</v>
      </c>
      <c r="D6880" s="2" t="str">
        <f t="shared" si="106"/>
        <v>Error?</v>
      </c>
    </row>
    <row r="6881" spans="1:4" x14ac:dyDescent="0.2">
      <c r="A6881">
        <v>6820</v>
      </c>
      <c r="B6881" s="138">
        <f>'Expenditures 15-22'!K22</f>
        <v>174433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82275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82275</v>
      </c>
      <c r="D6940" s="2" t="str">
        <f t="shared" si="107"/>
        <v>Error?</v>
      </c>
    </row>
    <row r="6941" spans="1:4" x14ac:dyDescent="0.2">
      <c r="A6941">
        <v>6880</v>
      </c>
      <c r="B6941" s="138">
        <f>'Expenditures 15-22'!L52</f>
        <v>83000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240340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15399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30000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134465</v>
      </c>
      <c r="D7797" s="2" t="str">
        <f t="shared" si="127"/>
        <v>Error?</v>
      </c>
      <c r="E7797" s="4" t="s">
        <v>1904</v>
      </c>
    </row>
    <row r="7798" spans="1:5" x14ac:dyDescent="0.2">
      <c r="A7798">
        <v>7737</v>
      </c>
      <c r="B7798" s="138">
        <f>'Contracts Paid in CY 29'!F141</f>
        <v>55049</v>
      </c>
      <c r="D7798" s="2" t="str">
        <f t="shared" si="127"/>
        <v>Error?</v>
      </c>
      <c r="E7798" s="4" t="s">
        <v>1904</v>
      </c>
    </row>
    <row r="7799" spans="1:5" x14ac:dyDescent="0.2">
      <c r="A7799">
        <v>7738</v>
      </c>
      <c r="B7799" s="138">
        <f>'Contracts Paid in CY 29'!G141</f>
        <v>79416</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31" t="s">
        <v>1191</v>
      </c>
      <c r="B2" s="2431"/>
      <c r="C2" s="2431"/>
      <c r="D2" s="2431"/>
      <c r="E2" s="2431"/>
      <c r="F2" s="2431"/>
      <c r="G2" s="2431"/>
      <c r="H2" s="2431"/>
      <c r="I2" s="2431"/>
      <c r="J2" s="2431"/>
      <c r="K2" s="2431"/>
      <c r="L2" s="2431"/>
    </row>
    <row r="3" spans="1:29" ht="13.5" customHeight="1" x14ac:dyDescent="0.2">
      <c r="A3" s="2462" t="s">
        <v>1190</v>
      </c>
      <c r="B3" s="2462"/>
      <c r="C3" s="2462"/>
      <c r="D3" s="2462"/>
      <c r="E3" s="2462"/>
      <c r="F3" s="2462"/>
      <c r="G3" s="2462"/>
      <c r="H3" s="2462"/>
      <c r="I3" s="2462"/>
      <c r="J3" s="2462"/>
      <c r="K3" s="2462"/>
      <c r="L3" s="2462"/>
    </row>
    <row r="4" spans="1:29" ht="13.5" customHeight="1" x14ac:dyDescent="0.2">
      <c r="A4" s="2431" t="s">
        <v>1989</v>
      </c>
      <c r="B4" s="2452"/>
      <c r="C4" s="2452"/>
      <c r="D4" s="2452"/>
      <c r="E4" s="2452"/>
      <c r="F4" s="2452"/>
      <c r="G4" s="2452"/>
      <c r="H4" s="2452"/>
      <c r="I4" s="2452"/>
      <c r="J4" s="2452"/>
      <c r="K4" s="2452"/>
      <c r="L4" s="2452"/>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53" t="str">
        <f>COVER!A17</f>
        <v>Rankin CSD 98</v>
      </c>
      <c r="B7" s="2454"/>
      <c r="C7" s="2454"/>
      <c r="D7" s="2455"/>
      <c r="E7" s="2456">
        <f>COVER!A13</f>
        <v>53090098002</v>
      </c>
      <c r="F7" s="2457"/>
      <c r="G7" s="2463" t="str">
        <f>COVER!T23</f>
        <v>066-005027</v>
      </c>
      <c r="H7" s="2464"/>
      <c r="I7" s="2464"/>
      <c r="J7" s="2464"/>
      <c r="K7" s="2464"/>
      <c r="L7" s="2465"/>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66"/>
      <c r="B9" s="2467"/>
      <c r="C9" s="2467"/>
      <c r="D9" s="2467"/>
      <c r="E9" s="2467"/>
      <c r="F9" s="2468"/>
      <c r="G9" s="2437" t="str">
        <f>COVER!T13</f>
        <v>Gorenz and Associates, Ltd.</v>
      </c>
      <c r="H9" s="2469"/>
      <c r="I9" s="2469"/>
      <c r="J9" s="2469"/>
      <c r="K9" s="2469"/>
      <c r="L9" s="2470"/>
    </row>
    <row r="10" spans="1:29" ht="13.5" customHeight="1" x14ac:dyDescent="0.2">
      <c r="A10" s="2443" t="str">
        <f>COVER!A38</f>
        <v>Matt Gordon</v>
      </c>
      <c r="B10" s="2444"/>
      <c r="C10" s="2444"/>
      <c r="D10" s="2444"/>
      <c r="E10" s="2444"/>
      <c r="F10" s="2445"/>
      <c r="G10" s="2437" t="str">
        <f>COVER!T17</f>
        <v>4200 N Knoxville Ave</v>
      </c>
      <c r="H10" s="2438"/>
      <c r="I10" s="2438"/>
      <c r="J10" s="2438"/>
      <c r="K10" s="2438"/>
      <c r="L10" s="2439"/>
    </row>
    <row r="11" spans="1:29" ht="13.5" customHeight="1" x14ac:dyDescent="0.2">
      <c r="A11" s="1181" t="s">
        <v>1519</v>
      </c>
      <c r="B11" s="1182"/>
      <c r="C11" s="1183"/>
      <c r="D11" s="1188"/>
      <c r="E11" s="1183"/>
      <c r="F11" s="1187"/>
      <c r="G11" s="2437" t="str">
        <f>COVER!T19</f>
        <v>Peoria</v>
      </c>
      <c r="H11" s="2438"/>
      <c r="I11" s="2438"/>
      <c r="J11" s="2438"/>
      <c r="K11" s="2438"/>
      <c r="L11" s="2439"/>
    </row>
    <row r="12" spans="1:29" ht="13.5" customHeight="1" x14ac:dyDescent="0.2">
      <c r="A12" s="2446" t="s">
        <v>1518</v>
      </c>
      <c r="B12" s="2447"/>
      <c r="C12" s="2447"/>
      <c r="D12" s="2447"/>
      <c r="E12" s="2447"/>
      <c r="F12" s="2448"/>
      <c r="G12" s="2440"/>
      <c r="H12" s="2441"/>
      <c r="I12" s="2441"/>
      <c r="J12" s="2441"/>
      <c r="K12" s="2441"/>
      <c r="L12" s="2442"/>
    </row>
    <row r="13" spans="1:29" ht="13.5" customHeight="1" x14ac:dyDescent="0.2">
      <c r="A13" s="2437"/>
      <c r="B13" s="2438"/>
      <c r="C13" s="2438"/>
      <c r="D13" s="2438"/>
      <c r="E13" s="2438"/>
      <c r="F13" s="2439"/>
      <c r="G13" s="2432" t="s">
        <v>1520</v>
      </c>
      <c r="H13" s="2433"/>
      <c r="I13" s="2449" t="str">
        <f>COVER!T25</f>
        <v>rrumbold@gorenzcpa.com</v>
      </c>
      <c r="J13" s="2450"/>
      <c r="K13" s="2450"/>
      <c r="L13" s="2451"/>
    </row>
    <row r="14" spans="1:29" ht="13.5" customHeight="1" x14ac:dyDescent="0.2">
      <c r="A14" s="2437" t="str">
        <f>COVER!A19</f>
        <v>13716 South 5th Street</v>
      </c>
      <c r="B14" s="2438"/>
      <c r="C14" s="2438"/>
      <c r="D14" s="2438"/>
      <c r="E14" s="2438"/>
      <c r="F14" s="2439"/>
      <c r="G14" s="1192" t="s">
        <v>1185</v>
      </c>
      <c r="H14" s="1190"/>
      <c r="I14" s="1190"/>
      <c r="J14" s="1190"/>
      <c r="K14" s="1190"/>
      <c r="L14" s="1191"/>
    </row>
    <row r="15" spans="1:29" ht="13.5" customHeight="1" x14ac:dyDescent="0.2">
      <c r="A15" s="2437" t="str">
        <f>COVER!A21</f>
        <v>Pekin</v>
      </c>
      <c r="B15" s="2438"/>
      <c r="C15" s="2438"/>
      <c r="D15" s="2438"/>
      <c r="E15" s="2438"/>
      <c r="F15" s="2439"/>
      <c r="G15" s="2434" t="str">
        <f>COVER!T15</f>
        <v>Russell J. Rumbold II, CPA</v>
      </c>
      <c r="H15" s="2435"/>
      <c r="I15" s="2435"/>
      <c r="J15" s="2435"/>
      <c r="K15" s="2435"/>
      <c r="L15" s="2436"/>
    </row>
    <row r="16" spans="1:29" ht="12.2" customHeight="1" x14ac:dyDescent="0.2">
      <c r="A16" s="2459">
        <f>COVER!A25</f>
        <v>61554</v>
      </c>
      <c r="B16" s="2460"/>
      <c r="C16" s="2460"/>
      <c r="D16" s="2460"/>
      <c r="E16" s="2460"/>
      <c r="F16" s="2461"/>
      <c r="G16" s="2471"/>
      <c r="H16" s="2472"/>
      <c r="I16" s="2472"/>
      <c r="J16" s="2472"/>
      <c r="K16" s="2472"/>
      <c r="L16" s="2473"/>
    </row>
    <row r="17" spans="1:13" ht="12.2" customHeight="1" x14ac:dyDescent="0.2">
      <c r="A17" s="2474"/>
      <c r="B17" s="2460"/>
      <c r="C17" s="2460"/>
      <c r="D17" s="2460"/>
      <c r="E17" s="2460"/>
      <c r="F17" s="2461"/>
      <c r="G17" s="1192" t="s">
        <v>1184</v>
      </c>
      <c r="H17" s="1190"/>
      <c r="I17" s="1190"/>
      <c r="J17" s="1190"/>
      <c r="K17" s="1194" t="s">
        <v>1183</v>
      </c>
      <c r="L17" s="1187"/>
      <c r="M17" s="1180"/>
    </row>
    <row r="18" spans="1:13" ht="12.2" customHeight="1" x14ac:dyDescent="0.2">
      <c r="A18" s="2443"/>
      <c r="B18" s="2444"/>
      <c r="C18" s="2444"/>
      <c r="D18" s="2444"/>
      <c r="E18" s="2444"/>
      <c r="F18" s="2445"/>
      <c r="G18" s="2453" t="str">
        <f>COVER!T21</f>
        <v>309-685-7621</v>
      </c>
      <c r="H18" s="2454"/>
      <c r="I18" s="2454"/>
      <c r="J18" s="2454"/>
      <c r="K18" s="2453" t="str">
        <f>COVER!X21</f>
        <v>309-685-4758</v>
      </c>
      <c r="L18" s="2458"/>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75" t="str">
        <f>'Single Audit Cover'!A7</f>
        <v>Rankin CSD 98</v>
      </c>
      <c r="B1" s="2452"/>
      <c r="C1" s="2452"/>
      <c r="D1" s="2452"/>
    </row>
    <row r="2" spans="1:11" s="1209" customFormat="1" ht="12.75" x14ac:dyDescent="0.2">
      <c r="A2" s="2476">
        <f>'Single Audit Cover'!E7</f>
        <v>53090098002</v>
      </c>
      <c r="B2" s="2477"/>
      <c r="C2" s="2477"/>
      <c r="D2" s="2477"/>
    </row>
    <row r="3" spans="1:11" s="1209" customFormat="1" ht="12.75" x14ac:dyDescent="0.2">
      <c r="A3" s="2475" t="s">
        <v>1513</v>
      </c>
      <c r="B3" s="2452"/>
      <c r="C3" s="2452"/>
      <c r="D3" s="2452"/>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79" t="str">
        <f>'Single Audit Cover'!A7</f>
        <v>Rankin CSD 98</v>
      </c>
      <c r="B1" s="2479"/>
      <c r="C1" s="2479"/>
      <c r="D1" s="2479"/>
      <c r="E1" s="2479"/>
    </row>
    <row r="2" spans="1:5" x14ac:dyDescent="0.2">
      <c r="A2" s="2480">
        <f>'Single Audit Cover'!E7</f>
        <v>53090098002</v>
      </c>
      <c r="B2" s="2480"/>
      <c r="C2" s="2480"/>
      <c r="D2" s="2480"/>
      <c r="E2" s="2480"/>
    </row>
    <row r="3" spans="1:5" ht="4.5" customHeight="1" x14ac:dyDescent="0.2"/>
    <row r="4" spans="1:5" x14ac:dyDescent="0.2">
      <c r="A4" s="2479" t="s">
        <v>1245</v>
      </c>
      <c r="B4" s="2479"/>
      <c r="C4" s="2479"/>
      <c r="D4" s="2479"/>
      <c r="E4" s="2479"/>
    </row>
    <row r="5" spans="1:5" x14ac:dyDescent="0.2">
      <c r="A5" s="2482" t="str">
        <f>'Single Audit Cover'!A4</f>
        <v>Year Ending June 30, 2019</v>
      </c>
      <c r="B5" s="2482"/>
      <c r="C5" s="2482"/>
      <c r="D5" s="2482"/>
      <c r="E5" s="2482"/>
    </row>
    <row r="6" spans="1:5" x14ac:dyDescent="0.2">
      <c r="A6" s="2479" t="s">
        <v>1244</v>
      </c>
      <c r="B6" s="2479"/>
      <c r="C6" s="2479"/>
      <c r="D6" s="2479"/>
      <c r="E6" s="2479"/>
    </row>
    <row r="8" spans="1:5" x14ac:dyDescent="0.2">
      <c r="A8" s="1254" t="s">
        <v>1243</v>
      </c>
    </row>
    <row r="10" spans="1:5" x14ac:dyDescent="0.2">
      <c r="A10" s="1255" t="s">
        <v>1242</v>
      </c>
      <c r="B10" s="1256" t="s">
        <v>1241</v>
      </c>
      <c r="C10" s="1256"/>
      <c r="D10" s="1257">
        <f>SUM('Acct Summary 7-8'!C7:K7)</f>
        <v>261659</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940</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-9039</v>
      </c>
    </row>
    <row r="19" spans="1:4" ht="13.5" thickBot="1" x14ac:dyDescent="0.25">
      <c r="A19" s="1259" t="s">
        <v>1235</v>
      </c>
      <c r="D19" s="1260">
        <f>SUM(D10:D17)</f>
        <v>253560</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81"/>
      <c r="B24" s="2481"/>
      <c r="D24" s="1262"/>
    </row>
    <row r="25" spans="1:4" x14ac:dyDescent="0.2">
      <c r="A25" s="2478"/>
      <c r="B25" s="2478"/>
      <c r="D25" s="1262"/>
    </row>
    <row r="26" spans="1:4" x14ac:dyDescent="0.2">
      <c r="A26" s="2478"/>
      <c r="B26" s="2478"/>
      <c r="D26" s="1262"/>
    </row>
    <row r="27" spans="1:4" x14ac:dyDescent="0.2">
      <c r="A27" s="2478"/>
      <c r="B27" s="2478"/>
      <c r="D27" s="1262"/>
    </row>
    <row r="28" spans="1:4" x14ac:dyDescent="0.2">
      <c r="A28" s="2478"/>
      <c r="B28" s="2478"/>
      <c r="D28" s="1262"/>
    </row>
    <row r="29" spans="1:4" x14ac:dyDescent="0.2">
      <c r="A29" s="2478"/>
      <c r="B29" s="2478"/>
      <c r="D29" s="1262"/>
    </row>
    <row r="30" spans="1:4" x14ac:dyDescent="0.2">
      <c r="A30" s="2478"/>
      <c r="B30" s="2478"/>
      <c r="D30" s="1262"/>
    </row>
    <row r="32" spans="1:4" x14ac:dyDescent="0.2">
      <c r="A32" s="1254" t="s">
        <v>1233</v>
      </c>
      <c r="D32" s="1257">
        <f>SUM(D19:D30)</f>
        <v>253560</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78"/>
      <c r="B40" s="2478"/>
      <c r="D40" s="1262"/>
    </row>
    <row r="41" spans="1:4" x14ac:dyDescent="0.2">
      <c r="A41" s="2478"/>
      <c r="B41" s="2478"/>
      <c r="D41" s="1265"/>
    </row>
    <row r="42" spans="1:4" x14ac:dyDescent="0.2">
      <c r="A42" s="2478"/>
      <c r="B42" s="2478"/>
      <c r="D42" s="1265"/>
    </row>
    <row r="43" spans="1:4" x14ac:dyDescent="0.2">
      <c r="A43" s="2478"/>
      <c r="B43" s="2478"/>
      <c r="D43" s="1265"/>
    </row>
    <row r="44" spans="1:4" x14ac:dyDescent="0.2">
      <c r="A44" s="2478"/>
      <c r="B44" s="2478"/>
      <c r="D44" s="1265"/>
    </row>
    <row r="45" spans="1:4" x14ac:dyDescent="0.2">
      <c r="A45" s="2478"/>
      <c r="B45" s="2478"/>
      <c r="D45" s="1265"/>
    </row>
    <row r="47" spans="1:4" x14ac:dyDescent="0.2">
      <c r="B47" s="1266" t="s">
        <v>1227</v>
      </c>
      <c r="C47" s="1266"/>
      <c r="D47" s="1267">
        <f>SUM(D35:D45)</f>
        <v>0</v>
      </c>
    </row>
    <row r="49" spans="2:4" x14ac:dyDescent="0.2">
      <c r="B49" s="1266" t="s">
        <v>1226</v>
      </c>
      <c r="C49" s="1266"/>
      <c r="D49" s="1267">
        <f>D32-D47</f>
        <v>253560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62" t="str">
        <f>'Single Audit Cover'!A7</f>
        <v>Rankin CSD 98</v>
      </c>
      <c r="C1" s="2483"/>
      <c r="D1" s="2483"/>
      <c r="E1" s="2483"/>
      <c r="F1" s="2483"/>
      <c r="G1" s="2483"/>
      <c r="H1" s="2483"/>
      <c r="I1" s="2483"/>
      <c r="J1" s="2483"/>
      <c r="K1" s="2483"/>
      <c r="L1" s="2483"/>
      <c r="M1" s="2483"/>
    </row>
    <row r="2" spans="2:14" ht="15" x14ac:dyDescent="0.2">
      <c r="B2" s="2484">
        <f>'Single Audit Cover'!E7</f>
        <v>53090098002</v>
      </c>
      <c r="C2" s="2484"/>
      <c r="D2" s="2484"/>
      <c r="E2" s="2484"/>
      <c r="F2" s="2484"/>
      <c r="G2" s="2484"/>
      <c r="H2" s="2484"/>
      <c r="I2" s="2484"/>
      <c r="J2" s="2484"/>
      <c r="K2" s="2484"/>
      <c r="L2" s="2484"/>
      <c r="M2" s="2484"/>
      <c r="N2" s="1296"/>
    </row>
    <row r="3" spans="2:14" ht="15" x14ac:dyDescent="0.2">
      <c r="B3" s="2485" t="s">
        <v>1219</v>
      </c>
      <c r="C3" s="2485"/>
      <c r="D3" s="2485"/>
      <c r="E3" s="2485"/>
      <c r="F3" s="2485"/>
      <c r="G3" s="2485"/>
      <c r="H3" s="2485"/>
      <c r="I3" s="2485"/>
      <c r="J3" s="2485"/>
      <c r="K3" s="2485"/>
      <c r="L3" s="2485"/>
      <c r="M3" s="2485"/>
      <c r="N3" s="1296"/>
    </row>
    <row r="4" spans="2:14" ht="15" x14ac:dyDescent="0.2">
      <c r="B4" s="2486" t="str">
        <f>'Single Audit Cover'!A4</f>
        <v>Year Ending June 30, 2019</v>
      </c>
      <c r="C4" s="2486"/>
      <c r="D4" s="2486"/>
      <c r="E4" s="2486"/>
      <c r="F4" s="2486"/>
      <c r="G4" s="2486"/>
      <c r="H4" s="2486"/>
      <c r="I4" s="2486"/>
      <c r="J4" s="2486"/>
      <c r="K4" s="2486"/>
      <c r="L4" s="2486"/>
      <c r="M4" s="2486"/>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t="s">
        <v>1169</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96" t="str">
        <f>'Single Audit Cover'!A7</f>
        <v>Rankin CSD 98</v>
      </c>
      <c r="B1" s="2496"/>
      <c r="C1" s="2496"/>
      <c r="D1" s="2496"/>
      <c r="E1" s="2496"/>
      <c r="F1" s="2496"/>
    </row>
    <row r="2" spans="1:7" ht="13.5" customHeight="1" x14ac:dyDescent="0.2">
      <c r="A2" s="2484">
        <f>'Single Audit Cover'!E7</f>
        <v>53090098002</v>
      </c>
      <c r="B2" s="2484"/>
      <c r="C2" s="2484"/>
      <c r="D2" s="2484"/>
      <c r="E2" s="2484"/>
      <c r="F2" s="2484"/>
      <c r="G2" s="1269"/>
    </row>
    <row r="3" spans="1:7" ht="15.75" customHeight="1" x14ac:dyDescent="0.2">
      <c r="A3" s="2497" t="s">
        <v>1271</v>
      </c>
      <c r="B3" s="2497"/>
      <c r="C3" s="2497"/>
      <c r="D3" s="2497"/>
      <c r="E3" s="2497"/>
      <c r="F3" s="2497"/>
    </row>
    <row r="4" spans="1:7" ht="13.5" customHeight="1" x14ac:dyDescent="0.2">
      <c r="A4" s="2498" t="str">
        <f>'Single Audit Cover'!A4</f>
        <v>Year Ending June 30, 2019</v>
      </c>
      <c r="B4" s="2498"/>
      <c r="C4" s="2498"/>
      <c r="D4" s="2498"/>
      <c r="E4" s="2498"/>
      <c r="F4" s="2498"/>
    </row>
    <row r="5" spans="1:7" ht="8.25" customHeight="1" x14ac:dyDescent="0.2">
      <c r="C5" s="317"/>
      <c r="D5" s="317"/>
    </row>
    <row r="6" spans="1:7" ht="13.5" customHeight="1" x14ac:dyDescent="0.2">
      <c r="A6" s="1270" t="s">
        <v>1728</v>
      </c>
      <c r="C6" s="317"/>
      <c r="D6" s="317"/>
    </row>
    <row r="7" spans="1:7" ht="60.95" customHeight="1" x14ac:dyDescent="0.2">
      <c r="A7" s="2495" t="s">
        <v>1729</v>
      </c>
      <c r="B7" s="2495"/>
      <c r="C7" s="2495"/>
      <c r="D7" s="2495"/>
      <c r="E7" s="2495"/>
      <c r="F7" s="2495"/>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95" t="s">
        <v>1731</v>
      </c>
      <c r="B13" s="2495"/>
      <c r="C13" s="2495"/>
      <c r="D13" s="2495"/>
      <c r="E13" s="2495"/>
      <c r="F13" s="2495"/>
    </row>
    <row r="14" spans="1:7" ht="9.75" customHeight="1" x14ac:dyDescent="0.2">
      <c r="C14" s="1254"/>
      <c r="D14" s="1254"/>
    </row>
    <row r="15" spans="1:7" ht="13.5" customHeight="1" x14ac:dyDescent="0.2">
      <c r="C15" s="1843" t="s">
        <v>1270</v>
      </c>
      <c r="D15" s="2493" t="s">
        <v>1269</v>
      </c>
      <c r="E15" s="2493"/>
      <c r="F15" s="2493"/>
    </row>
    <row r="16" spans="1:7" ht="13.5" customHeight="1" x14ac:dyDescent="0.2">
      <c r="A16" s="1276"/>
      <c r="B16" s="1270" t="s">
        <v>1268</v>
      </c>
      <c r="C16" s="1843" t="s">
        <v>1267</v>
      </c>
      <c r="D16" s="2494" t="s">
        <v>1588</v>
      </c>
      <c r="E16" s="2494"/>
      <c r="F16" s="2494"/>
    </row>
    <row r="17" spans="1:6" ht="20.45" customHeight="1" x14ac:dyDescent="0.2">
      <c r="A17" s="1277"/>
      <c r="B17" s="1278"/>
      <c r="C17" s="1279"/>
      <c r="D17" s="2488"/>
      <c r="E17" s="2488"/>
      <c r="F17" s="2488"/>
    </row>
    <row r="18" spans="1:6" ht="20.65" customHeight="1" x14ac:dyDescent="0.2">
      <c r="A18" s="1277"/>
      <c r="B18" s="1278"/>
      <c r="C18" s="1279"/>
      <c r="D18" s="2488"/>
      <c r="E18" s="2488"/>
      <c r="F18" s="2488"/>
    </row>
    <row r="19" spans="1:6" ht="20.65" customHeight="1" x14ac:dyDescent="0.2">
      <c r="A19" s="1277"/>
      <c r="B19" s="1278"/>
      <c r="C19" s="1279"/>
      <c r="D19" s="2488"/>
      <c r="E19" s="2488"/>
      <c r="F19" s="2488"/>
    </row>
    <row r="20" spans="1:6" ht="20.65" customHeight="1" x14ac:dyDescent="0.2">
      <c r="A20" s="1277"/>
      <c r="B20" s="1278"/>
      <c r="C20" s="1279"/>
      <c r="D20" s="2488"/>
      <c r="E20" s="2488"/>
      <c r="F20" s="2488"/>
    </row>
    <row r="21" spans="1:6" ht="20.65" customHeight="1" x14ac:dyDescent="0.2">
      <c r="A21" s="1277"/>
      <c r="B21" s="1278"/>
      <c r="C21" s="1279"/>
      <c r="D21" s="2488"/>
      <c r="E21" s="2488"/>
      <c r="F21" s="2488"/>
    </row>
    <row r="22" spans="1:6" ht="20.65" customHeight="1" x14ac:dyDescent="0.2">
      <c r="A22" s="1277"/>
      <c r="B22" s="1278"/>
      <c r="C22" s="1279"/>
      <c r="D22" s="2488"/>
      <c r="E22" s="2488"/>
      <c r="F22" s="2488"/>
    </row>
    <row r="23" spans="1:6" ht="20.65" customHeight="1" x14ac:dyDescent="0.2">
      <c r="A23" s="1277"/>
      <c r="B23" s="1278"/>
      <c r="C23" s="1279"/>
      <c r="D23" s="2488"/>
      <c r="E23" s="2488"/>
      <c r="F23" s="2488"/>
    </row>
    <row r="24" spans="1:6" ht="20.65" customHeight="1" x14ac:dyDescent="0.2">
      <c r="A24" s="1277"/>
      <c r="B24" s="1278"/>
      <c r="C24" s="1279"/>
      <c r="D24" s="2488"/>
      <c r="E24" s="2488"/>
      <c r="F24" s="2488"/>
    </row>
    <row r="25" spans="1:6" ht="20.65" customHeight="1" x14ac:dyDescent="0.2">
      <c r="A25" s="1277"/>
      <c r="B25" s="1278"/>
      <c r="C25" s="1279"/>
      <c r="D25" s="2488"/>
      <c r="E25" s="2488"/>
      <c r="F25" s="2488"/>
    </row>
    <row r="26" spans="1:6" ht="20.65" customHeight="1" x14ac:dyDescent="0.2">
      <c r="A26" s="1277"/>
      <c r="B26" s="1278"/>
      <c r="C26" s="1279"/>
      <c r="D26" s="2488"/>
      <c r="E26" s="2488"/>
      <c r="F26" s="2488"/>
    </row>
    <row r="27" spans="1:6" ht="20.65" customHeight="1" x14ac:dyDescent="0.2">
      <c r="A27" s="1277"/>
      <c r="B27" s="1278"/>
      <c r="C27" s="1279"/>
      <c r="D27" s="2488"/>
      <c r="E27" s="2488"/>
      <c r="F27" s="2488"/>
    </row>
    <row r="28" spans="1:6" ht="20.65" customHeight="1" x14ac:dyDescent="0.2">
      <c r="A28" s="1277"/>
      <c r="B28" s="1278"/>
      <c r="C28" s="1279"/>
      <c r="D28" s="2488"/>
      <c r="E28" s="2488"/>
      <c r="F28" s="2488"/>
    </row>
    <row r="29" spans="1:6" ht="20.65" customHeight="1" x14ac:dyDescent="0.2">
      <c r="A29" s="1277"/>
      <c r="B29" s="1278"/>
      <c r="C29" s="1279"/>
      <c r="D29" s="2488"/>
      <c r="E29" s="2488"/>
      <c r="F29" s="2488"/>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89" t="s">
        <v>1732</v>
      </c>
      <c r="B32" s="2489"/>
      <c r="C32" s="2489"/>
      <c r="D32" s="2489"/>
      <c r="E32" s="2489"/>
      <c r="F32" s="2489"/>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90">
        <f>+C33+C34</f>
        <v>0</v>
      </c>
      <c r="F34" s="2491"/>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92" t="s">
        <v>1590</v>
      </c>
      <c r="C49" s="2492"/>
      <c r="D49" s="2492"/>
      <c r="E49" s="1393"/>
    </row>
    <row r="50" spans="1:5" s="1294" customFormat="1" ht="3.75" customHeight="1" x14ac:dyDescent="0.2">
      <c r="A50" s="1293"/>
      <c r="B50" s="1842"/>
      <c r="C50" s="1842"/>
      <c r="D50" s="1842"/>
      <c r="E50" s="1393"/>
    </row>
    <row r="51" spans="1:5" s="1294" customFormat="1" ht="20.25" customHeight="1" x14ac:dyDescent="0.2">
      <c r="A51" s="1295">
        <v>6</v>
      </c>
      <c r="B51" s="2487" t="s">
        <v>1551</v>
      </c>
      <c r="C51" s="2487"/>
      <c r="D51" s="2487"/>
    </row>
    <row r="52" spans="1:5" ht="14.25" customHeight="1" x14ac:dyDescent="0.2">
      <c r="A52" s="1295"/>
      <c r="B52" s="2487"/>
      <c r="C52" s="2487"/>
      <c r="D52" s="248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0" t="str">
        <f>'Single Audit Cover'!A7</f>
        <v>Rankin CSD 98</v>
      </c>
      <c r="C1" s="2511"/>
      <c r="D1" s="2511"/>
      <c r="E1" s="2511"/>
      <c r="F1" s="2511"/>
      <c r="G1" s="2511"/>
      <c r="H1" s="2511"/>
      <c r="I1" s="2511"/>
      <c r="J1" s="1403"/>
    </row>
    <row r="2" spans="2:10" s="317" customFormat="1" ht="12.75" customHeight="1" x14ac:dyDescent="0.2">
      <c r="B2" s="2512">
        <f>'Single Audit Cover'!E7</f>
        <v>53090098002</v>
      </c>
      <c r="C2" s="2513"/>
      <c r="D2" s="2513"/>
      <c r="E2" s="2513"/>
      <c r="F2" s="2513"/>
      <c r="G2" s="2513"/>
      <c r="H2" s="2513"/>
      <c r="I2" s="2513"/>
      <c r="J2" s="1403"/>
    </row>
    <row r="3" spans="2:10" s="317" customFormat="1" ht="12.75" customHeight="1" x14ac:dyDescent="0.2">
      <c r="B3" s="2514" t="s">
        <v>1285</v>
      </c>
      <c r="C3" s="2515"/>
      <c r="D3" s="2515"/>
      <c r="E3" s="2515"/>
      <c r="F3" s="2515"/>
      <c r="G3" s="2515"/>
      <c r="H3" s="2515"/>
      <c r="I3" s="2515"/>
      <c r="J3" s="1404"/>
    </row>
    <row r="4" spans="2:10" s="317" customFormat="1" ht="12.75" customHeight="1" x14ac:dyDescent="0.2">
      <c r="B4" s="2514" t="str">
        <f>'Single Audit Cover'!A4</f>
        <v>Year Ending June 30, 2019</v>
      </c>
      <c r="C4" s="2515"/>
      <c r="D4" s="2515"/>
      <c r="E4" s="2515"/>
      <c r="F4" s="2515"/>
      <c r="G4" s="2515"/>
      <c r="H4" s="2515"/>
      <c r="I4" s="251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514" t="s">
        <v>1284</v>
      </c>
      <c r="C7" s="2515"/>
      <c r="D7" s="2515"/>
      <c r="E7" s="2515"/>
      <c r="F7" s="2515"/>
      <c r="G7" s="2515"/>
      <c r="H7" s="2515"/>
      <c r="I7" s="251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516"/>
      <c r="D11" s="251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517"/>
      <c r="E29" s="2517"/>
      <c r="F29" s="2517"/>
      <c r="G29" s="2517"/>
      <c r="H29" s="2517"/>
      <c r="I29" s="251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518" t="s">
        <v>1751</v>
      </c>
      <c r="D37" s="2519"/>
      <c r="E37" s="2519"/>
      <c r="F37" s="2520"/>
      <c r="G37" s="2518" t="s">
        <v>1592</v>
      </c>
      <c r="H37" s="2519"/>
      <c r="I37" s="2520"/>
    </row>
    <row r="38" spans="2:9" ht="16.5" customHeight="1" x14ac:dyDescent="0.2">
      <c r="B38" s="1425"/>
      <c r="C38" s="2506"/>
      <c r="D38" s="2507"/>
      <c r="E38" s="2507"/>
      <c r="F38" s="2508"/>
      <c r="G38" s="2521"/>
      <c r="H38" s="2522"/>
      <c r="I38" s="2523"/>
    </row>
    <row r="39" spans="2:9" ht="16.5" customHeight="1" x14ac:dyDescent="0.2">
      <c r="B39" s="1425"/>
      <c r="C39" s="2506"/>
      <c r="D39" s="2507"/>
      <c r="E39" s="2507"/>
      <c r="F39" s="2508"/>
      <c r="G39" s="2509"/>
      <c r="H39" s="2509"/>
      <c r="I39" s="2509"/>
    </row>
    <row r="40" spans="2:9" ht="16.5" customHeight="1" x14ac:dyDescent="0.2">
      <c r="B40" s="1425"/>
      <c r="C40" s="2506"/>
      <c r="D40" s="2507"/>
      <c r="E40" s="2507"/>
      <c r="F40" s="2508"/>
      <c r="G40" s="2509"/>
      <c r="H40" s="2509"/>
      <c r="I40" s="2509"/>
    </row>
    <row r="41" spans="2:9" ht="16.5" customHeight="1" x14ac:dyDescent="0.2">
      <c r="B41" s="1425"/>
      <c r="C41" s="2506"/>
      <c r="D41" s="2507"/>
      <c r="E41" s="2507"/>
      <c r="F41" s="2508"/>
      <c r="G41" s="2509"/>
      <c r="H41" s="2509"/>
      <c r="I41" s="2509"/>
    </row>
    <row r="42" spans="2:9" ht="16.5" customHeight="1" x14ac:dyDescent="0.2">
      <c r="B42" s="1425"/>
      <c r="C42" s="2506"/>
      <c r="D42" s="2507"/>
      <c r="E42" s="2507"/>
      <c r="F42" s="2508"/>
      <c r="G42" s="2509"/>
      <c r="H42" s="2509"/>
      <c r="I42" s="2509"/>
    </row>
    <row r="43" spans="2:9" ht="16.5" customHeight="1" x14ac:dyDescent="0.2">
      <c r="B43" s="1425"/>
      <c r="C43" s="2499" t="s">
        <v>1593</v>
      </c>
      <c r="D43" s="2500"/>
      <c r="E43" s="2500"/>
      <c r="F43" s="2501"/>
      <c r="G43" s="2502">
        <f>SUM(G38:I42)</f>
        <v>0</v>
      </c>
      <c r="H43" s="2502"/>
      <c r="I43" s="2502"/>
    </row>
    <row r="44" spans="2:9" ht="12.75" customHeight="1" x14ac:dyDescent="0.2"/>
    <row r="45" spans="2:9" ht="12.75" customHeight="1" x14ac:dyDescent="0.2">
      <c r="B45" s="1416" t="s">
        <v>1841</v>
      </c>
      <c r="D45" s="2503">
        <v>0</v>
      </c>
      <c r="E45" s="2504"/>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505"/>
      <c r="F49" s="2505"/>
      <c r="G49" s="2505"/>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0" t="str">
        <f>'Single Audit Cover'!A7</f>
        <v>Rankin CSD 98</v>
      </c>
      <c r="C1" s="2510"/>
      <c r="D1" s="2510"/>
      <c r="E1" s="2510"/>
      <c r="F1" s="2510"/>
      <c r="G1" s="2510"/>
      <c r="H1" s="2510"/>
      <c r="I1" s="2510"/>
      <c r="J1" s="2510"/>
      <c r="K1" s="2510"/>
      <c r="L1" s="1368"/>
      <c r="M1" s="1368"/>
    </row>
    <row r="2" spans="1:13" ht="12" customHeight="1" x14ac:dyDescent="0.2">
      <c r="B2" s="2512">
        <f>'Single Audit Cover'!E7</f>
        <v>53090098002</v>
      </c>
      <c r="C2" s="2512"/>
      <c r="D2" s="2512"/>
      <c r="E2" s="2512"/>
      <c r="F2" s="2512"/>
      <c r="G2" s="2512"/>
      <c r="H2" s="2512"/>
      <c r="I2" s="2512"/>
      <c r="J2" s="2512"/>
      <c r="K2" s="2512"/>
      <c r="L2" s="1369"/>
      <c r="M2" s="1370"/>
    </row>
    <row r="3" spans="1:13" ht="10.35" customHeight="1" x14ac:dyDescent="0.2">
      <c r="B3" s="2526" t="s">
        <v>1285</v>
      </c>
      <c r="C3" s="2526"/>
      <c r="D3" s="2526"/>
      <c r="E3" s="2526"/>
      <c r="F3" s="2526"/>
      <c r="G3" s="2526"/>
      <c r="H3" s="2526"/>
      <c r="I3" s="2526"/>
      <c r="J3" s="2526"/>
      <c r="K3" s="2526"/>
      <c r="L3" s="1371"/>
      <c r="M3" s="1371"/>
    </row>
    <row r="4" spans="1:13" ht="14.25" customHeight="1" x14ac:dyDescent="0.2">
      <c r="B4" s="2527" t="str">
        <f>'Single Audit Cover'!A4</f>
        <v>Year Ending June 30, 2019</v>
      </c>
      <c r="C4" s="2527"/>
      <c r="D4" s="2527"/>
      <c r="E4" s="2527"/>
      <c r="F4" s="2527"/>
      <c r="G4" s="2527"/>
      <c r="H4" s="2527"/>
      <c r="I4" s="2527"/>
      <c r="J4" s="2527"/>
      <c r="K4" s="2527"/>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27" t="s">
        <v>1296</v>
      </c>
      <c r="C7" s="2527"/>
      <c r="D7" s="2528"/>
      <c r="E7" s="2528"/>
      <c r="F7" s="2528"/>
      <c r="G7" s="2528"/>
      <c r="H7" s="2528"/>
      <c r="I7" s="2528"/>
      <c r="J7" s="2528"/>
      <c r="K7" s="2528"/>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25"/>
      <c r="C14" s="2525"/>
      <c r="D14" s="2525"/>
      <c r="E14" s="2525"/>
      <c r="F14" s="2525"/>
      <c r="G14" s="2525"/>
      <c r="H14" s="2525"/>
      <c r="I14" s="2525"/>
      <c r="J14" s="2525"/>
      <c r="K14" s="2525"/>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25"/>
      <c r="C17" s="2525"/>
      <c r="D17" s="2525"/>
      <c r="E17" s="2525"/>
      <c r="F17" s="2525"/>
      <c r="G17" s="2525"/>
      <c r="H17" s="2525"/>
      <c r="I17" s="2525"/>
      <c r="J17" s="2525"/>
      <c r="K17" s="2525"/>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29"/>
      <c r="C20" s="2529"/>
      <c r="D20" s="2525"/>
      <c r="E20" s="2525"/>
      <c r="F20" s="2525"/>
      <c r="G20" s="2525"/>
      <c r="H20" s="2525"/>
      <c r="I20" s="2525"/>
      <c r="J20" s="2525"/>
      <c r="K20" s="2525"/>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25"/>
      <c r="C23" s="2525"/>
      <c r="D23" s="2525"/>
      <c r="E23" s="2525"/>
      <c r="F23" s="2525"/>
      <c r="G23" s="2525"/>
      <c r="H23" s="2525"/>
      <c r="I23" s="2525"/>
      <c r="J23" s="2525"/>
      <c r="K23" s="2525"/>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25"/>
      <c r="C26" s="2525"/>
      <c r="D26" s="2525"/>
      <c r="E26" s="2525"/>
      <c r="F26" s="2525"/>
      <c r="G26" s="2525"/>
      <c r="H26" s="2525"/>
      <c r="I26" s="2525"/>
      <c r="J26" s="2525"/>
      <c r="K26" s="2525"/>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24"/>
      <c r="C29" s="2524"/>
      <c r="D29" s="2525"/>
      <c r="E29" s="2525"/>
      <c r="F29" s="2525"/>
      <c r="G29" s="2525"/>
      <c r="H29" s="2525"/>
      <c r="I29" s="2525"/>
      <c r="J29" s="2525"/>
      <c r="K29" s="2525"/>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524"/>
      <c r="C32" s="2524"/>
      <c r="D32" s="2525"/>
      <c r="E32" s="2525"/>
      <c r="F32" s="2525"/>
      <c r="G32" s="2525"/>
      <c r="H32" s="2525"/>
      <c r="I32" s="2525"/>
      <c r="J32" s="2525"/>
      <c r="K32" s="2525"/>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63" customWidth="1"/>
    <col min="8" max="8" width="10.5703125" style="316" customWidth="1"/>
    <col min="9" max="9" width="3.42578125" style="196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30" t="s">
        <v>2075</v>
      </c>
      <c r="C1" s="2530"/>
      <c r="D1" s="2530"/>
      <c r="E1" s="2530"/>
      <c r="F1" s="2530"/>
      <c r="G1" s="2530"/>
      <c r="H1" s="2530"/>
      <c r="I1" s="2530"/>
      <c r="J1" s="2530"/>
      <c r="K1" s="2530"/>
      <c r="L1" s="1959"/>
      <c r="M1" s="1959"/>
    </row>
    <row r="2" spans="1:13" ht="12" customHeight="1" x14ac:dyDescent="0.2">
      <c r="B2" s="2531" t="s">
        <v>2073</v>
      </c>
      <c r="C2" s="2531"/>
      <c r="D2" s="2531"/>
      <c r="E2" s="2531"/>
      <c r="F2" s="2531"/>
      <c r="G2" s="2531"/>
      <c r="H2" s="2531"/>
      <c r="I2" s="2531"/>
      <c r="J2" s="2531"/>
      <c r="K2" s="2531"/>
      <c r="L2" s="1960"/>
      <c r="M2" s="1961"/>
    </row>
    <row r="3" spans="1:13" ht="10.35" customHeight="1" x14ac:dyDescent="0.2">
      <c r="B3" s="2532" t="s">
        <v>1285</v>
      </c>
      <c r="C3" s="2532"/>
      <c r="D3" s="2532"/>
      <c r="E3" s="2532"/>
      <c r="F3" s="2532"/>
      <c r="G3" s="2532"/>
      <c r="H3" s="2532"/>
      <c r="I3" s="2532"/>
      <c r="J3" s="2532"/>
      <c r="K3" s="2532"/>
      <c r="L3" s="1934"/>
      <c r="M3" s="1934"/>
    </row>
    <row r="4" spans="1:13" ht="14.25" customHeight="1" x14ac:dyDescent="0.2">
      <c r="B4" s="2532" t="str">
        <f>'Single Audit Cover'!A4</f>
        <v>Year Ending June 30, 2019</v>
      </c>
      <c r="C4" s="2532"/>
      <c r="D4" s="2532"/>
      <c r="E4" s="2532"/>
      <c r="F4" s="2532"/>
      <c r="G4" s="2532"/>
      <c r="H4" s="2532"/>
      <c r="I4" s="2532"/>
      <c r="J4" s="2532"/>
      <c r="K4" s="2532"/>
      <c r="L4" s="1934"/>
      <c r="M4" s="1934"/>
    </row>
    <row r="5" spans="1:13" ht="7.5" customHeight="1" x14ac:dyDescent="0.2">
      <c r="B5" s="1962" t="s">
        <v>1169</v>
      </c>
      <c r="C5" s="1962"/>
    </row>
    <row r="6" spans="1:13" ht="7.5" customHeight="1" x14ac:dyDescent="0.2">
      <c r="B6" s="1964"/>
      <c r="C6" s="1964"/>
      <c r="D6" s="1965"/>
      <c r="E6" s="1965"/>
      <c r="F6" s="1965"/>
      <c r="G6" s="1966"/>
      <c r="H6" s="1965"/>
      <c r="I6" s="1966"/>
      <c r="J6" s="1965"/>
      <c r="K6" s="1965"/>
    </row>
    <row r="7" spans="1:13" ht="12.75" customHeight="1" x14ac:dyDescent="0.2">
      <c r="A7" s="1209"/>
      <c r="B7" s="2532" t="s">
        <v>1296</v>
      </c>
      <c r="C7" s="2532"/>
      <c r="D7" s="2513"/>
      <c r="E7" s="2513"/>
      <c r="F7" s="2513"/>
      <c r="G7" s="2513"/>
      <c r="H7" s="2513"/>
      <c r="I7" s="2513"/>
      <c r="J7" s="2513"/>
      <c r="K7" s="2513"/>
      <c r="L7" s="1967"/>
    </row>
    <row r="8" spans="1:13" ht="7.5" customHeight="1" x14ac:dyDescent="0.2"/>
    <row r="9" spans="1:13" ht="9.6" customHeight="1" x14ac:dyDescent="0.2">
      <c r="B9" s="1965"/>
      <c r="C9" s="1965"/>
      <c r="D9" s="1965"/>
      <c r="E9" s="1965"/>
      <c r="F9" s="1965"/>
      <c r="G9" s="1966"/>
      <c r="H9" s="1965"/>
      <c r="I9" s="1966"/>
      <c r="J9" s="1965"/>
      <c r="K9" s="1965"/>
    </row>
    <row r="10" spans="1:13" ht="16.5" customHeight="1" x14ac:dyDescent="0.2">
      <c r="B10" s="1213" t="s">
        <v>1742</v>
      </c>
      <c r="C10" s="1968" t="s">
        <v>1991</v>
      </c>
      <c r="D10" s="1380">
        <v>1</v>
      </c>
      <c r="F10" s="1213" t="s">
        <v>1295</v>
      </c>
      <c r="G10" s="1382"/>
      <c r="H10" s="1969" t="s">
        <v>1294</v>
      </c>
      <c r="I10" s="1382" t="s">
        <v>2079</v>
      </c>
      <c r="J10" s="1970" t="s">
        <v>1293</v>
      </c>
    </row>
    <row r="11" spans="1:13" ht="13.5" customHeight="1" x14ac:dyDescent="0.2">
      <c r="I11" s="1971" t="s">
        <v>1292</v>
      </c>
      <c r="K11" s="1386">
        <v>1990</v>
      </c>
    </row>
    <row r="12" spans="1:13" ht="13.5" customHeight="1" x14ac:dyDescent="0.2">
      <c r="B12" s="1962"/>
      <c r="C12" s="1962"/>
    </row>
    <row r="13" spans="1:13" s="1209" customFormat="1" ht="13.5" customHeight="1" x14ac:dyDescent="0.2">
      <c r="B13" s="1972" t="s">
        <v>1291</v>
      </c>
      <c r="C13" s="1972"/>
      <c r="D13" s="1973"/>
      <c r="E13" s="1973"/>
      <c r="F13" s="1973"/>
      <c r="G13" s="1974"/>
      <c r="H13" s="1973"/>
      <c r="I13" s="1974"/>
      <c r="J13" s="1973"/>
      <c r="K13" s="1973"/>
    </row>
    <row r="14" spans="1:13" ht="52.5" customHeight="1" x14ac:dyDescent="0.2">
      <c r="B14" s="2525" t="s">
        <v>2103</v>
      </c>
      <c r="C14" s="2525"/>
      <c r="D14" s="2525"/>
      <c r="E14" s="2525"/>
      <c r="F14" s="2525"/>
      <c r="G14" s="2525"/>
      <c r="H14" s="2525"/>
      <c r="I14" s="2525"/>
      <c r="J14" s="2525"/>
      <c r="K14" s="2525"/>
    </row>
    <row r="15" spans="1:13" ht="4.5" customHeight="1" x14ac:dyDescent="0.2">
      <c r="B15" s="1083"/>
      <c r="C15" s="1083"/>
    </row>
    <row r="16" spans="1:13" s="1209" customFormat="1" ht="13.5" customHeight="1" x14ac:dyDescent="0.2">
      <c r="B16" s="1972" t="s">
        <v>1290</v>
      </c>
      <c r="C16" s="1972"/>
      <c r="D16" s="1973"/>
      <c r="E16" s="1973"/>
      <c r="F16" s="1973"/>
      <c r="G16" s="1974"/>
      <c r="H16" s="1973"/>
      <c r="I16" s="1974"/>
      <c r="J16" s="1973"/>
      <c r="K16" s="1973"/>
    </row>
    <row r="17" spans="2:11" ht="45.75" customHeight="1" x14ac:dyDescent="0.2">
      <c r="B17" s="2525" t="s">
        <v>2114</v>
      </c>
      <c r="C17" s="2525"/>
      <c r="D17" s="2525"/>
      <c r="E17" s="2525"/>
      <c r="F17" s="2525"/>
      <c r="G17" s="2525"/>
      <c r="H17" s="2525"/>
      <c r="I17" s="2525"/>
      <c r="J17" s="2525"/>
      <c r="K17" s="2525"/>
    </row>
    <row r="18" spans="2:11" ht="4.5" customHeight="1" x14ac:dyDescent="0.2">
      <c r="B18" s="1083"/>
      <c r="C18" s="1083"/>
    </row>
    <row r="19" spans="2:11" s="1209" customFormat="1" ht="13.5" customHeight="1" x14ac:dyDescent="0.2">
      <c r="B19" s="1972" t="s">
        <v>1743</v>
      </c>
      <c r="C19" s="1972"/>
      <c r="D19" s="1973"/>
      <c r="E19" s="1973"/>
      <c r="F19" s="1973"/>
      <c r="G19" s="1974"/>
      <c r="H19" s="1973"/>
      <c r="I19" s="1974"/>
      <c r="J19" s="1973"/>
      <c r="K19" s="1973"/>
    </row>
    <row r="20" spans="2:11" ht="45.75" customHeight="1" x14ac:dyDescent="0.2">
      <c r="B20" s="2529" t="s">
        <v>2115</v>
      </c>
      <c r="C20" s="2529"/>
      <c r="D20" s="2525"/>
      <c r="E20" s="2525"/>
      <c r="F20" s="2525"/>
      <c r="G20" s="2525"/>
      <c r="H20" s="2525"/>
      <c r="I20" s="2525"/>
      <c r="J20" s="2525"/>
      <c r="K20" s="2525"/>
    </row>
    <row r="21" spans="2:11" ht="4.5" customHeight="1" x14ac:dyDescent="0.2">
      <c r="B21" s="1975"/>
      <c r="C21" s="1975"/>
    </row>
    <row r="22" spans="2:11" ht="13.5" customHeight="1" x14ac:dyDescent="0.2">
      <c r="B22" s="1972" t="s">
        <v>1289</v>
      </c>
      <c r="C22" s="1972"/>
      <c r="D22" s="1965"/>
      <c r="E22" s="1965"/>
      <c r="F22" s="1965"/>
      <c r="G22" s="1966"/>
      <c r="H22" s="1965"/>
      <c r="I22" s="1966"/>
      <c r="J22" s="1965"/>
      <c r="K22" s="1965"/>
    </row>
    <row r="23" spans="2:11" ht="45" customHeight="1" x14ac:dyDescent="0.2">
      <c r="B23" s="2525" t="s">
        <v>2123</v>
      </c>
      <c r="C23" s="2525"/>
      <c r="D23" s="2525"/>
      <c r="E23" s="2525"/>
      <c r="F23" s="2525"/>
      <c r="G23" s="2525"/>
      <c r="H23" s="2525"/>
      <c r="I23" s="2525"/>
      <c r="J23" s="2525"/>
      <c r="K23" s="2525"/>
    </row>
    <row r="24" spans="2:11" ht="4.5" customHeight="1" x14ac:dyDescent="0.2">
      <c r="B24" s="1083"/>
      <c r="C24" s="1083"/>
    </row>
    <row r="25" spans="2:11" ht="13.5" customHeight="1" x14ac:dyDescent="0.2">
      <c r="B25" s="1972" t="s">
        <v>1288</v>
      </c>
      <c r="C25" s="1972"/>
      <c r="D25" s="1965"/>
      <c r="E25" s="1965"/>
      <c r="F25" s="1965"/>
      <c r="G25" s="1966"/>
      <c r="H25" s="1965"/>
      <c r="I25" s="1966"/>
      <c r="J25" s="1965"/>
      <c r="K25" s="1965"/>
    </row>
    <row r="26" spans="2:11" ht="45.75" customHeight="1" x14ac:dyDescent="0.2">
      <c r="B26" s="2525" t="s">
        <v>2124</v>
      </c>
      <c r="C26" s="2525"/>
      <c r="D26" s="2525"/>
      <c r="E26" s="2525"/>
      <c r="F26" s="2525"/>
      <c r="G26" s="2525"/>
      <c r="H26" s="2525"/>
      <c r="I26" s="2525"/>
      <c r="J26" s="2525"/>
      <c r="K26" s="2525"/>
    </row>
    <row r="27" spans="2:11" ht="4.5" customHeight="1" x14ac:dyDescent="0.2">
      <c r="B27" s="1083"/>
      <c r="C27" s="1083"/>
    </row>
    <row r="28" spans="2:11" ht="13.5" customHeight="1" x14ac:dyDescent="0.2">
      <c r="B28" s="1976" t="s">
        <v>1287</v>
      </c>
      <c r="C28" s="1976"/>
      <c r="D28" s="1965"/>
      <c r="E28" s="1965"/>
      <c r="F28" s="1965"/>
      <c r="G28" s="1966"/>
      <c r="H28" s="1965"/>
      <c r="I28" s="1966"/>
      <c r="J28" s="1965"/>
      <c r="K28" s="1965"/>
    </row>
    <row r="29" spans="2:11" ht="45.75" customHeight="1" x14ac:dyDescent="0.2">
      <c r="B29" s="2525" t="s">
        <v>2143</v>
      </c>
      <c r="C29" s="2525"/>
      <c r="D29" s="2525"/>
      <c r="E29" s="2525"/>
      <c r="F29" s="2525"/>
      <c r="G29" s="2525"/>
      <c r="H29" s="2525"/>
      <c r="I29" s="2525"/>
      <c r="J29" s="2525"/>
      <c r="K29" s="2525"/>
    </row>
    <row r="30" spans="2:11" ht="4.5" customHeight="1" x14ac:dyDescent="0.2">
      <c r="B30" s="1083"/>
      <c r="C30" s="1083"/>
    </row>
    <row r="31" spans="2:11" ht="13.5" customHeight="1" x14ac:dyDescent="0.2">
      <c r="B31" s="1977" t="s">
        <v>1744</v>
      </c>
      <c r="C31" s="1977"/>
      <c r="D31" s="1964"/>
      <c r="E31" s="1965"/>
      <c r="F31" s="1965"/>
      <c r="G31" s="1966"/>
      <c r="H31" s="1965"/>
      <c r="I31" s="1966"/>
      <c r="J31" s="1965"/>
      <c r="K31" s="1965"/>
    </row>
    <row r="32" spans="2:11" ht="44.25" customHeight="1" x14ac:dyDescent="0.2">
      <c r="B32" s="2525" t="s">
        <v>2116</v>
      </c>
      <c r="C32" s="2525"/>
      <c r="D32" s="2525"/>
      <c r="E32" s="2525"/>
      <c r="F32" s="2525"/>
      <c r="G32" s="2525"/>
      <c r="H32" s="2525"/>
      <c r="I32" s="2525"/>
      <c r="J32" s="2525"/>
      <c r="K32" s="2525"/>
    </row>
    <row r="33" spans="1:13" ht="4.5" customHeight="1" x14ac:dyDescent="0.2">
      <c r="B33" s="1083"/>
      <c r="C33" s="1083"/>
    </row>
    <row r="34" spans="1:13" x14ac:dyDescent="0.2">
      <c r="A34" s="1978"/>
      <c r="B34" s="1978"/>
      <c r="C34" s="1978"/>
      <c r="D34" s="1978"/>
      <c r="E34" s="1978"/>
      <c r="F34" s="1978"/>
      <c r="G34" s="1979"/>
      <c r="H34" s="1978"/>
      <c r="I34" s="1979"/>
      <c r="J34" s="1978"/>
      <c r="K34" s="1978"/>
    </row>
    <row r="35" spans="1:13" ht="11.85" customHeight="1" x14ac:dyDescent="0.2">
      <c r="B35" s="1980" t="s">
        <v>1745</v>
      </c>
      <c r="C35" s="1980"/>
    </row>
    <row r="36" spans="1:13" ht="9.6" customHeight="1" x14ac:dyDescent="0.2">
      <c r="B36" s="1216" t="s">
        <v>1842</v>
      </c>
      <c r="C36" s="1216"/>
    </row>
    <row r="37" spans="1:13" ht="9.6" customHeight="1" x14ac:dyDescent="0.2">
      <c r="B37" s="1216" t="s">
        <v>1843</v>
      </c>
      <c r="C37" s="1216"/>
    </row>
    <row r="38" spans="1:13" ht="11.85" customHeight="1" x14ac:dyDescent="0.2">
      <c r="B38" s="1980" t="s">
        <v>1746</v>
      </c>
      <c r="C38" s="1980"/>
    </row>
    <row r="39" spans="1:13" ht="9.6" customHeight="1" x14ac:dyDescent="0.2">
      <c r="B39" s="1216" t="s">
        <v>1286</v>
      </c>
      <c r="C39" s="1216"/>
      <c r="M39" s="1981"/>
    </row>
    <row r="40" spans="1:13" ht="12.6" customHeight="1" x14ac:dyDescent="0.2">
      <c r="B40" s="1980" t="s">
        <v>1747</v>
      </c>
      <c r="C40" s="1980"/>
      <c r="M40" s="1981"/>
    </row>
    <row r="41" spans="1:13" ht="9.6" customHeight="1" x14ac:dyDescent="0.2">
      <c r="B41" s="1216"/>
      <c r="C41" s="1216"/>
      <c r="M41" s="19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63" customWidth="1"/>
    <col min="8" max="8" width="10.5703125" style="316" customWidth="1"/>
    <col min="9" max="9" width="3.42578125" style="196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30" t="s">
        <v>2075</v>
      </c>
      <c r="C1" s="2530"/>
      <c r="D1" s="2530"/>
      <c r="E1" s="2530"/>
      <c r="F1" s="2530"/>
      <c r="G1" s="2530"/>
      <c r="H1" s="2530"/>
      <c r="I1" s="2530"/>
      <c r="J1" s="2530"/>
      <c r="K1" s="2530"/>
      <c r="L1" s="1959"/>
      <c r="M1" s="1959"/>
    </row>
    <row r="2" spans="1:13" ht="12" customHeight="1" x14ac:dyDescent="0.2">
      <c r="B2" s="2531" t="s">
        <v>2073</v>
      </c>
      <c r="C2" s="2531"/>
      <c r="D2" s="2531"/>
      <c r="E2" s="2531"/>
      <c r="F2" s="2531"/>
      <c r="G2" s="2531"/>
      <c r="H2" s="2531"/>
      <c r="I2" s="2531"/>
      <c r="J2" s="2531"/>
      <c r="K2" s="2531"/>
      <c r="L2" s="1960"/>
      <c r="M2" s="1961"/>
    </row>
    <row r="3" spans="1:13" ht="10.35" customHeight="1" x14ac:dyDescent="0.2">
      <c r="B3" s="2532" t="s">
        <v>1285</v>
      </c>
      <c r="C3" s="2532"/>
      <c r="D3" s="2532"/>
      <c r="E3" s="2532"/>
      <c r="F3" s="2532"/>
      <c r="G3" s="2532"/>
      <c r="H3" s="2532"/>
      <c r="I3" s="2532"/>
      <c r="J3" s="2532"/>
      <c r="K3" s="2532"/>
      <c r="L3" s="1934"/>
      <c r="M3" s="1934"/>
    </row>
    <row r="4" spans="1:13" ht="14.25" customHeight="1" x14ac:dyDescent="0.2">
      <c r="B4" s="2532" t="str">
        <f>'Single Audit Cover'!A4</f>
        <v>Year Ending June 30, 2019</v>
      </c>
      <c r="C4" s="2532"/>
      <c r="D4" s="2532"/>
      <c r="E4" s="2532"/>
      <c r="F4" s="2532"/>
      <c r="G4" s="2532"/>
      <c r="H4" s="2532"/>
      <c r="I4" s="2532"/>
      <c r="J4" s="2532"/>
      <c r="K4" s="2532"/>
      <c r="L4" s="1934"/>
      <c r="M4" s="1934"/>
    </row>
    <row r="5" spans="1:13" ht="7.5" customHeight="1" x14ac:dyDescent="0.2">
      <c r="B5" s="1962" t="s">
        <v>1169</v>
      </c>
      <c r="C5" s="1962"/>
    </row>
    <row r="6" spans="1:13" ht="7.5" customHeight="1" x14ac:dyDescent="0.2">
      <c r="B6" s="1964"/>
      <c r="C6" s="1964"/>
      <c r="D6" s="1965"/>
      <c r="E6" s="1965"/>
      <c r="F6" s="1965"/>
      <c r="G6" s="1966"/>
      <c r="H6" s="1965"/>
      <c r="I6" s="1966"/>
      <c r="J6" s="1965"/>
      <c r="K6" s="1965"/>
    </row>
    <row r="7" spans="1:13" ht="12.75" customHeight="1" x14ac:dyDescent="0.2">
      <c r="A7" s="1209"/>
      <c r="B7" s="2532" t="s">
        <v>1296</v>
      </c>
      <c r="C7" s="2532"/>
      <c r="D7" s="2513"/>
      <c r="E7" s="2513"/>
      <c r="F7" s="2513"/>
      <c r="G7" s="2513"/>
      <c r="H7" s="2513"/>
      <c r="I7" s="2513"/>
      <c r="J7" s="2513"/>
      <c r="K7" s="2513"/>
      <c r="L7" s="1967"/>
    </row>
    <row r="8" spans="1:13" ht="7.5" customHeight="1" x14ac:dyDescent="0.2"/>
    <row r="9" spans="1:13" ht="9.6" customHeight="1" x14ac:dyDescent="0.2">
      <c r="B9" s="1965"/>
      <c r="C9" s="1965"/>
      <c r="D9" s="1965"/>
      <c r="E9" s="1965"/>
      <c r="F9" s="1965"/>
      <c r="G9" s="1966"/>
      <c r="H9" s="1965"/>
      <c r="I9" s="1966"/>
      <c r="J9" s="1965"/>
      <c r="K9" s="1965"/>
    </row>
    <row r="10" spans="1:13" ht="16.5" customHeight="1" x14ac:dyDescent="0.2">
      <c r="B10" s="1213" t="s">
        <v>1742</v>
      </c>
      <c r="C10" s="1968" t="s">
        <v>1991</v>
      </c>
      <c r="D10" s="1380">
        <v>2</v>
      </c>
      <c r="F10" s="1213" t="s">
        <v>1295</v>
      </c>
      <c r="G10" s="1382"/>
      <c r="H10" s="1969" t="s">
        <v>1294</v>
      </c>
      <c r="I10" s="1382" t="s">
        <v>2079</v>
      </c>
      <c r="J10" s="1970" t="s">
        <v>1293</v>
      </c>
    </row>
    <row r="11" spans="1:13" ht="13.5" customHeight="1" x14ac:dyDescent="0.2">
      <c r="I11" s="1971" t="s">
        <v>1292</v>
      </c>
      <c r="K11" s="1386">
        <v>2008</v>
      </c>
    </row>
    <row r="12" spans="1:13" ht="13.5" customHeight="1" x14ac:dyDescent="0.2">
      <c r="B12" s="1962"/>
      <c r="C12" s="1962"/>
    </row>
    <row r="13" spans="1:13" s="1209" customFormat="1" ht="13.5" customHeight="1" x14ac:dyDescent="0.2">
      <c r="B13" s="1972" t="s">
        <v>1291</v>
      </c>
      <c r="C13" s="1972"/>
      <c r="D13" s="1973"/>
      <c r="E13" s="1973"/>
      <c r="F13" s="1973"/>
      <c r="G13" s="1974"/>
      <c r="H13" s="1973"/>
      <c r="I13" s="1974"/>
      <c r="J13" s="1973"/>
      <c r="K13" s="1973"/>
    </row>
    <row r="14" spans="1:13" ht="45.75" customHeight="1" x14ac:dyDescent="0.2">
      <c r="B14" s="2525" t="s">
        <v>2104</v>
      </c>
      <c r="C14" s="2525"/>
      <c r="D14" s="2525"/>
      <c r="E14" s="2525"/>
      <c r="F14" s="2525"/>
      <c r="G14" s="2525"/>
      <c r="H14" s="2525"/>
      <c r="I14" s="2525"/>
      <c r="J14" s="2525"/>
      <c r="K14" s="2525"/>
    </row>
    <row r="15" spans="1:13" ht="4.5" customHeight="1" x14ac:dyDescent="0.2">
      <c r="B15" s="1083"/>
      <c r="C15" s="1083"/>
    </row>
    <row r="16" spans="1:13" s="1209" customFormat="1" ht="13.5" customHeight="1" x14ac:dyDescent="0.2">
      <c r="B16" s="1972" t="s">
        <v>1290</v>
      </c>
      <c r="C16" s="1972"/>
      <c r="D16" s="1973"/>
      <c r="E16" s="1973"/>
      <c r="F16" s="1973"/>
      <c r="G16" s="1974"/>
      <c r="H16" s="1973"/>
      <c r="I16" s="1974"/>
      <c r="J16" s="1973"/>
      <c r="K16" s="1973"/>
    </row>
    <row r="17" spans="2:11" ht="85.5" customHeight="1" x14ac:dyDescent="0.2">
      <c r="B17" s="2525" t="s">
        <v>2144</v>
      </c>
      <c r="C17" s="2525"/>
      <c r="D17" s="2525"/>
      <c r="E17" s="2525"/>
      <c r="F17" s="2525"/>
      <c r="G17" s="2525"/>
      <c r="H17" s="2525"/>
      <c r="I17" s="2525"/>
      <c r="J17" s="2525"/>
      <c r="K17" s="2525"/>
    </row>
    <row r="18" spans="2:11" ht="4.5" customHeight="1" x14ac:dyDescent="0.2">
      <c r="B18" s="1083"/>
      <c r="C18" s="1083"/>
    </row>
    <row r="19" spans="2:11" s="1209" customFormat="1" ht="13.5" customHeight="1" x14ac:dyDescent="0.2">
      <c r="B19" s="1972" t="s">
        <v>1743</v>
      </c>
      <c r="C19" s="1972"/>
      <c r="D19" s="1973"/>
      <c r="E19" s="1973"/>
      <c r="F19" s="1973"/>
      <c r="G19" s="1974"/>
      <c r="H19" s="1973"/>
      <c r="I19" s="1974"/>
      <c r="J19" s="1973"/>
      <c r="K19" s="1973"/>
    </row>
    <row r="20" spans="2:11" ht="45.75" customHeight="1" x14ac:dyDescent="0.2">
      <c r="B20" s="2529" t="s">
        <v>2113</v>
      </c>
      <c r="C20" s="2529"/>
      <c r="D20" s="2525"/>
      <c r="E20" s="2525"/>
      <c r="F20" s="2525"/>
      <c r="G20" s="2525"/>
      <c r="H20" s="2525"/>
      <c r="I20" s="2525"/>
      <c r="J20" s="2525"/>
      <c r="K20" s="2525"/>
    </row>
    <row r="21" spans="2:11" ht="4.5" customHeight="1" x14ac:dyDescent="0.2">
      <c r="B21" s="1975"/>
      <c r="C21" s="1975"/>
    </row>
    <row r="22" spans="2:11" ht="13.5" customHeight="1" x14ac:dyDescent="0.2">
      <c r="B22" s="1972" t="s">
        <v>1289</v>
      </c>
      <c r="C22" s="1972"/>
      <c r="D22" s="1965"/>
      <c r="E22" s="1965"/>
      <c r="F22" s="1965"/>
      <c r="G22" s="1966"/>
      <c r="H22" s="1965"/>
      <c r="I22" s="1966"/>
      <c r="J22" s="1965"/>
      <c r="K22" s="1965"/>
    </row>
    <row r="23" spans="2:11" ht="45" customHeight="1" x14ac:dyDescent="0.2">
      <c r="B23" s="2525" t="s">
        <v>2145</v>
      </c>
      <c r="C23" s="2525"/>
      <c r="D23" s="2525"/>
      <c r="E23" s="2525"/>
      <c r="F23" s="2525"/>
      <c r="G23" s="2525"/>
      <c r="H23" s="2525"/>
      <c r="I23" s="2525"/>
      <c r="J23" s="2525"/>
      <c r="K23" s="2525"/>
    </row>
    <row r="24" spans="2:11" ht="4.5" customHeight="1" x14ac:dyDescent="0.2">
      <c r="B24" s="1083"/>
      <c r="C24" s="1083"/>
    </row>
    <row r="25" spans="2:11" ht="13.5" customHeight="1" x14ac:dyDescent="0.2">
      <c r="B25" s="1972" t="s">
        <v>1288</v>
      </c>
      <c r="C25" s="1972"/>
      <c r="D25" s="1965"/>
      <c r="E25" s="1965"/>
      <c r="F25" s="1965"/>
      <c r="G25" s="1966"/>
      <c r="H25" s="1965"/>
      <c r="I25" s="1966"/>
      <c r="J25" s="1965"/>
      <c r="K25" s="1965"/>
    </row>
    <row r="26" spans="2:11" ht="45.75" customHeight="1" x14ac:dyDescent="0.2">
      <c r="B26" s="2525" t="s">
        <v>2146</v>
      </c>
      <c r="C26" s="2525"/>
      <c r="D26" s="2525"/>
      <c r="E26" s="2525"/>
      <c r="F26" s="2525"/>
      <c r="G26" s="2525"/>
      <c r="H26" s="2525"/>
      <c r="I26" s="2525"/>
      <c r="J26" s="2525"/>
      <c r="K26" s="2525"/>
    </row>
    <row r="27" spans="2:11" ht="4.5" customHeight="1" x14ac:dyDescent="0.2">
      <c r="B27" s="1083"/>
      <c r="C27" s="1083"/>
    </row>
    <row r="28" spans="2:11" ht="13.5" customHeight="1" x14ac:dyDescent="0.2">
      <c r="B28" s="1976" t="s">
        <v>1287</v>
      </c>
      <c r="C28" s="1976"/>
      <c r="D28" s="1965"/>
      <c r="E28" s="1965"/>
      <c r="F28" s="1965"/>
      <c r="G28" s="1966"/>
      <c r="H28" s="1965"/>
      <c r="I28" s="1966"/>
      <c r="J28" s="1965"/>
      <c r="K28" s="1965"/>
    </row>
    <row r="29" spans="2:11" ht="32.25" customHeight="1" x14ac:dyDescent="0.2">
      <c r="B29" s="2525" t="s">
        <v>2105</v>
      </c>
      <c r="C29" s="2525"/>
      <c r="D29" s="2525"/>
      <c r="E29" s="2525"/>
      <c r="F29" s="2525"/>
      <c r="G29" s="2525"/>
      <c r="H29" s="2525"/>
      <c r="I29" s="2525"/>
      <c r="J29" s="2525"/>
      <c r="K29" s="2525"/>
    </row>
    <row r="30" spans="2:11" ht="4.5" customHeight="1" x14ac:dyDescent="0.2">
      <c r="B30" s="1083"/>
      <c r="C30" s="1083"/>
    </row>
    <row r="31" spans="2:11" ht="13.5" customHeight="1" x14ac:dyDescent="0.2">
      <c r="B31" s="1977" t="s">
        <v>1744</v>
      </c>
      <c r="C31" s="1977"/>
      <c r="D31" s="1964"/>
      <c r="E31" s="1965"/>
      <c r="F31" s="1965"/>
      <c r="G31" s="1966"/>
      <c r="H31" s="1965"/>
      <c r="I31" s="1966"/>
      <c r="J31" s="1965"/>
      <c r="K31" s="1965"/>
    </row>
    <row r="32" spans="2:11" ht="54" customHeight="1" x14ac:dyDescent="0.2">
      <c r="B32" s="2525" t="s">
        <v>2106</v>
      </c>
      <c r="C32" s="2525"/>
      <c r="D32" s="2525"/>
      <c r="E32" s="2525"/>
      <c r="F32" s="2525"/>
      <c r="G32" s="2525"/>
      <c r="H32" s="2525"/>
      <c r="I32" s="2525"/>
      <c r="J32" s="2525"/>
      <c r="K32" s="2525"/>
    </row>
    <row r="33" spans="1:13" ht="4.5" customHeight="1" x14ac:dyDescent="0.2">
      <c r="B33" s="1083"/>
      <c r="C33" s="1083"/>
    </row>
    <row r="34" spans="1:13" x14ac:dyDescent="0.2">
      <c r="A34" s="1978"/>
      <c r="B34" s="1978"/>
      <c r="C34" s="1978"/>
      <c r="D34" s="1978"/>
      <c r="E34" s="1978"/>
      <c r="F34" s="1978"/>
      <c r="G34" s="1979"/>
      <c r="H34" s="1978"/>
      <c r="I34" s="1979"/>
      <c r="J34" s="1978"/>
      <c r="K34" s="1978"/>
    </row>
    <row r="35" spans="1:13" ht="11.85" customHeight="1" x14ac:dyDescent="0.2">
      <c r="B35" s="1980" t="s">
        <v>1745</v>
      </c>
      <c r="C35" s="1980"/>
    </row>
    <row r="36" spans="1:13" ht="9.6" customHeight="1" x14ac:dyDescent="0.2">
      <c r="B36" s="1216" t="s">
        <v>1842</v>
      </c>
      <c r="C36" s="1216"/>
    </row>
    <row r="37" spans="1:13" ht="9.6" customHeight="1" x14ac:dyDescent="0.2">
      <c r="B37" s="1216" t="s">
        <v>1843</v>
      </c>
      <c r="C37" s="1216"/>
    </row>
    <row r="38" spans="1:13" ht="11.85" customHeight="1" x14ac:dyDescent="0.2">
      <c r="B38" s="1980" t="s">
        <v>1746</v>
      </c>
      <c r="C38" s="1980"/>
    </row>
    <row r="39" spans="1:13" ht="9.6" customHeight="1" x14ac:dyDescent="0.2">
      <c r="B39" s="1216" t="s">
        <v>1286</v>
      </c>
      <c r="C39" s="1216"/>
      <c r="M39" s="1981"/>
    </row>
    <row r="40" spans="1:13" ht="12.6" customHeight="1" x14ac:dyDescent="0.2">
      <c r="B40" s="1980" t="s">
        <v>1747</v>
      </c>
      <c r="C40" s="1980"/>
      <c r="M40" s="1981"/>
    </row>
    <row r="41" spans="1:13" ht="9.6" customHeight="1" x14ac:dyDescent="0.2">
      <c r="B41" s="1216"/>
      <c r="C41" s="1216"/>
      <c r="M41" s="19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6" t="str">
        <f>'Single Audit Cover'!A7</f>
        <v>Rankin CSD 98</v>
      </c>
      <c r="C1" s="2536"/>
      <c r="D1" s="2536"/>
      <c r="E1" s="2536"/>
      <c r="F1" s="2536"/>
      <c r="G1" s="2536"/>
      <c r="H1" s="2536"/>
      <c r="I1" s="2536"/>
      <c r="J1" s="2536"/>
      <c r="K1" s="2536"/>
      <c r="L1" s="1446"/>
    </row>
    <row r="2" spans="1:12" ht="12.75" customHeight="1" x14ac:dyDescent="0.2">
      <c r="B2" s="2537">
        <f>'Single Audit Cover'!E7</f>
        <v>53090098002</v>
      </c>
      <c r="C2" s="2537"/>
      <c r="D2" s="2537"/>
      <c r="E2" s="2537"/>
      <c r="F2" s="2537"/>
      <c r="G2" s="2537"/>
      <c r="H2" s="2537"/>
      <c r="I2" s="2537"/>
      <c r="J2" s="2537"/>
      <c r="K2" s="2537"/>
      <c r="L2" s="1447"/>
    </row>
    <row r="3" spans="1:12" ht="12.75" customHeight="1" x14ac:dyDescent="0.2">
      <c r="B3" s="2526" t="s">
        <v>1285</v>
      </c>
      <c r="C3" s="2526"/>
      <c r="D3" s="2526"/>
      <c r="E3" s="2526"/>
      <c r="F3" s="2526"/>
      <c r="G3" s="2526"/>
      <c r="H3" s="2526"/>
      <c r="I3" s="2526"/>
      <c r="J3" s="2526"/>
      <c r="K3" s="2526"/>
      <c r="L3" s="1371"/>
    </row>
    <row r="4" spans="1:12" ht="12.75" customHeight="1" x14ac:dyDescent="0.2">
      <c r="B4" s="2526" t="str">
        <f>'Single Audit Cover'!A4</f>
        <v>Year Ending June 30, 2019</v>
      </c>
      <c r="C4" s="2526"/>
      <c r="D4" s="2526"/>
      <c r="E4" s="2526"/>
      <c r="F4" s="2526"/>
      <c r="G4" s="2526"/>
      <c r="H4" s="2526"/>
      <c r="I4" s="2526"/>
      <c r="J4" s="2526"/>
      <c r="K4" s="2526"/>
      <c r="L4" s="1371"/>
    </row>
    <row r="5" spans="1:12" ht="5.25" customHeight="1" x14ac:dyDescent="0.2">
      <c r="B5" s="1254" t="s">
        <v>1169</v>
      </c>
      <c r="C5" s="1254"/>
      <c r="L5" s="322"/>
    </row>
    <row r="6" spans="1:12" ht="30.75" customHeight="1" x14ac:dyDescent="0.2">
      <c r="A6" s="322"/>
      <c r="B6" s="2538" t="s">
        <v>1308</v>
      </c>
      <c r="C6" s="2538"/>
      <c r="D6" s="2538"/>
      <c r="E6" s="2538"/>
      <c r="F6" s="2538"/>
      <c r="G6" s="2538"/>
      <c r="H6" s="2538"/>
      <c r="I6" s="2538"/>
      <c r="J6" s="2538"/>
      <c r="K6" s="2538"/>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517"/>
      <c r="G12" s="2517"/>
      <c r="H12" s="2517"/>
      <c r="I12" s="2517"/>
      <c r="J12" s="2517"/>
      <c r="K12" s="251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33"/>
      <c r="E14" s="2533"/>
      <c r="F14" s="2533"/>
      <c r="H14" s="1456" t="s">
        <v>1303</v>
      </c>
      <c r="I14" s="2534"/>
      <c r="J14" s="2534"/>
      <c r="K14" s="2534"/>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34"/>
      <c r="E16" s="2534"/>
      <c r="F16" s="2534"/>
      <c r="G16" s="2534"/>
      <c r="H16" s="2534"/>
      <c r="I16" s="2534"/>
      <c r="J16" s="2534"/>
      <c r="K16" s="2534"/>
      <c r="L16" s="322"/>
    </row>
    <row r="17" spans="2:12" ht="13.5" customHeight="1" x14ac:dyDescent="0.2">
      <c r="B17" s="1381" t="s">
        <v>1301</v>
      </c>
      <c r="C17" s="1381"/>
      <c r="D17" s="2535"/>
      <c r="E17" s="2535"/>
      <c r="F17" s="2535"/>
      <c r="G17" s="2535"/>
      <c r="H17" s="2535"/>
      <c r="I17" s="2535"/>
      <c r="J17" s="2535"/>
      <c r="K17" s="2535"/>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525"/>
      <c r="C20" s="2525"/>
      <c r="D20" s="2525"/>
      <c r="E20" s="2525"/>
      <c r="F20" s="2525"/>
      <c r="G20" s="2525"/>
      <c r="H20" s="2525"/>
      <c r="I20" s="2525"/>
      <c r="J20" s="2525"/>
      <c r="K20" s="2525"/>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525"/>
      <c r="C23" s="2525"/>
      <c r="D23" s="2525"/>
      <c r="E23" s="2525"/>
      <c r="F23" s="2525"/>
      <c r="G23" s="2525"/>
      <c r="H23" s="2525"/>
      <c r="I23" s="2525"/>
      <c r="J23" s="2525"/>
      <c r="K23" s="2525"/>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525"/>
      <c r="C26" s="2525"/>
      <c r="D26" s="2525"/>
      <c r="E26" s="2525"/>
      <c r="F26" s="2525"/>
      <c r="G26" s="2525"/>
      <c r="H26" s="2525"/>
      <c r="I26" s="2525"/>
      <c r="J26" s="2525"/>
      <c r="K26" s="2525"/>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525"/>
      <c r="C29" s="2525"/>
      <c r="D29" s="2525"/>
      <c r="E29" s="2525"/>
      <c r="F29" s="2525"/>
      <c r="G29" s="2525"/>
      <c r="H29" s="2525"/>
      <c r="I29" s="2525"/>
      <c r="J29" s="2525"/>
      <c r="K29" s="2525"/>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525"/>
      <c r="C32" s="2525"/>
      <c r="D32" s="2525"/>
      <c r="E32" s="2525"/>
      <c r="F32" s="2525"/>
      <c r="G32" s="2525"/>
      <c r="H32" s="2525"/>
      <c r="I32" s="2525"/>
      <c r="J32" s="2525"/>
      <c r="K32" s="2525"/>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525"/>
      <c r="C35" s="2525"/>
      <c r="D35" s="2525"/>
      <c r="E35" s="2525"/>
      <c r="F35" s="2525"/>
      <c r="G35" s="2525"/>
      <c r="H35" s="2525"/>
      <c r="I35" s="2525"/>
      <c r="J35" s="2525"/>
      <c r="K35" s="2525"/>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525"/>
      <c r="C38" s="2525"/>
      <c r="D38" s="2525"/>
      <c r="E38" s="2525"/>
      <c r="F38" s="2525"/>
      <c r="G38" s="2525"/>
      <c r="H38" s="2525"/>
      <c r="I38" s="2525"/>
      <c r="J38" s="2525"/>
      <c r="K38" s="2525"/>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525"/>
      <c r="C41" s="2525"/>
      <c r="D41" s="2525"/>
      <c r="E41" s="2525"/>
      <c r="F41" s="2525"/>
      <c r="G41" s="2525"/>
      <c r="H41" s="2525"/>
      <c r="I41" s="2525"/>
      <c r="J41" s="2525"/>
      <c r="K41" s="2525"/>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510" t="str">
        <f>'Single Audit Cover'!A7</f>
        <v>Rankin CSD 98</v>
      </c>
      <c r="C1" s="2510"/>
      <c r="D1" s="2510"/>
      <c r="E1" s="1466"/>
    </row>
    <row r="2" spans="2:5" s="1276" customFormat="1" ht="12.75" customHeight="1" x14ac:dyDescent="0.2">
      <c r="B2" s="2512">
        <f>'Single Audit Cover'!E7</f>
        <v>53090098002</v>
      </c>
      <c r="C2" s="2512"/>
      <c r="D2" s="2512"/>
      <c r="E2" s="1467"/>
    </row>
    <row r="3" spans="2:5" ht="12.75" customHeight="1" x14ac:dyDescent="0.2">
      <c r="B3" s="2526" t="s">
        <v>1766</v>
      </c>
      <c r="C3" s="2526"/>
      <c r="D3" s="2526"/>
      <c r="E3" s="1268"/>
    </row>
    <row r="4" spans="2:5" s="1276" customFormat="1" ht="12.75" customHeight="1" x14ac:dyDescent="0.2">
      <c r="B4" s="2539" t="str">
        <f>'Single Audit Cover'!A4</f>
        <v>Year Ending June 30, 2019</v>
      </c>
      <c r="C4" s="2539"/>
      <c r="D4" s="2539"/>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2090</v>
      </c>
      <c r="C7" s="324" t="s">
        <v>2142</v>
      </c>
      <c r="D7" s="324" t="s">
        <v>2091</v>
      </c>
      <c r="E7" s="324"/>
    </row>
    <row r="8" spans="2:5" ht="13.5" customHeight="1" x14ac:dyDescent="0.2">
      <c r="B8" s="1471" t="s">
        <v>2092</v>
      </c>
      <c r="C8" s="324" t="s">
        <v>2141</v>
      </c>
      <c r="D8" s="324" t="s">
        <v>2093</v>
      </c>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70"/>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541" t="str">
        <f>'Single Audit Cover'!A7</f>
        <v>Rankin CSD 98</v>
      </c>
      <c r="C1" s="2541"/>
      <c r="D1" s="2541"/>
      <c r="E1" s="2541"/>
      <c r="F1" s="1938"/>
      <c r="G1" s="1938"/>
      <c r="H1" s="1938"/>
      <c r="I1" s="1938"/>
      <c r="J1" s="1938"/>
      <c r="K1" s="1938"/>
      <c r="L1" s="1938"/>
    </row>
    <row r="2" spans="2:12" ht="13.5" customHeight="1" x14ac:dyDescent="0.2">
      <c r="B2" s="2542">
        <f>'Single Audit Cover'!E7</f>
        <v>53090098002</v>
      </c>
      <c r="C2" s="2542"/>
      <c r="D2" s="2542"/>
      <c r="E2" s="2542"/>
      <c r="F2" s="1940"/>
      <c r="G2" s="1940"/>
      <c r="H2" s="1940"/>
      <c r="I2" s="1940"/>
      <c r="J2" s="1940"/>
      <c r="K2" s="1940"/>
      <c r="L2" s="1940"/>
    </row>
    <row r="3" spans="2:12" ht="13.5" customHeight="1" x14ac:dyDescent="0.2">
      <c r="B3" s="2543" t="s">
        <v>2094</v>
      </c>
      <c r="C3" s="2543"/>
      <c r="D3" s="2543"/>
      <c r="E3" s="2543"/>
      <c r="F3" s="1941"/>
      <c r="G3" s="1941"/>
      <c r="H3" s="1941"/>
      <c r="I3" s="1941"/>
      <c r="J3" s="1941"/>
      <c r="K3" s="1941"/>
      <c r="L3" s="1941"/>
    </row>
    <row r="4" spans="2:12" ht="13.5" customHeight="1" x14ac:dyDescent="0.2">
      <c r="B4" s="2544" t="s">
        <v>1989</v>
      </c>
      <c r="C4" s="2544"/>
      <c r="D4" s="2544"/>
      <c r="E4" s="2544"/>
      <c r="F4" s="1942"/>
      <c r="G4" s="1942"/>
      <c r="H4" s="1942"/>
      <c r="I4" s="1942"/>
      <c r="J4" s="1942"/>
      <c r="K4" s="1942"/>
      <c r="L4" s="1942"/>
    </row>
    <row r="5" spans="2:12" ht="29.85" customHeight="1" x14ac:dyDescent="0.2"/>
    <row r="6" spans="2:12" ht="13.5" customHeight="1" x14ac:dyDescent="0.2">
      <c r="B6" s="1943" t="s">
        <v>2095</v>
      </c>
      <c r="C6" s="1943"/>
      <c r="D6" s="1944"/>
      <c r="E6" s="1945"/>
      <c r="F6" s="1945"/>
      <c r="G6" s="1946"/>
      <c r="H6" s="1946"/>
      <c r="I6" s="1946"/>
    </row>
    <row r="7" spans="2:12" ht="13.5" customHeight="1" x14ac:dyDescent="0.2">
      <c r="B7" s="1939" t="s">
        <v>1169</v>
      </c>
    </row>
    <row r="8" spans="2:12" ht="13.5" customHeight="1" x14ac:dyDescent="0.2">
      <c r="B8" s="1947" t="s">
        <v>2096</v>
      </c>
      <c r="C8" s="1948" t="s">
        <v>1991</v>
      </c>
      <c r="D8" s="1949">
        <v>1</v>
      </c>
    </row>
    <row r="9" spans="2:12" ht="13.5" customHeight="1" x14ac:dyDescent="0.2">
      <c r="B9" s="1950"/>
      <c r="C9" s="1950"/>
      <c r="D9" s="1950"/>
    </row>
    <row r="10" spans="2:12" ht="13.5" customHeight="1" x14ac:dyDescent="0.2">
      <c r="B10" s="1947" t="s">
        <v>2097</v>
      </c>
      <c r="C10" s="1947"/>
    </row>
    <row r="11" spans="2:12" ht="66.75" customHeight="1" x14ac:dyDescent="0.2">
      <c r="B11" s="2540" t="s">
        <v>2117</v>
      </c>
      <c r="C11" s="2540"/>
      <c r="D11" s="2540"/>
      <c r="E11" s="2540"/>
    </row>
    <row r="12" spans="2:12" ht="13.5" customHeight="1" x14ac:dyDescent="0.2"/>
    <row r="13" spans="2:12" ht="13.5" customHeight="1" x14ac:dyDescent="0.2">
      <c r="B13" s="1947" t="s">
        <v>2098</v>
      </c>
      <c r="C13" s="1947"/>
    </row>
    <row r="14" spans="2:12" ht="76.5" customHeight="1" x14ac:dyDescent="0.2">
      <c r="B14" s="2540" t="s">
        <v>2118</v>
      </c>
      <c r="C14" s="2540"/>
      <c r="D14" s="2540"/>
      <c r="E14" s="2540"/>
    </row>
    <row r="15" spans="2:12" ht="13.5" customHeight="1" x14ac:dyDescent="0.2"/>
    <row r="16" spans="2:12" ht="13.5" customHeight="1" x14ac:dyDescent="0.2">
      <c r="B16" s="1947" t="s">
        <v>2099</v>
      </c>
      <c r="C16" s="1947"/>
      <c r="E16" s="1984" t="s">
        <v>2119</v>
      </c>
    </row>
    <row r="17" spans="2:5" ht="13.5" customHeight="1" x14ac:dyDescent="0.2"/>
    <row r="18" spans="2:5" ht="13.5" customHeight="1" x14ac:dyDescent="0.2">
      <c r="B18" s="1947" t="s">
        <v>2100</v>
      </c>
      <c r="C18" s="1947"/>
      <c r="E18" s="1951" t="s">
        <v>2107</v>
      </c>
    </row>
    <row r="19" spans="2:5" ht="13.5" customHeight="1" x14ac:dyDescent="0.2"/>
    <row r="20" spans="2:5" ht="13.5" customHeight="1" x14ac:dyDescent="0.2">
      <c r="B20" s="1947" t="s">
        <v>2101</v>
      </c>
      <c r="C20" s="1947"/>
      <c r="E20" s="1983" t="s">
        <v>2120</v>
      </c>
    </row>
    <row r="21" spans="2:5" ht="13.5" customHeight="1" x14ac:dyDescent="0.2">
      <c r="E21" s="1983" t="s">
        <v>2121</v>
      </c>
    </row>
    <row r="22" spans="2:5" ht="13.5" customHeight="1" x14ac:dyDescent="0.2">
      <c r="E22" s="1951"/>
    </row>
    <row r="23" spans="2:5" ht="13.5" customHeight="1" x14ac:dyDescent="0.2"/>
    <row r="24" spans="2:5" ht="13.5" customHeight="1" x14ac:dyDescent="0.2"/>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2102</v>
      </c>
      <c r="C42" s="1955"/>
      <c r="D42" s="1955"/>
    </row>
    <row r="43" spans="2:5" ht="12.2" customHeight="1" x14ac:dyDescent="0.2">
      <c r="B43" s="1956"/>
      <c r="C43" s="1956"/>
      <c r="D43" s="1956"/>
    </row>
    <row r="44" spans="2:5" ht="12.75" customHeight="1" x14ac:dyDescent="0.2">
      <c r="B44" s="1947"/>
      <c r="C44" s="1947"/>
      <c r="D44" s="1947"/>
    </row>
    <row r="45" spans="2:5" ht="12.75" customHeight="1" x14ac:dyDescent="0.2">
      <c r="B45" s="1947"/>
      <c r="C45" s="1947"/>
      <c r="D45" s="1947"/>
    </row>
    <row r="46" spans="2:5" x14ac:dyDescent="0.2">
      <c r="B46" s="1947"/>
      <c r="C46" s="1947"/>
      <c r="D46" s="1947"/>
    </row>
    <row r="47" spans="2:5" x14ac:dyDescent="0.2">
      <c r="B47" s="1947"/>
      <c r="C47" s="1947"/>
      <c r="D47" s="1947"/>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7"/>
      <c r="C65" s="1947"/>
      <c r="D65" s="1947"/>
    </row>
    <row r="66" spans="2:4" x14ac:dyDescent="0.2">
      <c r="B66" s="1947"/>
      <c r="C66" s="1947"/>
      <c r="D66" s="1947"/>
    </row>
    <row r="67" spans="2:4" x14ac:dyDescent="0.2">
      <c r="B67" s="1958"/>
      <c r="C67" s="1958"/>
      <c r="D67" s="1958"/>
    </row>
    <row r="68" spans="2:4" x14ac:dyDescent="0.2">
      <c r="B68" s="1958"/>
      <c r="C68" s="1958"/>
      <c r="D68" s="1958"/>
    </row>
    <row r="69" spans="2:4" x14ac:dyDescent="0.2">
      <c r="B69" s="1958"/>
      <c r="C69" s="1958"/>
      <c r="D69" s="1958"/>
    </row>
    <row r="70" spans="2:4" x14ac:dyDescent="0.2">
      <c r="B70" s="1947"/>
      <c r="C70" s="1947"/>
      <c r="D70" s="194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L70"/>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541" t="str">
        <f>'Single Audit Cover'!A7</f>
        <v>Rankin CSD 98</v>
      </c>
      <c r="C1" s="2541"/>
      <c r="D1" s="2541"/>
      <c r="E1" s="2541"/>
      <c r="F1" s="1938"/>
      <c r="G1" s="1938"/>
      <c r="H1" s="1938"/>
      <c r="I1" s="1938"/>
      <c r="J1" s="1938"/>
      <c r="K1" s="1938"/>
      <c r="L1" s="1938"/>
    </row>
    <row r="2" spans="2:12" ht="13.5" customHeight="1" x14ac:dyDescent="0.2">
      <c r="B2" s="2542">
        <f>'Single Audit Cover'!E7</f>
        <v>53090098002</v>
      </c>
      <c r="C2" s="2542"/>
      <c r="D2" s="2542"/>
      <c r="E2" s="2542"/>
      <c r="F2" s="1940"/>
      <c r="G2" s="1940"/>
      <c r="H2" s="1940"/>
      <c r="I2" s="1940"/>
      <c r="J2" s="1940"/>
      <c r="K2" s="1940"/>
      <c r="L2" s="1940"/>
    </row>
    <row r="3" spans="2:12" ht="13.5" customHeight="1" x14ac:dyDescent="0.2">
      <c r="B3" s="2543" t="s">
        <v>2094</v>
      </c>
      <c r="C3" s="2543"/>
      <c r="D3" s="2543"/>
      <c r="E3" s="2543"/>
      <c r="F3" s="1941"/>
      <c r="G3" s="1941"/>
      <c r="H3" s="1941"/>
      <c r="I3" s="1941"/>
      <c r="J3" s="1941"/>
      <c r="K3" s="1941"/>
      <c r="L3" s="1941"/>
    </row>
    <row r="4" spans="2:12" ht="13.5" customHeight="1" x14ac:dyDescent="0.2">
      <c r="B4" s="2544" t="s">
        <v>1989</v>
      </c>
      <c r="C4" s="2544"/>
      <c r="D4" s="2544"/>
      <c r="E4" s="2544"/>
      <c r="F4" s="1942"/>
      <c r="G4" s="1942"/>
      <c r="H4" s="1942"/>
      <c r="I4" s="1942"/>
      <c r="J4" s="1942"/>
      <c r="K4" s="1942"/>
      <c r="L4" s="1942"/>
    </row>
    <row r="5" spans="2:12" ht="29.85" customHeight="1" x14ac:dyDescent="0.2"/>
    <row r="6" spans="2:12" ht="13.5" customHeight="1" x14ac:dyDescent="0.2">
      <c r="B6" s="1943" t="s">
        <v>2095</v>
      </c>
      <c r="C6" s="1943"/>
      <c r="D6" s="1944"/>
      <c r="E6" s="1945"/>
      <c r="F6" s="1945"/>
      <c r="G6" s="1946"/>
      <c r="H6" s="1946"/>
      <c r="I6" s="1946"/>
    </row>
    <row r="7" spans="2:12" ht="13.5" customHeight="1" x14ac:dyDescent="0.2">
      <c r="B7" s="1939" t="s">
        <v>1169</v>
      </c>
    </row>
    <row r="8" spans="2:12" ht="13.5" customHeight="1" x14ac:dyDescent="0.2">
      <c r="B8" s="1947" t="s">
        <v>2096</v>
      </c>
      <c r="C8" s="1948" t="s">
        <v>1991</v>
      </c>
      <c r="D8" s="1949">
        <v>2</v>
      </c>
    </row>
    <row r="9" spans="2:12" ht="13.5" customHeight="1" x14ac:dyDescent="0.2">
      <c r="B9" s="1950"/>
      <c r="C9" s="1950"/>
      <c r="D9" s="1950"/>
    </row>
    <row r="10" spans="2:12" ht="13.5" customHeight="1" x14ac:dyDescent="0.2">
      <c r="B10" s="1947" t="s">
        <v>2097</v>
      </c>
      <c r="C10" s="1947"/>
    </row>
    <row r="11" spans="2:12" ht="66.75" customHeight="1" x14ac:dyDescent="0.2">
      <c r="B11" s="2540" t="s">
        <v>2147</v>
      </c>
      <c r="C11" s="2540"/>
      <c r="D11" s="2540"/>
      <c r="E11" s="2540"/>
    </row>
    <row r="12" spans="2:12" ht="13.5" customHeight="1" x14ac:dyDescent="0.2"/>
    <row r="13" spans="2:12" ht="13.5" customHeight="1" x14ac:dyDescent="0.2">
      <c r="B13" s="1947" t="s">
        <v>2098</v>
      </c>
      <c r="C13" s="1947"/>
    </row>
    <row r="14" spans="2:12" ht="76.5" customHeight="1" x14ac:dyDescent="0.2">
      <c r="B14" s="2540" t="s">
        <v>2122</v>
      </c>
      <c r="C14" s="2540"/>
      <c r="D14" s="2540"/>
      <c r="E14" s="2540"/>
    </row>
    <row r="15" spans="2:12" ht="13.5" customHeight="1" x14ac:dyDescent="0.2"/>
    <row r="16" spans="2:12" ht="13.5" customHeight="1" x14ac:dyDescent="0.2">
      <c r="B16" s="1947" t="s">
        <v>2099</v>
      </c>
      <c r="C16" s="1947"/>
      <c r="E16" s="1984" t="s">
        <v>2119</v>
      </c>
    </row>
    <row r="17" spans="2:5" ht="13.5" customHeight="1" x14ac:dyDescent="0.2"/>
    <row r="18" spans="2:5" ht="13.5" customHeight="1" x14ac:dyDescent="0.2">
      <c r="B18" s="1947" t="s">
        <v>2100</v>
      </c>
      <c r="C18" s="1947"/>
      <c r="E18" s="1951" t="str">
        <f>'CAP Finding 001'!E18</f>
        <v>Matt Gordon, Superintendent</v>
      </c>
    </row>
    <row r="19" spans="2:5" ht="13.5" customHeight="1" x14ac:dyDescent="0.2"/>
    <row r="20" spans="2:5" ht="13.5" customHeight="1" x14ac:dyDescent="0.2">
      <c r="B20" s="1947" t="s">
        <v>2101</v>
      </c>
      <c r="C20" s="1947"/>
      <c r="E20" s="1982" t="s">
        <v>2108</v>
      </c>
    </row>
    <row r="21" spans="2:5" ht="13.5" customHeight="1" x14ac:dyDescent="0.2">
      <c r="E21" s="1982" t="s">
        <v>2109</v>
      </c>
    </row>
    <row r="22" spans="2:5" ht="13.5" customHeight="1" x14ac:dyDescent="0.2">
      <c r="E22" s="1982" t="s">
        <v>2110</v>
      </c>
    </row>
    <row r="23" spans="2:5" ht="13.5" customHeight="1" x14ac:dyDescent="0.2">
      <c r="E23" s="1953" t="s">
        <v>2112</v>
      </c>
    </row>
    <row r="24" spans="2:5" ht="13.5" customHeight="1" x14ac:dyDescent="0.2">
      <c r="E24" s="1953" t="s">
        <v>2111</v>
      </c>
    </row>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2102</v>
      </c>
      <c r="C42" s="1955"/>
      <c r="D42" s="1955"/>
    </row>
    <row r="43" spans="2:5" ht="12.2" customHeight="1" x14ac:dyDescent="0.2">
      <c r="B43" s="1956"/>
      <c r="C43" s="1956"/>
      <c r="D43" s="1956"/>
    </row>
    <row r="44" spans="2:5" ht="12.75" customHeight="1" x14ac:dyDescent="0.2">
      <c r="B44" s="1947"/>
      <c r="C44" s="1947"/>
      <c r="D44" s="1947"/>
    </row>
    <row r="45" spans="2:5" ht="12.75" customHeight="1" x14ac:dyDescent="0.2">
      <c r="B45" s="1947"/>
      <c r="C45" s="1947"/>
      <c r="D45" s="1947"/>
    </row>
    <row r="46" spans="2:5" x14ac:dyDescent="0.2">
      <c r="B46" s="1947"/>
      <c r="C46" s="1947"/>
      <c r="D46" s="1947"/>
    </row>
    <row r="47" spans="2:5" x14ac:dyDescent="0.2">
      <c r="B47" s="1947"/>
      <c r="C47" s="1947"/>
      <c r="D47" s="1947"/>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7"/>
      <c r="C65" s="1947"/>
      <c r="D65" s="1947"/>
    </row>
    <row r="66" spans="2:4" x14ac:dyDescent="0.2">
      <c r="B66" s="1947"/>
      <c r="C66" s="1947"/>
      <c r="D66" s="1947"/>
    </row>
    <row r="67" spans="2:4" x14ac:dyDescent="0.2">
      <c r="B67" s="1958"/>
      <c r="C67" s="1958"/>
      <c r="D67" s="1958"/>
    </row>
    <row r="68" spans="2:4" x14ac:dyDescent="0.2">
      <c r="B68" s="1958"/>
      <c r="C68" s="1958"/>
      <c r="D68" s="1958"/>
    </row>
    <row r="69" spans="2:4" x14ac:dyDescent="0.2">
      <c r="B69" s="1958"/>
      <c r="C69" s="1958"/>
      <c r="D69" s="1958"/>
    </row>
    <row r="70" spans="2:4" x14ac:dyDescent="0.2">
      <c r="B70" s="1947"/>
      <c r="C70" s="1947"/>
      <c r="D70" s="194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http://purl.org/dc/terms/"/>
    <ds:schemaRef ds:uri="http://schemas.openxmlformats.org/package/2006/metadata/core-properties"/>
    <ds:schemaRef ds:uri="http://www.w3.org/XML/1998/namespace"/>
    <ds:schemaRef ds:uri="http://schemas.microsoft.com/sharepoint/v3"/>
    <ds:schemaRef ds:uri="4d435f69-8686-490b-bd6d-b153bf22ab50"/>
    <ds:schemaRef ds:uri="http://schemas.microsoft.com/office/infopath/2007/PartnerControls"/>
    <ds:schemaRef ds:uri="d21dc803-237d-4c68-8692-8d731fd29118"/>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Finding 2019-001</vt:lpstr>
      <vt:lpstr>Finding 2019-002</vt:lpstr>
      <vt:lpstr>SF&amp;QC Sec-3</vt:lpstr>
      <vt:lpstr>SSPAF</vt:lpstr>
      <vt:lpstr>CAP Finding 001</vt:lpstr>
      <vt:lpstr>CAP Finding 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2019-10-08T12:19:14Z</cp:lastPrinted>
  <dcterms:created xsi:type="dcterms:W3CDTF">2003-10-29T19:06:34Z</dcterms:created>
  <dcterms:modified xsi:type="dcterms:W3CDTF">2019-11-21T15:53:43Z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