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C669194-C9C5-443C-8087-62144A48E21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2019-001" sheetId="183" r:id="rId34"/>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183" l="1"/>
  <c r="B1"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B6997" i="106" s="1"/>
  <c r="D6997" i="106" s="1"/>
  <c r="K94" i="29"/>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6" i="127"/>
  <c r="B67" i="127"/>
  <c r="D26" i="108"/>
  <c r="F26" i="108"/>
  <c r="E27" i="108"/>
  <c r="G27" i="108"/>
  <c r="F36" i="108"/>
  <c r="G28" i="108"/>
  <c r="E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J22" i="37"/>
  <c r="D24" i="37"/>
  <c r="B4270" i="106" s="1"/>
  <c r="D4270" i="106" s="1"/>
  <c r="L5" i="11"/>
  <c r="B2056" i="106" s="1"/>
  <c r="D2056" i="106" s="1"/>
  <c r="G14" i="4" l="1"/>
  <c r="B2609" i="106" s="1"/>
  <c r="D2609" i="106" s="1"/>
  <c r="F72" i="34"/>
  <c r="D54" i="36"/>
  <c r="B6289" i="106"/>
  <c r="D6289" i="106" s="1"/>
  <c r="F71" i="34"/>
  <c r="J210" i="29"/>
  <c r="B7072" i="106" s="1"/>
  <c r="D7072" i="106" s="1"/>
  <c r="I210" i="29"/>
  <c r="B7071" i="106" s="1"/>
  <c r="D7071" i="106" s="1"/>
  <c r="G30" i="108"/>
  <c r="H76" i="4"/>
  <c r="B3298" i="106" s="1"/>
  <c r="D3298" i="106" s="1"/>
  <c r="B1124" i="106"/>
  <c r="D1124" i="106" s="1"/>
  <c r="B6995" i="106"/>
  <c r="D6995" i="106" s="1"/>
  <c r="F49" i="34"/>
  <c r="F42" i="34"/>
  <c r="L15" i="11"/>
  <c r="B3459" i="106" s="1"/>
  <c r="D3459" i="106" s="1"/>
  <c r="L367" i="29"/>
  <c r="H365" i="29"/>
  <c r="B7242" i="106" s="1"/>
  <c r="D7242" i="106" s="1"/>
  <c r="J352" i="29"/>
  <c r="J367" i="29" s="1"/>
  <c r="B7245" i="106" s="1"/>
  <c r="D7245" i="106" s="1"/>
  <c r="C352" i="29"/>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1" i="106" l="1"/>
  <c r="D7250" i="106"/>
  <c r="D7255" i="106"/>
  <c r="D7254" i="106"/>
  <c r="D7256" i="106"/>
  <c r="D7252" i="106"/>
  <c r="I7" i="4"/>
  <c r="B4444" i="106" s="1"/>
  <c r="D4444"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<sst xmlns="http://schemas.openxmlformats.org/spreadsheetml/2006/main" count="5129" uniqueCount="2148">
  <si>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</si>
  <si>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</si>
  <si>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</si>
  <si>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</si>
  <si>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</si>
  <si>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</si>
  <si>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</si>
  <si>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</si>
  <si>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</si>
  <si>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</si>
  <si>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</si>
  <si>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</si>
  <si>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</si>
  <si>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</si>
  <si>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</si>
  <si>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</si>
  <si>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</si>
  <si>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</si>
  <si>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</si>
  <si>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</si>
  <si>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</si>
  <si>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</si>
  <si>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</si>
  <si>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</si>
  <si>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</si>
  <si>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</si>
  <si>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</si>
  <si>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</si>
  <si>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</si>
  <si>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</si>
  <si>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</si>
  <si>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</si>
  <si>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</si>
  <si>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</si>
  <si>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</si>
  <si>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</si>
  <si>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</si>
  <si>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</si>
  <si>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</si>
  <si>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</si>
  <si>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</si>
  <si>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</si>
  <si>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</si>
  <si>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</si>
  <si>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</si>
  <si>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</si>
  <si>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</si>
  <si>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</si>
  <si>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</si>
  <si>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</si>
  <si>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</si>
  <si>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</si>
  <si>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</si>
  <si>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</si>
  <si>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</si>
  <si>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</si>
  <si>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</si>
  <si>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</si>
  <si>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</si>
  <si>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</si>
  <si>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</si>
  <si>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</si>
  <si>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</si>
  <si>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</si>
  <si>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</si>
  <si>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</si>
  <si>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</si>
  <si>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</si>
  <si>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</si>
  <si>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</si>
  <si>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</si>
  <si>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</si>
  <si>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</si>
  <si>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</si>
  <si>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</si>
  <si>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</si>
  <si>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</si>
  <si>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</si>
  <si>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</si>
  <si>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</si>
  <si>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</si>
  <si>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</si>
  <si>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</si>
  <si>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</si>
  <si>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</si>
  <si>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</si>
  <si>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</si>
  <si>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</si>
  <si>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</si>
  <si>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</si>
  <si>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</si>
  <si>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</si>
  <si>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</si>
  <si>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</si>
  <si>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</si>
  <si>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</si>
  <si>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</si>
  <si>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</si>
  <si>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</si>
  <si>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</si>
  <si>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</si>
  <si>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</si>
  <si>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</si>
  <si>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</si>
  <si>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</si>
  <si>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</si>
  <si>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</si>
  <si>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</si>
  <si>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</si>
  <si>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</si>
  <si>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</si>
  <si>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</si>
  <si>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</si>
  <si>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</si>
  <si>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</si>
  <si>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</si>
  <si>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</si>
  <si>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</si>
  <si>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</si>
  <si>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</si>
  <si>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</si>
  <si>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</si>
  <si>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</si>
  <si>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</si>
  <si>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</si>
  <si>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</si>
  <si>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</si>
  <si>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</si>
  <si>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</si>
  <si>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</si>
  <si>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</si>
  <si>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</si>
  <si>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</si>
  <si>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</si>
  <si>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</si>
  <si>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</si>
  <si>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</si>
  <si>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</si>
  <si>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</si>
  <si>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</si>
  <si>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</si>
  <si>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</si>
  <si>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</si>
  <si>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</si>
  <si>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</si>
  <si>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</si>
  <si>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</si>
  <si>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</si>
  <si>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</si>
  <si>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</si>
  <si>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</si>
  <si>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</si>
  <si>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</si>
  <si>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</si>
  <si>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</si>
  <si>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</si>
  <si>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</si>
  <si>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</si>
  <si>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</si>
  <si>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</si>
  <si>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</si>
  <si>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</si>
  <si>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</si>
  <si>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</si>
  <si>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</si>
  <si>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</si>
  <si>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</si>
  <si>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</si>
  <si>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</si>
  <si>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</si>
  <si>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</si>
  <si>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</si>
  <si>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</si>
  <si>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</si>
  <si>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</si>
  <si>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</si>
  <si>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</si>
  <si>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</si>
  <si>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</si>
  <si>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</si>
  <si>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</si>
  <si>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</si>
  <si>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</si>
  <si>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</si>
  <si>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</si>
  <si>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</si>
  <si>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</si>
  <si>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</si>
  <si>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</si>
  <si>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</si>
  <si>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</si>
  <si>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</si>
  <si>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</si>
  <si>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</si>
  <si>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</si>
  <si>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</si>
  <si>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</si>
  <si>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</si>
  <si>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</si>
  <si>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</si>
  <si>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</si>
  <si>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</si>
  <si>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</si>
  <si>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</si>
  <si>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</si>
  <si>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</si>
  <si>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</si>
  <si>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</si>
  <si>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</si>
  <si>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</si>
  <si>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</si>
  <si>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</si>
  <si>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</si>
  <si>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</si>
  <si>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</si>
  <si>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</si>
  <si>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</si>
  <si>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</si>
  <si>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</si>
  <si>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</si>
  <si>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</si>
  <si>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</si>
  <si>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</si>
  <si>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</si>
  <si>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</si>
  <si>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</si>
  <si>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</si>
  <si>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</si>
  <si>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</si>
  <si>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</si>
  <si>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</si>
  <si>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</si>
  <si>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</si>
  <si>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</si>
  <si>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</si>
  <si>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</si>
  <si>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</si>
  <si>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</si>
  <si>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</si>
  <si>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</si>
  <si>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</si>
  <si>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</si>
  <si>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</si>
  <si>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</si>
  <si>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</si>
  <si>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</si>
  <si>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</si>
  <si>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</si>
  <si>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</si>
  <si>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</si>
  <si>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</si>
  <si>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</si>
  <si>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</si>
  <si>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</si>
  <si>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</si>
  <si>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</si>
  <si>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</si>
  <si>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</si>
  <si>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</si>
  <si>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</si>
  <si>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</si>
  <si>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</si>
  <si>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</si>
  <si>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</si>
  <si>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</si>
  <si>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</si>
  <si>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</si>
  <si>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</si>
  <si>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</si>
  <si>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</si>
  <si>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</si>
  <si>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</si>
  <si>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</si>
  <si>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</si>
  <si>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</si>
  <si>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</si>
  <si>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</si>
  <si>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</si>
  <si>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</si>
  <si>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</si>
  <si>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</si>
  <si>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</si>
  <si>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</si>
  <si>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</si>
  <si>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</si>
  <si>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</si>
  <si>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</si>
  <si>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</si>
  <si>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</si>
  <si>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</si>
  <si>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</si>
  <si>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</si>
  <si>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</si>
  <si>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</si>
  <si>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</si>
  <si>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</si>
  <si>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</si>
  <si>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</si>
  <si>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</si>
  <si>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</si>
  <si>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</si>
  <si>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</si>
  <si>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</si>
  <si>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</si>
  <si>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</si>
  <si>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</si>
  <si>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</si>
  <si>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</si>
  <si>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</si>
  <si>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</si>
  <si>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</si>
  <si>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</si>
  <si>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</si>
  <si>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</si>
  <si>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</si>
  <si>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</si>
  <si>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</si>
  <si>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</si>
  <si>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</si>
  <si>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</si>
  <si>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</si>
  <si>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</si>
  <si>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</si>
  <si>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</si>
  <si>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</si>
  <si>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</si>
  <si>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</si>
  <si>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</si>
  <si>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</si>
  <si>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</si>
  <si>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</si>
  <si>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</si>
  <si>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</si>
  <si>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</si>
  <si>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</si>
  <si>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</si>
  <si>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</si>
  <si>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</si>
  <si>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</si>
  <si>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</si>
  <si>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</si>
  <si>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</si>
  <si>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</si>
  <si>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</si>
  <si>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</si>
  <si>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</si>
  <si>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</si>
  <si>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</si>
  <si>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</si>
  <si>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</si>
  <si>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</si>
  <si>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</si>
  <si>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</si>
  <si>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</si>
  <si>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</si>
  <si>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</si>
  <si>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</si>
  <si>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</si>
  <si>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</si>
  <si>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</si>
  <si>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</si>
  <si>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</si>
  <si>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</si>
  <si>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</si>
  <si>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</si>
  <si>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</si>
  <si>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</si>
  <si>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</si>
  <si>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</si>
  <si>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</si>
  <si>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</si>
  <si>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</si>
  <si>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</si>
  <si>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</si>
  <si>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</si>
  <si>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</si>
  <si>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</si>
  <si>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</si>
  <si>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</si>
  <si>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</si>
  <si>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</si>
  <si>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</si>
  <si>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</si>
  <si>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</si>
  <si>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</si>
  <si>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</si>
  <si>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</si>
  <si>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</si>
  <si>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</si>
  <si>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</si>
  <si>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</si>
  <si>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</si>
  <si>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</si>
  <si>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</si>
  <si>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</si>
  <si>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</si>
  <si>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</si>
  <si>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</si>
  <si>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</si>
  <si>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</si>
  <si>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</si>
  <si>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</si>
  <si>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</si>
  <si>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</si>
  <si>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</si>
  <si>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</si>
  <si>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</si>
  <si>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</si>
  <si>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</si>
  <si>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</si>
  <si>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</si>
  <si>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</si>
  <si>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</si>
  <si>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</si>
  <si>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</si>
  <si>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</si>
  <si>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</si>
  <si>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</si>
  <si>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</si>
  <si>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</si>
  <si>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</si>
  <si>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</si>
  <si>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</si>
  <si>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</si>
  <si>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</si>
  <si>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</si>
  <si>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</si>
  <si>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</si>
  <si>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</si>
  <si>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</si>
  <si>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</si>
  <si>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</si>
  <si>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</si>
  <si>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</si>
  <si>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</si>
  <si>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</si>
  <si>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</si>
  <si>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</si>
  <si>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</si>
  <si>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</si>
  <si>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</si>
  <si>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</si>
  <si>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</si>
  <si>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</si>
  <si>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</si>
  <si>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</si>
  <si>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</si>
  <si>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</si>
  <si>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</si>
  <si>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</si>
  <si>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</si>
  <si>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</si>
  <si>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</si>
  <si>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</si>
  <si>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</si>
  <si>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</si>
  <si>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</si>
  <si>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</si>
  <si>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</si>
  <si>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</si>
  <si>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</si>
  <si>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</si>
  <si>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</si>
  <si>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</si>
  <si>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</si>
  <si>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</si>
  <si>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</si>
  <si>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</si>
  <si>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</si>
  <si>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</si>
  <si>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</si>
  <si>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</si>
  <si>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</si>
  <si>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</si>
  <si>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</si>
  <si>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</si>
  <si>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</si>
  <si>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</si>
  <si>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</si>
  <si>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</si>
  <si>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</si>
  <si>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</si>
  <si>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</si>
  <si>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</si>
  <si>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</si>
  <si>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</si>
  <si>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</si>
  <si>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</si>
  <si>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</si>
  <si>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</si>
  <si>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</si>
  <si>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</si>
  <si>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</si>
  <si>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</si>
  <si>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</si>
  <si>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</si>
  <si>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</si>
  <si>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</si>
  <si>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</si>
  <si>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</si>
  <si>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</si>
  <si>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</si>
  <si>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</si>
  <si>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</si>
  <si>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</si>
  <si>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</si>
  <si>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</si>
  <si>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</si>
  <si>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</si>
  <si>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</si>
  <si>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</si>
  <si>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</si>
  <si>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</si>
  <si>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</si>
  <si>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</si>
  <si>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</si>
  <si>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</si>
  <si>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</si>
  <si>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</si>
  <si>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</si>
  <si>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</si>
  <si>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</si>
  <si>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</si>
  <si>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</si>
  <si>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</si>
  <si>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</si>
  <si>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</si>
  <si>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</si>
  <si>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</si>
  <si>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</si>
  <si>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</si>
  <si>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</si>
  <si>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</si>
  <si>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</si>
  <si>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</si>
  <si>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</si>
  <si>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</si>
  <si>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</si>
  <si>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</si>
  <si>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</si>
  <si>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</si>
  <si>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</si>
  <si>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</si>
  <si>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</si>
  <si>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</si>
  <si>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</si>
  <si>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</si>
  <si>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</si>
  <si>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</si>
  <si>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</si>
  <si>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</si>
  <si>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</si>
  <si>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</si>
  <si>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</si>
  <si>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</si>
  <si>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</si>
  <si>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</si>
  <si>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</si>
  <si>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</si>
  <si>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</si>
  <si>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</si>
  <si>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</si>
  <si>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</si>
  <si>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</si>
  <si>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</si>
  <si>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</si>
  <si>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</si>
  <si>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</si>
  <si>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</si>
  <si>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</si>
  <si>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</si>
  <si>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</si>
  <si>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</si>
  <si>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</si>
  <si>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</si>
  <si>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</si>
  <si>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</si>
  <si>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</si>
  <si>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</si>
  <si>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</si>
  <si>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</si>
  <si>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</si>
  <si>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</si>
  <si>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</si>
  <si>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</si>
  <si>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</si>
  <si>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</si>
  <si>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</si>
  <si>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</si>
  <si>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</si>
  <si>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</si>
  <si>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</si>
  <si>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</si>
  <si>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</si>
  <si>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</si>
  <si>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</si>
  <si>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</si>
  <si>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</si>
  <si>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</si>
  <si>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</si>
  <si>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</si>
  <si>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</si>
  <si>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</si>
  <si>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</si>
  <si>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</si>
  <si>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</si>
  <si>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</si>
  <si>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</si>
  <si>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</si>
  <si>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</si>
  <si>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</si>
  <si>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</si>
  <si>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</si>
  <si>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</si>
  <si>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</si>
  <si>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</si>
  <si>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</si>
  <si>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</si>
  <si>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</si>
  <si>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</si>
  <si>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</si>
  <si>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</si>
  <si>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</si>
  <si>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</si>
  <si>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</si>
  <si>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</si>
  <si>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</si>
  <si>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</si>
  <si>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</si>
  <si>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</si>
  <si>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</si>
  <si>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</si>
  <si>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</si>
  <si>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</si>
  <si>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</si>
  <si>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</si>
  <si>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</si>
  <si>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</si>
  <si>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</si>
  <si>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</si>
  <si>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</si>
  <si>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</si>
  <si>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</si>
  <si>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</si>
  <si>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</si>
  <si>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</si>
  <si>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</si>
  <si>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</si>
  <si>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</si>
  <si>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</si>
  <si>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</si>
  <si>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</si>
  <si>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</si>
  <si>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</si>
  <si>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</si>
  <si>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</si>
  <si>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</si>
  <si>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</si>
  <si>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</si>
  <si>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</si>
  <si>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</si>
  <si>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</si>
  <si>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</si>
  <si>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</si>
  <si>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</si>
  <si>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</si>
  <si>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</si>
  <si>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</si>
  <si>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</si>
  <si>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</si>
  <si>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</si>
  <si>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</si>
  <si>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</si>
  <si>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</si>
  <si>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</si>
  <si>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</si>
  <si>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</si>
  <si>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</si>
  <si>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</si>
  <si>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</si>
  <si>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</si>
  <si>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</si>
  <si>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</si>
  <si>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</si>
  <si>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</si>
  <si>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</si>
  <si>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</si>
  <si>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</si>
  <si>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</si>
  <si>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</si>
  <si>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</si>
  <si>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</si>
  <si>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</si>
  <si>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</si>
  <si>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</si>
  <si>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</si>
  <si>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</si>
  <si>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</si>
  <si>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</si>
  <si>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</si>
  <si>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</si>
  <si>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</si>
  <si>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</si>
  <si>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</si>
  <si>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</si>
  <si>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</si>
  <si>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</si>
  <si>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</si>
  <si>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</si>
  <si>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</si>
  <si>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</si>
  <si>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</si>
  <si>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</si>
  <si>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</si>
  <si>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</si>
  <si>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</si>
  <si>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</si>
  <si>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</si>
  <si>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</si>
  <si>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</si>
  <si>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</si>
  <si>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</si>
  <si>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</si>
  <si>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</si>
  <si>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</si>
  <si>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</si>
  <si>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</si>
  <si>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</si>
  <si>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</si>
  <si>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</si>
  <si>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</si>
  <si>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</si>
  <si>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</si>
  <si>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</si>
  <si>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</si>
  <si>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</si>
  <si>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</si>
  <si>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</si>
  <si>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</si>
  <si>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</si>
  <si>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</si>
  <si>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</si>
  <si>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</si>
  <si>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</si>
  <si>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</si>
  <si>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</si>
  <si>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</si>
  <si>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</si>
  <si>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</si>
  <si>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</si>
  <si>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</si>
  <si>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</si>
  <si>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</si>
  <si>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</si>
  <si>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</si>
  <si>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</si>
  <si>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</si>
  <si>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</si>
  <si>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</si>
  <si>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</si>
  <si>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</si>
  <si>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</si>
  <si>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</si>
  <si>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</si>
  <si>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</si>
  <si>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</si>
  <si>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</si>
  <si>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</si>
  <si>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</si>
  <si>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</si>
  <si>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</si>
  <si>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</si>
  <si>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</si>
  <si>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</si>
  <si>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</si>
  <si>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</si>
  <si>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</si>
  <si>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</si>
  <si>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</si>
  <si>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</si>
  <si>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</si>
  <si>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</si>
  <si>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</si>
  <si>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</si>
  <si>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</si>
  <si>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</si>
  <si>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</si>
  <si>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</si>
  <si>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</si>
  <si>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</si>
  <si>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</si>
  <si>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</si>
  <si>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</si>
  <si>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</si>
  <si>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</si>
  <si>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</si>
  <si>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</si>
  <si>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</si>
  <si>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</si>
  <si>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</si>
  <si>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</si>
  <si>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</si>
  <si>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</si>
  <si>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</si>
  <si>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</si>
  <si>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</si>
  <si>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</si>
  <si>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</si>
  <si>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</si>
  <si>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</si>
  <si>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</si>
  <si>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</si>
  <si>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</si>
  <si>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</si>
  <si>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</si>
  <si>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</si>
  <si>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</si>
  <si>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</si>
  <si>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</si>
  <si>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</si>
  <si>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</si>
  <si>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</si>
  <si>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</si>
  <si>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</si>
  <si>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</si>
  <si>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</si>
  <si>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</si>
  <si>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</si>
  <si>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</si>
  <si>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</si>
  <si>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</si>
  <si>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</si>
  <si>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</si>
  <si>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</si>
  <si>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</si>
  <si>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</si>
  <si>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</si>
  <si>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</si>
  <si>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</si>
  <si>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</si>
  <si>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</si>
  <si>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</si>
  <si>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</si>
  <si>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</si>
  <si>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</si>
  <si>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</si>
  <si>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</si>
  <si>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</si>
  <si>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</si>
  <si>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</si>
  <si>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</si>
  <si>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</si>
  <si>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</si>
  <si>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</si>
  <si>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</si>
  <si>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</si>
  <si>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</si>
  <si>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</si>
  <si>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</si>
  <si>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</si>
  <si>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</si>
  <si>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</si>
  <si>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</si>
  <si>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</si>
  <si>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</si>
  <si>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</si>
  <si>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</si>
  <si>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</si>
  <si>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</si>
  <si>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</si>
  <si>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</si>
  <si>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</si>
  <si>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</si>
  <si>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</si>
  <si>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</si>
  <si>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</si>
  <si>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</si>
  <si>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</si>
  <si>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</si>
  <si>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</si>
  <si>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</si>
  <si>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</si>
  <si>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</si>
  <si>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</si>
  <si>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</si>
  <si>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</si>
  <si>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</si>
  <si>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</si>
  <si>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</si>
  <si>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</si>
  <si>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</si>
  <si>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</si>
  <si>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</si>
  <si>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</si>
  <si>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</si>
  <si>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</si>
  <si>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</si>
  <si>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</si>
  <si>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</si>
  <si>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</si>
  <si>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</si>
  <si>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</si>
  <si>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</si>
  <si>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</si>
  <si>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</si>
  <si>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</si>
  <si>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</si>
  <si>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</si>
  <si>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</si>
  <si>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</si>
  <si>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</si>
  <si>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</si>
  <si>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</si>
  <si>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</si>
  <si>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</si>
  <si>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</si>
  <si>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</si>
  <si>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</si>
  <si>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</si>
  <si>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</si>
  <si>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</si>
  <si>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</si>
  <si>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</si>
  <si>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</si>
  <si>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</si>
  <si>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</si>
  <si>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</si>
  <si>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</si>
  <si>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</si>
  <si>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</si>
  <si>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</si>
  <si>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</si>
  <si>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</si>
  <si>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</si>
  <si>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</si>
  <si>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</si>
  <si>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</si>
  <si>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</si>
  <si>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</si>
  <si>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</si>
  <si>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</si>
  <si>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</si>
  <si>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</si>
  <si>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</si>
  <si>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</si>
  <si>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</si>
  <si>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</si>
  <si>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</si>
  <si>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</si>
  <si>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</si>
  <si>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</si>
  <si>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</si>
  <si>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</si>
  <si>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</si>
  <si>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</si>
  <si>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</si>
  <si>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</si>
  <si>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</si>
  <si>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</si>
  <si>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</si>
  <si>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</si>
  <si>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</si>
  <si>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</si>
  <si>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</si>
  <si>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</si>
  <si>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</si>
  <si>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</si>
  <si>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</si>
  <si>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</si>
  <si>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</si>
  <si>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</si>
  <si>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</si>
  <si>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</si>
  <si>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</si>
  <si>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</si>
  <si>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</si>
  <si>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</si>
  <si>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</si>
  <si>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</si>
  <si>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</si>
  <si>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</si>
  <si>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</si>
  <si>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</si>
  <si>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</si>
  <si>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</si>
  <si>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</si>
  <si>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</si>
  <si>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</si>
  <si>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</si>
  <si>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</si>
  <si>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</si>
  <si>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</si>
  <si>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</si>
  <si>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</si>
  <si>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</si>
  <si>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</si>
  <si>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</si>
  <si>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</si>
  <si>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</si>
  <si>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</si>
  <si>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</si>
  <si>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</si>
  <si>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</si>
  <si>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</si>
  <si>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</si>
  <si>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</si>
  <si>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</si>
  <si>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</si>
  <si>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</si>
  <si>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</si>
  <si>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</si>
  <si>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</si>
  <si>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</si>
  <si>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</si>
  <si>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</si>
  <si>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</si>
  <si>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</si>
  <si>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</si>
  <si>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</si>
  <si>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</si>
  <si>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</si>
  <si>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</si>
  <si>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</si>
  <si>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</si>
  <si>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</si>
  <si>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</si>
  <si>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</si>
  <si>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</si>
  <si>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</si>
  <si>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</si>
  <si>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</si>
  <si>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</si>
  <si>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</si>
  <si>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</si>
  <si>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</si>
  <si>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</si>
  <si>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</si>
  <si>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</si>
  <si>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</si>
  <si>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</si>
  <si>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</si>
  <si>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</si>
  <si>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</si>
  <si>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</si>
  <si>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</si>
  <si>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</si>
  <si>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</si>
  <si>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</si>
  <si>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</si>
  <si>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</si>
  <si>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</si>
  <si>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</si>
  <si>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</si>
  <si>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</si>
  <si>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</si>
  <si>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</si>
  <si>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</si>
  <si>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</si>
  <si>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</si>
  <si>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</si>
  <si>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</si>
  <si>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</si>
  <si>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</si>
  <si>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</si>
  <si>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</si>
  <si>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</si>
  <si>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</si>
  <si>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</si>
  <si>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</si>
  <si>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</si>
  <si>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</si>
  <si>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</si>
  <si>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</si>
  <si>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</si>
  <si>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</si>
  <si>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</si>
  <si>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</si>
  <si>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</si>
  <si>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</si>
  <si>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</si>
  <si>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</si>
  <si>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</si>
  <si>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</si>
  <si>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</si>
  <si>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</si>
  <si>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</si>
  <si>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</si>
  <si>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</si>
  <si>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</si>
  <si>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</si>
  <si>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</si>
  <si>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</si>
  <si>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</si>
  <si>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</si>
  <si>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</si>
  <si>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</si>
  <si>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</si>
  <si>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</si>
  <si>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</si>
  <si>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</si>
  <si>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</si>
  <si>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</si>
  <si>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</si>
  <si>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</si>
  <si>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</si>
  <si>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</si>
  <si>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</si>
  <si>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</si>
  <si>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</si>
  <si>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</si>
  <si>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</si>
  <si>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</si>
  <si>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</si>
  <si>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</si>
  <si>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</si>
  <si>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</si>
  <si>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</si>
  <si>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</si>
  <si>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</si>
  <si>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</si>
  <si>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</si>
  <si>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</si>
  <si>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</si>
  <si>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</si>
  <si>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</si>
  <si>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</si>
  <si>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</si>
  <si>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</si>
  <si>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</si>
  <si>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</si>
  <si>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</si>
  <si>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</si>
  <si>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</si>
  <si>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</si>
  <si>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</si>
  <si>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</si>
  <si>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</si>
  <si>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</si>
  <si>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</si>
  <si>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</si>
  <si>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</si>
  <si>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</si>
  <si>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</si>
  <si>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</si>
  <si>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</si>
  <si>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</si>
  <si>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</si>
  <si>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</si>
  <si>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</si>
  <si>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</si>
  <si>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</si>
  <si>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</si>
  <si>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</si>
  <si>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</si>
  <si>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</si>
  <si>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</si>
  <si>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</si>
  <si>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</si>
  <si>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</si>
  <si>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</si>
  <si>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</si>
  <si>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</si>
  <si>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</si>
  <si>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</si>
  <si>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</si>
  <si>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</si>
  <si>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</si>
  <si>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</si>
  <si>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</si>
  <si>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</si>
  <si>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</si>
  <si>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</si>
  <si>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</si>
  <si>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</si>
  <si>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</si>
  <si>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</si>
  <si>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</si>
  <si>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</si>
  <si>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</si>
  <si>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</si>
  <si>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</si>
  <si>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</si>
  <si>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</si>
  <si>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</si>
  <si>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</si>
  <si>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</si>
  <si>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</si>
  <si>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</si>
  <si>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</si>
  <si>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</si>
  <si>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</si>
  <si>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</si>
  <si>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</si>
  <si>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</si>
  <si>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</si>
  <si>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</si>
  <si>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</si>
  <si>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</si>
  <si>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</si>
  <si>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</si>
  <si>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</si>
  <si>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</si>
  <si>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</si>
  <si>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</si>
  <si>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</si>
  <si>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</si>
  <si>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</si>
  <si>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</si>
  <si>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</si>
  <si>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</si>
  <si>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</si>
  <si>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</si>
  <si>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</si>
  <si>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</si>
  <si>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</si>
  <si>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</si>
  <si>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</si>
  <si>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</si>
  <si>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</si>
  <si>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</si>
  <si>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</si>
  <si>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</si>
  <si>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</si>
  <si>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</si>
  <si>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</si>
  <si>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</si>
  <si>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</si>
  <si>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</si>
  <si>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</si>
  <si>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</si>
  <si>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</si>
  <si>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</si>
  <si>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</si>
  <si>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</si>
  <si>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</si>
  <si>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</si>
  <si>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</si>
  <si>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</si>
  <si>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</si>
  <si>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</si>
  <si>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</si>
  <si>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</si>
  <si>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</si>
  <si>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</si>
  <si>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</si>
  <si>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</si>
  <si>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</si>
  <si>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</si>
  <si>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</si>
  <si>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</si>
  <si>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</si>
  <si>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</si>
  <si>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</si>
  <si>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</si>
  <si>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</si>
  <si>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</si>
  <si>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</si>
  <si>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</si>
  <si>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</si>
  <si>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</si>
  <si>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</si>
  <si>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</si>
  <si>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</si>
  <si>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</si>
  <si>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</si>
  <si>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</si>
  <si>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</si>
  <si>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</si>
  <si>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</si>
  <si>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</si>
  <si>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</si>
  <si>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</si>
  <si>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</si>
  <si>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</si>
  <si>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</si>
  <si>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</si>
  <si>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</si>
  <si>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</si>
  <si>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</si>
  <si>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</si>
  <si>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</si>
  <si>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</si>
  <si>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</si>
  <si>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</si>
  <si>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</si>
  <si>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</si>
  <si>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</si>
  <si>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</si>
  <si>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</si>
  <si>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</si>
  <si>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</si>
  <si>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</si>
  <si>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</si>
  <si>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</si>
  <si>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</si>
  <si>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</si>
  <si>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</si>
  <si>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</si>
  <si>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</si>
  <si>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</si>
  <si>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</si>
  <si>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</si>
  <si>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</si>
  <si>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</si>
  <si>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</si>
  <si>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</si>
  <si>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</si>
  <si>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</si>
  <si>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</si>
  <si>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</si>
  <si>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</si>
  <si>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</si>
  <si>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</si>
  <si>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</si>
  <si>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</si>
  <si>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</si>
  <si>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</si>
  <si>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</si>
  <si>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</si>
  <si>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</si>
  <si>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</si>
  <si>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</si>
  <si>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</si>
  <si>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</si>
  <si>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</si>
  <si>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</si>
  <si>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</si>
  <si>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</si>
  <si>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</si>
  <si>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</si>
  <si>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</si>
  <si>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</si>
  <si>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</si>
  <si>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</si>
  <si>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</si>
  <si>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</si>
  <si>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</si>
  <si>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</si>
  <si>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</si>
  <si>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</si>
  <si>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</si>
  <si>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</si>
  <si>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</si>
  <si>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</si>
  <si>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</si>
  <si>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</si>
  <si>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</si>
  <si>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</si>
  <si>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</si>
  <si>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</si>
  <si>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</si>
  <si>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</si>
  <si>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</si>
  <si>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</si>
  <si>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</si>
  <si>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</si>
  <si>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</si>
  <si>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</si>
  <si>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</si>
  <si>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</si>
  <si>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</si>
  <si>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</si>
  <si>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</si>
  <si>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</si>
  <si>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</si>
  <si>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</si>
  <si>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</si>
  <si>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</si>
  <si>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</si>
  <si>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</si>
  <si>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</si>
  <si>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</si>
  <si>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</si>
  <si>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</si>
  <si>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</si>
  <si>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</si>
  <si>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</si>
  <si>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</si>
  <si>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</si>
  <si>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</si>
  <si>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</si>
  <si>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</si>
  <si>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</si>
  <si>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</si>
  <si>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</si>
  <si>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</si>
  <si>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</si>
  <si>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</si>
  <si>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</si>
  <si>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</si>
  <si>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</si>
  <si>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</si>
  <si>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</si>
  <si>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</si>
  <si>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</si>
  <si>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</si>
  <si>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</si>
  <si>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</si>
  <si>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</si>
  <si>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</si>
  <si>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</si>
  <si>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</si>
  <si>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</si>
  <si>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</si>
  <si>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</si>
  <si>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</si>
  <si>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</si>
  <si>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</si>
  <si>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</si>
  <si>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</si>
  <si>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</si>
  <si>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</si>
  <si>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</si>
  <si>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</si>
  <si>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</si>
  <si>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</si>
  <si>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</si>
  <si>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</si>
  <si>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</si>
  <si>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</si>
  <si>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</si>
  <si>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</si>
  <si>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</si>
  <si>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</si>
  <si>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</si>
  <si>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</si>
  <si>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</si>
  <si>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</si>
  <si>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</si>
  <si>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</si>
  <si>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</si>
  <si>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</si>
  <si>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</si>
  <si>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</si>
  <si>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</si>
  <si>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</si>
  <si>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</si>
  <si>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</si>
  <si>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</si>
  <si>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</si>
  <si>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</si>
  <si>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</si>
  <si>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</si>
  <si>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</si>
  <si>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</si>
  <si>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</si>
  <si>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</si>
  <si>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</si>
  <si>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</si>
  <si>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</si>
  <si>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</si>
  <si>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</si>
  <si>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</si>
  <si>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</si>
  <si>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</si>
  <si>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</si>
  <si>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</si>
  <si>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</si>
  <si>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</si>
  <si>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</si>
  <si>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</si>
  <si>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</si>
  <si>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</si>
  <si>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</si>
  <si>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</si>
  <si>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</si>
  <si>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</si>
  <si>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</si>
  <si>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</si>
  <si>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</si>
  <si>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</si>
  <si>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</si>
  <si>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</si>
  <si>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</si>
  <si>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</si>
  <si>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</si>
  <si>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</si>
  <si>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</si>
  <si>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</si>
  <si>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</si>
  <si>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</si>
  <si>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</si>
  <si>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</si>
  <si>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</si>
  <si>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</si>
  <si>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</si>
  <si>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</si>
  <si>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</si>
  <si>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</si>
  <si>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</si>
  <si>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</si>
  <si>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</si>
  <si>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</si>
  <si>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</si>
  <si>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</si>
  <si>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</si>
  <si>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</si>
  <si>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</si>
  <si>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</si>
  <si>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</si>
  <si>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</si>
  <si>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</si>
  <si>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</si>
  <si>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</si>
  <si>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</si>
  <si>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</si>
  <si>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</si>
  <si>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</si>
  <si>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</si>
  <si>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</si>
  <si>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</si>
  <si>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</si>
  <si>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</si>
  <si>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</si>
  <si>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</si>
  <si>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</si>
  <si>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</si>
  <si>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</si>
  <si>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</si>
  <si>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</si>
  <si>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</si>
  <si>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</si>
  <si>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</si>
  <si>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</si>
  <si>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</si>
  <si>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</si>
  <si>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</si>
  <si>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</si>
  <si>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</si>
  <si>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</si>
  <si>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</si>
  <si>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</si>
  <si>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</si>
  <si>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</si>
  <si>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</si>
  <si>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</si>
  <si>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</si>
  <si>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</si>
  <si>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</si>
  <si>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</si>
  <si>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</si>
  <si>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</si>
  <si>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</si>
  <si>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</si>
  <si>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</si>
  <si>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</si>
  <si>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</si>
  <si>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</si>
  <si>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</si>
  <si>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</si>
  <si>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</si>
  <si>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</si>
  <si>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</si>
  <si>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</si>
  <si>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</si>
  <si>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</si>
  <si>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</si>
  <si>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</si>
  <si>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</si>
  <si>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</si>
  <si>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</si>
  <si>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</si>
  <si>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</si>
  <si>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</si>
  <si>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</si>
  <si>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</si>
  <si>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</si>
  <si>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</si>
  <si>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</si>
  <si>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</si>
  <si>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</si>
  <si>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</si>
  <si>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</si>
  <si>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</si>
  <si>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</si>
  <si>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</si>
  <si>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</si>
  <si>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</si>
  <si>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</si>
  <si>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</si>
  <si>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</si>
  <si>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</si>
  <si>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</si>
  <si>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</si>
  <si>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</si>
  <si>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</si>
  <si>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</si>
  <si>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</si>
  <si>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</si>
  <si>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</si>
  <si>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</si>
  <si>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</si>
  <si>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</si>
  <si>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</si>
  <si>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</si>
  <si>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</si>
  <si>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</si>
  <si>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</si>
  <si>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</si>
  <si>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</si>
  <si>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</si>
  <si>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</si>
  <si>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</si>
  <si>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</si>
  <si>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</si>
  <si>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</si>
  <si>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</si>
  <si>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</si>
  <si>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</si>
  <si>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</si>
  <si>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</si>
  <si>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</si>
  <si>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</si>
  <si>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</si>
  <si>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</si>
  <si>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</si>
  <si>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</si>
  <si>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</si>
  <si>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</si>
  <si>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</si>
  <si>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</si>
  <si>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</si>
  <si>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</si>
  <si>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</si>
  <si>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</si>
  <si>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</si>
  <si>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</si>
  <si>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</si>
  <si>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</si>
  <si>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</si>
  <si>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</si>
  <si>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</si>
  <si>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</si>
  <si>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</si>
  <si>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</si>
  <si>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</si>
  <si>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</si>
  <si>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</si>
  <si>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</si>
  <si>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</si>
  <si>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</si>
  <si>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</si>
  <si>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</si>
  <si>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</si>
  <si>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</si>
  <si>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</si>
  <si>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</si>
  <si>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</si>
  <si>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</si>
  <si>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</si>
  <si>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</si>
  <si>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</si>
  <si>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</si>
  <si>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</si>
  <si>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</si>
  <si>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</si>
  <si>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</si>
  <si>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</si>
  <si>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</si>
  <si>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</si>
  <si>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</si>
  <si>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</si>
  <si>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</si>
  <si>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</si>
  <si>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</si>
  <si>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</si>
  <si>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</si>
  <si>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</si>
  <si>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</si>
  <si>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</si>
  <si>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</si>
  <si>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</si>
  <si>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</si>
  <si>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</si>
  <si>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</si>
  <si>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</si>
  <si>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</si>
  <si>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</si>
  <si>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</si>
  <si>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</si>
  <si>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</si>
  <si>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</si>
  <si>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</si>
  <si>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</si>
  <si>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</si>
  <si>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</si>
  <si>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</si>
  <si>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</si>
  <si>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</si>
  <si>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</si>
  <si>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</si>
  <si>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</si>
  <si>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</si>
  <si>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</si>
  <si>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</si>
  <si>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</si>
  <si>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</si>
  <si>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</si>
  <si>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</si>
  <si>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</si>
  <si>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</si>
  <si>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</si>
  <si>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</si>
  <si>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</si>
  <si>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</si>
  <si>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</si>
  <si>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</si>
  <si>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</si>
  <si>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</si>
  <si>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</si>
  <si>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</si>
  <si>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</si>
  <si>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</si>
  <si>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</si>
  <si>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</si>
  <si>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</si>
  <si>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</si>
  <si>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</si>
  <si>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</si>
  <si>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</si>
  <si>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</si>
  <si>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</si>
  <si>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</si>
  <si>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</si>
  <si>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</si>
  <si>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</si>
  <si>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</si>
  <si>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</si>
  <si>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</si>
  <si>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</si>
  <si>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</si>
  <si>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</si>
  <si>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</si>
  <si>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</si>
  <si>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</si>
  <si>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</si>
  <si>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</si>
  <si>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</si>
  <si>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</si>
  <si>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</si>
  <si>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</si>
  <si>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</si>
  <si>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</si>
  <si>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</si>
  <si>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</si>
  <si>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</si>
  <si>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</si>
  <si>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</si>
  <si>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</si>
  <si>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</si>
  <si>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</si>
  <si>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</si>
  <si>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</si>
  <si>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</si>
  <si>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</si>
  <si>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</si>
  <si>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</si>
  <si>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</si>
  <si>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</si>
  <si>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</si>
  <si>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</si>
  <si>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</si>
  <si>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</si>
  <si>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</si>
  <si>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</si>
  <si>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</si>
  <si>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</si>
  <si>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</si>
  <si>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</si>
  <si>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</si>
  <si>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</si>
  <si>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</si>
  <si>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</si>
  <si>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</si>
  <si>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</si>
  <si>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</si>
  <si>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</si>
  <si>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</si>
  <si>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</si>
  <si>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</si>
  <si>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</si>
  <si>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</si>
  <si>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</si>
  <si>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</si>
  <si>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</si>
  <si>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</si>
  <si>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</si>
  <si>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</si>
  <si>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</si>
  <si>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</si>
  <si>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</si>
  <si>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</si>
  <si>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</si>
  <si>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</si>
  <si>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</si>
  <si>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</si>
  <si>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</si>
  <si>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</si>
  <si>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</si>
  <si>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</si>
  <si>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</si>
  <si>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</si>
  <si>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</si>
  <si>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</si>
  <si>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</si>
  <si>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</si>
  <si>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</si>
  <si>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</si>
  <si>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</si>
  <si>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</si>
  <si>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</si>
  <si>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</si>
  <si>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</si>
  <si>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</si>
  <si>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</si>
  <si>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</si>
  <si>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</si>
  <si>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</si>
  <si>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</si>
  <si>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</si>
  <si>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</si>
  <si>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</si>
  <si>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</si>
  <si>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</si>
  <si>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</si>
  <si>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</si>
  <si>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</si>
  <si>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</si>
  <si>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</si>
  <si>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</si>
  <si>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</si>
  <si>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</si>
  <si>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</si>
  <si>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</si>
  <si>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</si>
  <si>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</si>
  <si>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</si>
  <si>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</si>
  <si>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</si>
  <si>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</si>
  <si>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</si>
  <si>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</si>
  <si>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</si>
  <si>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</si>
  <si>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</si>
  <si>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</si>
  <si>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</si>
  <si>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</si>
  <si>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</si>
  <si>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</si>
  <si>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</si>
  <si>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</si>
  <si>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</si>
  <si>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</si>
  <si>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</si>
  <si>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</si>
  <si>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</si>
  <si>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</si>
  <si>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</si>
  <si>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</si>
  <si>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</si>
  <si>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</si>
  <si>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</si>
  <si>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</si>
  <si>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</si>
  <si>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</si>
  <si>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</si>
  <si>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</si>
  <si>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</si>
  <si>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</si>
  <si>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</si>
  <si>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</si>
  <si>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</si>
  <si>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</si>
  <si>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</si>
  <si>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</si>
  <si>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</si>
  <si>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</si>
  <si>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</si>
  <si>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</si>
  <si>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</si>
  <si>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</si>
  <si>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</si>
  <si>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</si>
  <si>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</si>
  <si>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</si>
  <si>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</si>
  <si>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</si>
  <si>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</si>
  <si>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</si>
  <si>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</si>
  <si>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</si>
  <si>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</si>
  <si>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</si>
  <si>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</si>
  <si>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</si>
  <si>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</si>
  <si>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</si>
  <si>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</si>
  <si>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</si>
  <si>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</si>
  <si>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</si>
  <si>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</si>
  <si>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</si>
  <si>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</si>
  <si>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</si>
  <si>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</si>
  <si>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</si>
  <si>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</si>
  <si>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</si>
  <si>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</si>
  <si>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</si>
  <si>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</si>
  <si>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</si>
  <si>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</si>
  <si>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</si>
  <si>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</si>
  <si>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</si>
  <si>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</si>
  <si>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</si>
  <si>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</si>
  <si>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</si>
  <si>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</si>
  <si>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</si>
  <si>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</si>
  <si>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</si>
  <si>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</si>
  <si>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</si>
  <si>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</si>
  <si>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</si>
  <si>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</si>
  <si>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</si>
  <si>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</si>
  <si>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</si>
  <si>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</si>
  <si>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</si>
  <si>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</si>
  <si>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</si>
  <si>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</si>
  <si>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</si>
  <si>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</si>
  <si>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</si>
  <si>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</si>
  <si>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</si>
  <si>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</si>
  <si>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</si>
  <si>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</si>
  <si>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</si>
  <si>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</si>
  <si>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</si>
  <si>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</si>
  <si>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</si>
  <si>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</si>
  <si>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</si>
  <si>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</si>
  <si>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</si>
  <si>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</si>
  <si>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</si>
  <si>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</si>
  <si>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</si>
  <si>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</si>
  <si>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</si>
  <si>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</si>
  <si>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</si>
  <si>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</si>
  <si>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</si>
  <si>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</si>
  <si>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</si>
  <si>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</si>
  <si>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</si>
  <si>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</si>
  <si>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</si>
  <si>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</si>
  <si>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</si>
  <si>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</si>
  <si>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</si>
  <si>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</si>
  <si>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</si>
  <si>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</si>
  <si>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</si>
  <si>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</si>
  <si>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</si>
  <si>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</si>
  <si>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</si>
  <si>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</si>
  <si>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</si>
  <si>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</si>
  <si>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</si>
  <si>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</si>
  <si>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</si>
  <si>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</si>
  <si>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</si>
  <si>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</si>
  <si>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</si>
  <si>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</si>
  <si>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</si>
  <si>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</si>
  <si>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</si>
  <si>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</si>
  <si>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</si>
  <si>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</si>
  <si>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</si>
  <si>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</si>
  <si>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</si>
  <si>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</si>
  <si>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</si>
  <si>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</si>
  <si>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</si>
  <si>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</si>
  <si>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</si>
  <si>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</si>
  <si>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</si>
  <si>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</si>
  <si>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</si>
  <si>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</si>
  <si>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</si>
  <si>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</si>
  <si>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</si>
  <si>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</si>
  <si>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</si>
  <si>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</si>
  <si>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</si>
  <si>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</si>
  <si>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</si>
  <si>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</si>
  <si>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</si>
  <si>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</si>
  <si>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</si>
  <si>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</si>
  <si>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</si>
  <si>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</si>
  <si>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</si>
  <si>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</si>
  <si>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</si>
  <si>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</si>
  <si>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</si>
  <si>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</si>
  <si>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</si>
  <si>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</si>
  <si>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</si>
  <si>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</si>
  <si>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</si>
  <si>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</si>
  <si>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</si>
  <si>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</si>
  <si>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</si>
  <si>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</si>
  <si>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</si>
  <si>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</si>
  <si>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</si>
  <si>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</si>
  <si>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</si>
  <si>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</si>
  <si>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</si>
  <si>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</si>
  <si>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</si>
  <si>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</si>
  <si>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</si>
  <si>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</si>
  <si>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</si>
  <si>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</si>
  <si>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</si>
  <si>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</si>
  <si>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</si>
  <si>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</si>
  <si>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</si>
  <si>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</si>
  <si>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</si>
  <si>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</si>
  <si>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</si>
  <si>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</si>
  <si>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</si>
  <si>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</si>
  <si>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Tazewell</t>
  </si>
  <si>
    <t>400 North Highland</t>
  </si>
  <si>
    <t>Creve Coeur</t>
  </si>
  <si>
    <t>twhiston@cc76.k12.il.us</t>
  </si>
  <si>
    <t>Jason A. Hohulin, CPA</t>
  </si>
  <si>
    <t>jhohulin@gorenzcpa.com</t>
  </si>
  <si>
    <t>Tony Whiston</t>
  </si>
  <si>
    <t>309-698-3600</t>
  </si>
  <si>
    <t>309-698-9827</t>
  </si>
  <si>
    <t>2015 General Obligation Bonds</t>
  </si>
  <si>
    <t>Tazewell Mason Counties Sp. Ed. Association</t>
  </si>
  <si>
    <t>20-2540-400</t>
  </si>
  <si>
    <t>Atlas Supply</t>
  </si>
  <si>
    <t>10-2560-400</t>
  </si>
  <si>
    <t>Better Beverage Inc.</t>
  </si>
  <si>
    <t>Children's Home-Kiefer</t>
  </si>
  <si>
    <t>40-2550-300</t>
  </si>
  <si>
    <t>First Student Inc</t>
  </si>
  <si>
    <t>10-2540-400</t>
  </si>
  <si>
    <t>Homefield Energy</t>
  </si>
  <si>
    <t>Kemmerer Village</t>
  </si>
  <si>
    <t>Kohl Wholesale</t>
  </si>
  <si>
    <t>PCMG</t>
  </si>
  <si>
    <t>Restored Counseling</t>
  </si>
  <si>
    <t>Santander Leasing LLC</t>
  </si>
  <si>
    <t>Unland, James and Company</t>
  </si>
  <si>
    <t>Wendelin Consulting Group</t>
  </si>
  <si>
    <t>2018-001</t>
  </si>
  <si>
    <t>Lack of Segregation of Duties</t>
  </si>
  <si>
    <t>Unresolved - See Finding 2019-001</t>
  </si>
  <si>
    <t>x</t>
  </si>
  <si>
    <t>Segregation of duties among accounting personnel is an intergral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</si>
  <si>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</si>
  <si>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one individual.</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</si>
  <si>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</si>
  <si>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</si>
  <si>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</si>
  <si>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</si>
  <si>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</si>
  <si>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</si>
  <si>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</si>
  <si>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</si>
  <si>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</si>
  <si>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One individual has the primary responsibility for performing most of the accounting and financial duties, which significantly reduces certain aspects of the internal control structure which rely on adequate segregation of duties.</t>
  </si>
  <si>
    <t>Tony Whiston, Superintendent</t>
  </si>
  <si>
    <t>Inadequate segregation of duties increases the risk of misstatements in the financial statements.</t>
  </si>
  <si>
    <t xml:space="preserve">The Board of Education should perform an assessment of internal controls, at least annually. </t>
  </si>
  <si>
    <t xml:space="preserve">The Board of Education's most recent assessment has determined that the current internal control system is acceptable. The internal control system will continue to be monitored. </t>
  </si>
  <si>
    <t xml:space="preserve">The Board of Education has determined that the current internal control system </t>
  </si>
  <si>
    <t xml:space="preserve">is acceptable, providing a tolerable amount of risk. </t>
  </si>
  <si>
    <t>The District will continue to monitor their internal control system. Management oversight and other 
mitigating controls have lowered risks associated with inadequate segregation of duties. Assessment of internal controls will be performed annually.</t>
  </si>
  <si>
    <t xml:space="preserve">One individual has the ability to complete and record accounting functions which ideally would be segregated. </t>
  </si>
  <si>
    <t>Part C - 20 - See Finding 2019-001.</t>
  </si>
  <si>
    <t>10-1000-400</t>
  </si>
  <si>
    <t>80-2300-300</t>
  </si>
  <si>
    <t>10-1000-300</t>
  </si>
  <si>
    <t>10-2100-300</t>
  </si>
  <si>
    <t>ED-Instruction-Other</t>
  </si>
  <si>
    <t>ED-Instruction-Purch Serv.</t>
  </si>
  <si>
    <t>ED-Instruction-Supplies</t>
  </si>
  <si>
    <t>O&amp;M-O&amp;M Plant Services-Supplies</t>
  </si>
  <si>
    <t>ED-Food Services-Supplies</t>
  </si>
  <si>
    <t>Transportation-Pupil Transportation-Purch Serv.</t>
  </si>
  <si>
    <t>ED-O&amp;M Plant Services-Supplies</t>
  </si>
  <si>
    <t>Tort-General Admin-Purch Serv.</t>
  </si>
  <si>
    <t>Page 10, Line 107 -</t>
  </si>
  <si>
    <t>Educational Fund - Misc. Refunds &amp; Reimbursements</t>
  </si>
  <si>
    <t>Operations and Maintenance Fund - Misc. Refunds &amp; Reimbursements</t>
  </si>
  <si>
    <t>Page 12, Line 168 - Healthy Community Grant ($30,210)</t>
  </si>
  <si>
    <t>Page 13, Line 197 - Fresh Fruits and Vegetables Program ($10,900)</t>
  </si>
  <si>
    <t>Page 15, Line 41 - Band Equipment Repairs and Supplies and Parkview Gym Suits</t>
  </si>
  <si>
    <t>Page 18, Line 171 - Bond Service Fees</t>
  </si>
  <si>
    <t>ED-Support Serv.-Pupil-Purch Serv.</t>
  </si>
  <si>
    <t>See PDF version</t>
  </si>
  <si>
    <t>Creve Coeur SD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</si>
</sst>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1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0"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1"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2" fillId="0" borderId="0" xfId="3" applyFont="1" applyAlignment="1">
      <alignment horizontal="left"/>
    </xf>
    <xf numFmtId="0" fontId="12" fillId="0" borderId="0" xfId="3" applyFont="1" applyAlignment="1">
      <alignment horizontal="left"/>
    </xf>
    <xf numFmtId="0" fontId="37" fillId="0" borderId="0" xfId="3" applyFont="1"/>
    <xf numFmtId="0" fontId="142" fillId="0" borderId="0" xfId="3" applyFont="1"/>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1056410</xdr:colOff>
          <xdr:row>1</xdr:row>
          <xdr:rowOff>0</xdr:rowOff>
        </xdr:from>
        <xdr:to>
          <xdr:col>1</xdr:col>
          <xdr:colOff>1967346</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347A54EB-0721-4A2A-92C8-1FD0D89C41ED}"/>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30401C18-77AE-4ED8-BD7D-D7B6E0E887C4}"/>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5" t="s">
        <v>405</v>
      </c>
      <c r="J1" s="2006"/>
      <c r="K1" s="2006"/>
      <c r="L1" s="2006"/>
      <c r="M1" s="2006"/>
      <c r="N1" s="2006"/>
      <c r="O1" s="2006"/>
      <c r="P1" s="2006"/>
      <c r="Q1" s="2006"/>
      <c r="R1" s="2006"/>
      <c r="S1" s="2006"/>
    </row>
    <row r="2" spans="1:28" ht="12" customHeight="1" x14ac:dyDescent="0.2">
      <c r="A2" s="47" t="s">
        <v>1993</v>
      </c>
      <c r="D2" s="48"/>
      <c r="I2" s="2007" t="s">
        <v>979</v>
      </c>
      <c r="J2" s="2006"/>
      <c r="K2" s="2006"/>
      <c r="L2" s="2006"/>
      <c r="M2" s="2006"/>
      <c r="N2" s="2006"/>
      <c r="O2" s="2006"/>
      <c r="P2" s="2006"/>
      <c r="Q2" s="2006"/>
      <c r="R2" s="2006"/>
      <c r="S2" s="2006"/>
    </row>
    <row r="3" spans="1:28" ht="12" customHeight="1" x14ac:dyDescent="0.2">
      <c r="A3" s="155" t="s">
        <v>1945</v>
      </c>
      <c r="B3" s="156"/>
      <c r="C3" s="156"/>
      <c r="D3" s="157"/>
      <c r="I3" s="2007" t="s">
        <v>52</v>
      </c>
      <c r="J3" s="2006"/>
      <c r="K3" s="2006"/>
      <c r="L3" s="2006"/>
      <c r="M3" s="2006"/>
      <c r="N3" s="2006"/>
      <c r="O3" s="2006"/>
      <c r="P3" s="2006"/>
      <c r="Q3" s="2006"/>
      <c r="R3" s="2006"/>
      <c r="S3" s="2006"/>
    </row>
    <row r="4" spans="1:28" ht="12" customHeight="1" x14ac:dyDescent="0.2">
      <c r="A4" s="37"/>
      <c r="I4" s="2007" t="s">
        <v>524</v>
      </c>
      <c r="J4" s="2006"/>
      <c r="K4" s="2006"/>
      <c r="L4" s="2006"/>
      <c r="M4" s="2006"/>
      <c r="N4" s="2006"/>
      <c r="O4" s="2006"/>
      <c r="P4" s="2006"/>
      <c r="Q4" s="2006"/>
      <c r="R4" s="2006"/>
      <c r="S4" s="2006"/>
    </row>
    <row r="5" spans="1:28" ht="14.1" customHeight="1" x14ac:dyDescent="0.2">
      <c r="B5" s="104" t="s">
        <v>2070</v>
      </c>
      <c r="C5" s="26" t="s">
        <v>910</v>
      </c>
      <c r="D5" s="84"/>
      <c r="E5" s="84"/>
      <c r="H5" s="38"/>
      <c r="I5" s="2015" t="s">
        <v>680</v>
      </c>
      <c r="J5" s="2014"/>
      <c r="K5" s="2014"/>
      <c r="L5" s="2014"/>
      <c r="M5" s="2014"/>
      <c r="N5" s="2014"/>
      <c r="O5" s="2014"/>
      <c r="P5" s="2014"/>
      <c r="Q5" s="2014"/>
      <c r="R5" s="2014"/>
      <c r="S5" s="2014"/>
    </row>
    <row r="6" spans="1:28" ht="14.1" customHeight="1" x14ac:dyDescent="0.2">
      <c r="B6" s="104"/>
      <c r="C6" s="26" t="s">
        <v>911</v>
      </c>
      <c r="D6" s="84"/>
      <c r="E6" s="84"/>
      <c r="I6" s="2013" t="s">
        <v>883</v>
      </c>
      <c r="J6" s="2014"/>
      <c r="K6" s="2014"/>
      <c r="L6" s="2014"/>
      <c r="M6" s="2014"/>
      <c r="N6" s="2014"/>
      <c r="O6" s="2014"/>
      <c r="P6" s="2014"/>
      <c r="Q6" s="2014"/>
      <c r="R6" s="2014"/>
      <c r="S6" s="2014"/>
    </row>
    <row r="7" spans="1:28" ht="12.2" customHeight="1" x14ac:dyDescent="0.2">
      <c r="I7" s="2008">
        <v>43646</v>
      </c>
      <c r="J7" s="2009"/>
      <c r="K7" s="2009"/>
      <c r="L7" s="2009"/>
      <c r="M7" s="2009"/>
      <c r="N7" s="2009"/>
      <c r="O7" s="2009"/>
      <c r="P7" s="2009"/>
      <c r="Q7" s="2009"/>
      <c r="R7" s="2009"/>
      <c r="S7" s="20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0" t="s">
        <v>674</v>
      </c>
      <c r="J9" s="2011"/>
      <c r="K9" s="2011"/>
      <c r="L9" s="2011"/>
      <c r="M9" s="2011"/>
      <c r="N9" s="2011"/>
      <c r="O9" s="2011"/>
      <c r="P9" s="2011"/>
      <c r="Q9" s="2011"/>
      <c r="R9" s="2011"/>
      <c r="S9" s="2012"/>
      <c r="T9" s="2026" t="s">
        <v>533</v>
      </c>
      <c r="U9" s="2027"/>
      <c r="V9" s="2027"/>
      <c r="W9" s="2027"/>
      <c r="X9" s="2027"/>
      <c r="Y9" s="2027"/>
      <c r="Z9" s="2027"/>
      <c r="AA9" s="2028"/>
    </row>
    <row r="10" spans="1:28" ht="13.5" customHeight="1" x14ac:dyDescent="0.2">
      <c r="A10" s="2033" t="s">
        <v>675</v>
      </c>
      <c r="B10" s="2034"/>
      <c r="C10" s="2034"/>
      <c r="D10" s="2034"/>
      <c r="E10" s="2034"/>
      <c r="F10" s="2034"/>
      <c r="G10" s="2034"/>
      <c r="H10" s="2035"/>
      <c r="I10" s="29"/>
      <c r="J10" s="30"/>
      <c r="K10" s="28"/>
      <c r="R10" s="30"/>
      <c r="S10" s="30"/>
      <c r="T10" s="2029"/>
      <c r="U10" s="2014"/>
      <c r="V10" s="2014"/>
      <c r="W10" s="2014"/>
      <c r="X10" s="2014"/>
      <c r="Y10" s="2014"/>
      <c r="Z10" s="2014"/>
      <c r="AA10" s="2020"/>
    </row>
    <row r="11" spans="1:28" ht="14.25" customHeight="1" x14ac:dyDescent="0.2">
      <c r="A11" s="2036" t="s">
        <v>955</v>
      </c>
      <c r="B11" s="2037"/>
      <c r="C11" s="2037"/>
      <c r="D11" s="2037"/>
      <c r="E11" s="2037"/>
      <c r="F11" s="2037"/>
      <c r="G11" s="2037"/>
      <c r="H11" s="2038"/>
      <c r="I11" s="27"/>
      <c r="J11" s="74"/>
      <c r="K11" s="27"/>
      <c r="O11" s="148" t="s">
        <v>2070</v>
      </c>
      <c r="P11" s="100" t="s">
        <v>201</v>
      </c>
      <c r="Q11" s="30"/>
      <c r="R11" s="28"/>
      <c r="S11" s="27"/>
      <c r="T11" s="2030"/>
      <c r="U11" s="2031"/>
      <c r="V11" s="2031"/>
      <c r="W11" s="2031"/>
      <c r="X11" s="2031"/>
      <c r="Y11" s="2031"/>
      <c r="Z11" s="2031"/>
      <c r="AA11" s="203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40">
        <v>53090076002</v>
      </c>
      <c r="B13" s="2041"/>
      <c r="C13" s="2041"/>
      <c r="D13" s="2041"/>
      <c r="E13" s="2041"/>
      <c r="F13" s="2041"/>
      <c r="G13" s="2041"/>
      <c r="H13" s="2042"/>
      <c r="I13" s="31"/>
      <c r="J13" s="30"/>
      <c r="K13" s="28"/>
      <c r="L13" s="30"/>
      <c r="M13" s="30"/>
      <c r="N13" s="30"/>
      <c r="O13" s="30"/>
      <c r="P13" s="30"/>
      <c r="Q13" s="30"/>
      <c r="R13" s="30"/>
      <c r="S13" s="30"/>
      <c r="T13" s="2045" t="s">
        <v>2072</v>
      </c>
      <c r="U13" s="2046"/>
      <c r="V13" s="2046"/>
      <c r="W13" s="2046"/>
      <c r="X13" s="2046"/>
      <c r="Y13" s="2047"/>
      <c r="Z13" s="2047"/>
      <c r="AA13" s="204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9" t="s">
        <v>2073</v>
      </c>
      <c r="B15" s="2043"/>
      <c r="C15" s="2043"/>
      <c r="D15" s="2043"/>
      <c r="E15" s="2043"/>
      <c r="F15" s="2043"/>
      <c r="G15" s="2043"/>
      <c r="H15" s="2044"/>
      <c r="T15" s="2049" t="s">
        <v>2077</v>
      </c>
      <c r="U15" s="1993"/>
      <c r="V15" s="1993"/>
      <c r="W15" s="1993"/>
      <c r="X15" s="1993"/>
      <c r="Y15" s="2050"/>
      <c r="Z15" s="2050"/>
      <c r="AA15" s="205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9" t="s">
        <v>2147</v>
      </c>
      <c r="B17" s="2000"/>
      <c r="C17" s="2000"/>
      <c r="D17" s="2000"/>
      <c r="E17" s="2000"/>
      <c r="F17" s="2000"/>
      <c r="G17" s="2000"/>
      <c r="H17" s="2025"/>
      <c r="T17" s="2056" t="s">
        <v>2064</v>
      </c>
      <c r="U17" s="2057"/>
      <c r="V17" s="2057"/>
      <c r="W17" s="2057"/>
      <c r="X17" s="2057"/>
      <c r="Y17" s="2057"/>
      <c r="Z17" s="2057"/>
      <c r="AA17" s="2058"/>
    </row>
    <row r="18" spans="1:27" ht="13.5" customHeight="1" x14ac:dyDescent="0.2">
      <c r="A18" s="85" t="s">
        <v>530</v>
      </c>
      <c r="B18" s="76"/>
      <c r="C18" s="72"/>
      <c r="D18" s="76"/>
      <c r="E18" s="76"/>
      <c r="F18" s="76"/>
      <c r="G18" s="76"/>
      <c r="H18" s="56"/>
      <c r="I18" s="2024" t="s">
        <v>676</v>
      </c>
      <c r="J18" s="1975"/>
      <c r="K18" s="1975"/>
      <c r="L18" s="1975"/>
      <c r="M18" s="1975"/>
      <c r="N18" s="1975"/>
      <c r="O18" s="1975"/>
      <c r="P18" s="1975"/>
      <c r="Q18" s="1975"/>
      <c r="R18" s="1975"/>
      <c r="S18" s="1976"/>
      <c r="T18" s="85" t="s">
        <v>711</v>
      </c>
      <c r="U18" s="51"/>
      <c r="V18" s="72"/>
      <c r="W18" s="50"/>
      <c r="X18" s="85" t="s">
        <v>266</v>
      </c>
      <c r="Y18" s="81"/>
      <c r="Z18" s="159" t="s">
        <v>677</v>
      </c>
      <c r="AA18" s="46"/>
    </row>
    <row r="19" spans="1:27" ht="13.5" customHeight="1" x14ac:dyDescent="0.2">
      <c r="A19" s="2039" t="s">
        <v>2074</v>
      </c>
      <c r="B19" s="1985"/>
      <c r="C19" s="1985"/>
      <c r="D19" s="1985"/>
      <c r="E19" s="1985"/>
      <c r="F19" s="1985"/>
      <c r="G19" s="1985"/>
      <c r="H19" s="1965"/>
      <c r="I19" s="30"/>
      <c r="J19" s="99"/>
      <c r="K19" s="40"/>
      <c r="L19" s="38"/>
      <c r="M19" s="112" t="s">
        <v>315</v>
      </c>
      <c r="P19" s="27"/>
      <c r="Q19" s="27"/>
      <c r="R19" s="27"/>
      <c r="S19" s="31"/>
      <c r="T19" s="2039" t="s">
        <v>2065</v>
      </c>
      <c r="U19" s="1964"/>
      <c r="V19" s="1964"/>
      <c r="W19" s="1965"/>
      <c r="X19" s="2054" t="s">
        <v>2066</v>
      </c>
      <c r="Y19" s="2055"/>
      <c r="Z19" s="2052">
        <v>61614</v>
      </c>
      <c r="AA19" s="205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3" t="s">
        <v>2075</v>
      </c>
      <c r="B21" s="1964"/>
      <c r="C21" s="1964"/>
      <c r="D21" s="1964"/>
      <c r="E21" s="1964"/>
      <c r="F21" s="1964"/>
      <c r="G21" s="1964"/>
      <c r="H21" s="1965"/>
      <c r="I21" s="2019" t="s">
        <v>678</v>
      </c>
      <c r="J21" s="2014"/>
      <c r="K21" s="2014"/>
      <c r="L21" s="2014"/>
      <c r="M21" s="2014"/>
      <c r="N21" s="2014"/>
      <c r="O21" s="2014"/>
      <c r="P21" s="2014"/>
      <c r="Q21" s="2014"/>
      <c r="R21" s="2014"/>
      <c r="S21" s="2020"/>
      <c r="T21" s="2063" t="s">
        <v>2067</v>
      </c>
      <c r="U21" s="2064"/>
      <c r="V21" s="2064"/>
      <c r="W21" s="2064"/>
      <c r="X21" s="2069" t="s">
        <v>2068</v>
      </c>
      <c r="Y21" s="2070"/>
      <c r="Z21" s="2070"/>
      <c r="AA21" s="2071"/>
    </row>
    <row r="22" spans="1:27" ht="13.5" customHeight="1" x14ac:dyDescent="0.2">
      <c r="A22" s="87" t="s">
        <v>531</v>
      </c>
      <c r="B22" s="59"/>
      <c r="C22" s="59"/>
      <c r="D22" s="59"/>
      <c r="E22" s="59"/>
      <c r="F22" s="59"/>
      <c r="G22" s="59"/>
      <c r="H22" s="60"/>
      <c r="I22" s="2021" t="s">
        <v>1429</v>
      </c>
      <c r="J22" s="2022"/>
      <c r="K22" s="2022"/>
      <c r="L22" s="2022"/>
      <c r="M22" s="2022"/>
      <c r="N22" s="2022"/>
      <c r="O22" s="2022"/>
      <c r="P22" s="2022"/>
      <c r="Q22" s="2022"/>
      <c r="R22" s="2022"/>
      <c r="S22" s="2023"/>
      <c r="T22" s="85" t="s">
        <v>1516</v>
      </c>
      <c r="U22" s="51"/>
      <c r="V22" s="72"/>
      <c r="W22" s="51"/>
      <c r="X22" s="160" t="s">
        <v>1318</v>
      </c>
      <c r="Z22" s="45"/>
      <c r="AA22" s="46"/>
    </row>
    <row r="23" spans="1:27" ht="13.5" customHeight="1" x14ac:dyDescent="0.2">
      <c r="A23" s="2016" t="s">
        <v>2076</v>
      </c>
      <c r="B23" s="2017"/>
      <c r="C23" s="2017"/>
      <c r="D23" s="2017"/>
      <c r="E23" s="2017"/>
      <c r="F23" s="2017"/>
      <c r="G23" s="2017"/>
      <c r="H23" s="2018"/>
      <c r="T23" s="1999" t="s">
        <v>2069</v>
      </c>
      <c r="U23" s="2062"/>
      <c r="V23" s="2062"/>
      <c r="W23" s="2062"/>
      <c r="X23" s="2066">
        <v>44501</v>
      </c>
      <c r="Y23" s="2067"/>
      <c r="Z23" s="2067"/>
      <c r="AA23" s="2068"/>
    </row>
    <row r="24" spans="1:27" ht="14.1" customHeight="1" x14ac:dyDescent="0.2">
      <c r="A24" s="88" t="s">
        <v>677</v>
      </c>
      <c r="B24" s="49"/>
      <c r="C24" s="49"/>
      <c r="D24" s="49"/>
      <c r="E24" s="49"/>
      <c r="F24" s="49"/>
      <c r="G24" s="49"/>
      <c r="H24" s="61"/>
      <c r="J24" s="1986">
        <f>IF(B5="x",IF(AUDITCHECK!D29="AFR form Incomplete.","",IF(AUDITCHECK!D29="Deficit reduction plan is required.","School District must complete a deficit reduction plan in the 2019-2020 Budget",)),"")</f>
        <v>0</v>
      </c>
      <c r="K24" s="1986"/>
      <c r="L24" s="1986"/>
      <c r="M24" s="1986"/>
      <c r="N24" s="1986"/>
      <c r="O24" s="1986"/>
      <c r="P24" s="1986"/>
      <c r="Q24" s="1986"/>
      <c r="R24" s="1986"/>
      <c r="S24" s="1987"/>
      <c r="T24" s="105" t="s">
        <v>531</v>
      </c>
      <c r="U24" s="106"/>
      <c r="V24" s="106"/>
      <c r="W24" s="106"/>
      <c r="X24" s="107"/>
      <c r="Y24" s="107"/>
      <c r="Z24" s="107"/>
      <c r="AA24" s="108"/>
    </row>
    <row r="25" spans="1:27" ht="14.1" customHeight="1" x14ac:dyDescent="0.2">
      <c r="A25" s="1963">
        <v>61610</v>
      </c>
      <c r="B25" s="1964"/>
      <c r="C25" s="1964"/>
      <c r="D25" s="1964"/>
      <c r="E25" s="1964"/>
      <c r="F25" s="1964"/>
      <c r="G25" s="1964"/>
      <c r="H25" s="1965"/>
      <c r="I25" s="113"/>
      <c r="J25" s="1988"/>
      <c r="K25" s="1988"/>
      <c r="L25" s="1988"/>
      <c r="M25" s="1988"/>
      <c r="N25" s="1988"/>
      <c r="O25" s="1988"/>
      <c r="P25" s="1988"/>
      <c r="Q25" s="1988"/>
      <c r="R25" s="1988"/>
      <c r="S25" s="1989"/>
      <c r="T25" s="2059" t="s">
        <v>2078</v>
      </c>
      <c r="U25" s="2060"/>
      <c r="V25" s="2060"/>
      <c r="W25" s="2060"/>
      <c r="X25" s="2060"/>
      <c r="Y25" s="2060"/>
      <c r="Z25" s="2060"/>
      <c r="AA25" s="20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4" t="s">
        <v>1511</v>
      </c>
      <c r="J27" s="1975"/>
      <c r="K27" s="1975"/>
      <c r="L27" s="1975"/>
      <c r="M27" s="1975"/>
      <c r="N27" s="1975"/>
      <c r="O27" s="1975"/>
      <c r="P27" s="1975"/>
      <c r="Q27" s="1975"/>
      <c r="R27" s="1975"/>
      <c r="S27" s="197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64"/>
      <c r="R35" s="196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9" t="s">
        <v>2079</v>
      </c>
      <c r="B38" s="2000"/>
      <c r="C38" s="2000"/>
      <c r="D38" s="2000"/>
      <c r="E38" s="2000"/>
      <c r="F38" s="1964"/>
      <c r="G38" s="1964"/>
      <c r="H38" s="1965"/>
      <c r="I38" s="1992"/>
      <c r="J38" s="1993"/>
      <c r="K38" s="1993"/>
      <c r="L38" s="1993"/>
      <c r="M38" s="1993"/>
      <c r="N38" s="1993"/>
      <c r="O38" s="1993"/>
      <c r="P38" s="1994"/>
      <c r="Q38" s="1994"/>
      <c r="R38" s="1994"/>
      <c r="S38" s="1995"/>
      <c r="T38" s="2049"/>
      <c r="U38" s="1993"/>
      <c r="V38" s="1993"/>
      <c r="W38" s="1993"/>
      <c r="X38" s="1994"/>
      <c r="Y38" s="1994"/>
      <c r="Z38" s="1994"/>
      <c r="AA38" s="1995"/>
    </row>
    <row r="39" spans="1:27" ht="12" customHeight="1" x14ac:dyDescent="0.2">
      <c r="A39" s="1969" t="s">
        <v>531</v>
      </c>
      <c r="B39" s="1970"/>
      <c r="C39" s="72"/>
      <c r="D39" s="69"/>
      <c r="E39" s="69"/>
      <c r="F39" s="79"/>
      <c r="G39" s="69"/>
      <c r="H39" s="56"/>
      <c r="I39" s="1969" t="s">
        <v>531</v>
      </c>
      <c r="J39" s="1970"/>
      <c r="K39" s="1970"/>
      <c r="L39" s="1970"/>
      <c r="M39" s="1970"/>
      <c r="N39" s="67"/>
      <c r="O39" s="72"/>
      <c r="P39" s="72"/>
      <c r="Q39" s="78"/>
      <c r="R39" s="72"/>
      <c r="S39" s="56"/>
      <c r="T39" s="72" t="s">
        <v>531</v>
      </c>
      <c r="U39" s="51"/>
      <c r="V39" s="72"/>
      <c r="W39" s="50"/>
      <c r="X39" s="78"/>
      <c r="Y39" s="45"/>
      <c r="Z39" s="45"/>
      <c r="AA39" s="46"/>
    </row>
    <row r="40" spans="1:27" ht="13.5" customHeight="1" x14ac:dyDescent="0.2">
      <c r="A40" s="1977" t="s">
        <v>2076</v>
      </c>
      <c r="B40" s="1978"/>
      <c r="C40" s="1979"/>
      <c r="D40" s="1979"/>
      <c r="E40" s="1979"/>
      <c r="F40" s="1980"/>
      <c r="G40" s="1980"/>
      <c r="H40" s="1981"/>
      <c r="I40" s="2002"/>
      <c r="J40" s="2003"/>
      <c r="K40" s="2003"/>
      <c r="L40" s="2003"/>
      <c r="M40" s="2003"/>
      <c r="N40" s="2003"/>
      <c r="O40" s="2003"/>
      <c r="P40" s="2003"/>
      <c r="Q40" s="2003"/>
      <c r="R40" s="2003"/>
      <c r="S40" s="2004"/>
      <c r="T40" s="2002"/>
      <c r="U40" s="2065"/>
      <c r="V40" s="2003"/>
      <c r="W40" s="2003"/>
      <c r="X40" s="2003"/>
      <c r="Y40" s="2003"/>
      <c r="Z40" s="2003"/>
      <c r="AA40" s="200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1" t="s">
        <v>2080</v>
      </c>
      <c r="B42" s="1983"/>
      <c r="C42" s="1984"/>
      <c r="D42" s="1982" t="s">
        <v>2081</v>
      </c>
      <c r="E42" s="1983"/>
      <c r="F42" s="1983"/>
      <c r="G42" s="1983"/>
      <c r="H42" s="1984"/>
      <c r="I42" s="1966"/>
      <c r="J42" s="1967"/>
      <c r="K42" s="1967"/>
      <c r="L42" s="1967"/>
      <c r="M42" s="1967"/>
      <c r="N42" s="1967"/>
      <c r="O42" s="1968"/>
      <c r="P42" s="2001"/>
      <c r="Q42" s="1967"/>
      <c r="R42" s="1967"/>
      <c r="S42" s="1968"/>
      <c r="T42" s="1966"/>
      <c r="U42" s="1967"/>
      <c r="V42" s="1967"/>
      <c r="W42" s="1968"/>
      <c r="X42" s="2001"/>
      <c r="Y42" s="1967"/>
      <c r="Z42" s="1967"/>
      <c r="AA42" s="196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6"/>
      <c r="B44" s="1997"/>
      <c r="C44" s="1997"/>
      <c r="D44" s="1997"/>
      <c r="E44" s="1997"/>
      <c r="F44" s="1997"/>
      <c r="G44" s="1997"/>
      <c r="H44" s="1998"/>
      <c r="I44" s="1971"/>
      <c r="J44" s="1972"/>
      <c r="K44" s="1972"/>
      <c r="L44" s="1972"/>
      <c r="M44" s="1972"/>
      <c r="N44" s="1972"/>
      <c r="O44" s="1972"/>
      <c r="P44" s="1972"/>
      <c r="Q44" s="1972"/>
      <c r="R44" s="1972"/>
      <c r="S44" s="1973"/>
      <c r="T44" s="1971"/>
      <c r="U44" s="1990"/>
      <c r="V44" s="1990"/>
      <c r="W44" s="1990"/>
      <c r="X44" s="1990"/>
      <c r="Y44" s="1990"/>
      <c r="Z44" s="1972"/>
      <c r="AA44" s="197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5" t="s">
        <v>1065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691</v>
      </c>
      <c r="B40" s="2072"/>
      <c r="C40" s="2072"/>
      <c r="D40" s="2072"/>
      <c r="E40" s="2072"/>
    </row>
    <row r="41" spans="1:5" x14ac:dyDescent="0.2">
      <c r="A41" s="2073" t="s">
        <v>1608</v>
      </c>
      <c r="B41" s="2073"/>
      <c r="C41" s="2073"/>
      <c r="D41" s="2073"/>
      <c r="E41" s="2073"/>
    </row>
    <row r="42" spans="1:5" ht="12.75" customHeight="1" x14ac:dyDescent="0.2">
      <c r="A42" s="2074" t="s">
        <v>1022</v>
      </c>
      <c r="B42" s="2074"/>
      <c r="C42" s="2074"/>
      <c r="D42" s="2074"/>
      <c r="E42" s="207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1168</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0" t="s">
        <v>1633</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0" t="s">
        <v>313</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2103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2103</v>
      </c>
      <c r="C53" s="179">
        <v>22</v>
      </c>
      <c r="D53" s="247" t="s">
        <v>1462</v>
      </c>
      <c r="E53" s="248"/>
      <c r="F53" s="249"/>
      <c r="G53" s="249" t="s">
        <v>1461</v>
      </c>
      <c r="H53" s="250">
        <v>35855</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1323</v>
      </c>
      <c r="B70" s="2093"/>
      <c r="C70" s="2093"/>
      <c r="D70" s="2093"/>
      <c r="E70" s="2094"/>
      <c r="F70" s="2094"/>
      <c r="G70" s="2094"/>
      <c r="H70" s="2094"/>
      <c r="I70" s="209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1320</v>
      </c>
      <c r="B83" s="2095"/>
      <c r="C83" s="2095"/>
      <c r="D83" s="209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7" t="s">
        <v>2125</v>
      </c>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2072</v>
      </c>
      <c r="D114" s="208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1330</v>
      </c>
      <c r="D117" s="2088"/>
      <c r="E117" s="2089"/>
      <c r="F117" s="2089"/>
      <c r="G117" s="2089"/>
      <c r="H117" s="2089"/>
      <c r="I117" s="304"/>
    </row>
    <row r="118" spans="1:9" s="181" customFormat="1" ht="24" customHeight="1" x14ac:dyDescent="0.2">
      <c r="A118" s="316"/>
      <c r="B118" s="316"/>
      <c r="C118" s="316"/>
      <c r="D118" s="323" t="s">
        <v>2146</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386</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60295053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1.42659E-2</v>
      </c>
      <c r="E10" s="356" t="s">
        <v>1005</v>
      </c>
      <c r="F10" s="355">
        <v>2.0458999999999998E-3</v>
      </c>
      <c r="G10" s="356" t="s">
        <v>1005</v>
      </c>
      <c r="H10" s="355">
        <v>2.0192000000000001E-3</v>
      </c>
      <c r="I10" s="356" t="s">
        <v>1006</v>
      </c>
      <c r="J10" s="1729">
        <f>ROUND(D10+F10+H10,5)</f>
        <v>1.8329999999999999E-2</v>
      </c>
      <c r="K10" s="222"/>
      <c r="L10" s="355">
        <v>4.528E-4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6203779</v>
      </c>
      <c r="E16" s="356"/>
      <c r="F16" s="1730">
        <f>SUM('Acct Summary 7-8'!C17,'Acct Summary 7-8'!D17,'Acct Summary 7-8'!F17)</f>
        <v>5954636</v>
      </c>
      <c r="G16" s="356"/>
      <c r="H16" s="1730">
        <f>SUM(D16-F16)</f>
        <v>249143</v>
      </c>
      <c r="I16" s="222"/>
      <c r="J16" s="1730">
        <f>SUM('Acct Summary 7-8'!C81,'Acct Summary 7-8'!D81,'Acct Summary 7-8'!F81,'Acct Summary 7-8'!I81)</f>
        <v>6111312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586</v>
      </c>
      <c r="D31" s="237" t="s">
        <v>1072</v>
      </c>
      <c r="E31" s="222"/>
      <c r="F31" s="222"/>
      <c r="G31" s="363"/>
      <c r="H31" s="1732">
        <f>IF(B31="X",(J7*0.069),IF(B32="X",(J7*0.138),"Enter x in a.or b."))</f>
        <v>4160358.6570000001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612000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556</v>
      </c>
      <c r="B2" s="2125"/>
      <c r="C2" s="2125"/>
      <c r="D2" s="2125"/>
      <c r="E2" s="2125"/>
      <c r="F2" s="2125"/>
      <c r="G2" s="2125"/>
      <c r="H2" s="2125"/>
      <c r="I2" s="2125"/>
      <c r="J2" s="2125"/>
      <c r="K2" s="2125"/>
      <c r="L2" s="2125"/>
      <c r="M2" s="2125"/>
      <c r="N2" s="2125"/>
      <c r="O2" s="2125"/>
      <c r="P2" s="2125"/>
      <c r="Q2" s="2125"/>
      <c r="R2" s="2125"/>
    </row>
    <row r="3" spans="1:18" ht="12.75" x14ac:dyDescent="0.2">
      <c r="A3" s="2126" t="s">
        <v>1413</v>
      </c>
      <c r="B3" s="2126"/>
      <c r="C3" s="2126"/>
      <c r="D3" s="2126"/>
      <c r="E3" s="2126"/>
      <c r="F3" s="2126"/>
      <c r="G3" s="2126"/>
      <c r="H3" s="2126"/>
      <c r="I3" s="2126"/>
      <c r="J3" s="2126"/>
      <c r="K3" s="2126"/>
      <c r="L3" s="2126"/>
      <c r="M3" s="2126"/>
      <c r="N3" s="2126"/>
      <c r="O3" s="2126"/>
      <c r="P3" s="2126"/>
      <c r="Q3" s="2126"/>
      <c r="R3" s="2126"/>
    </row>
    <row r="4" spans="1:18" x14ac:dyDescent="0.2">
      <c r="A4" s="2127" t="s">
        <v>1554</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Creve Coeur SD 76</v>
      </c>
      <c r="E7" s="391"/>
      <c r="G7" s="252"/>
      <c r="H7" s="387"/>
      <c r="I7" s="387"/>
      <c r="J7" s="387"/>
      <c r="K7" s="387"/>
      <c r="L7" s="329"/>
      <c r="M7" s="329"/>
      <c r="N7" s="329"/>
      <c r="O7" s="329"/>
      <c r="P7" s="329"/>
    </row>
    <row r="8" spans="1:18" ht="12.75" x14ac:dyDescent="0.2">
      <c r="A8" s="329"/>
      <c r="B8" s="329"/>
      <c r="C8" s="389" t="s">
        <v>1125</v>
      </c>
      <c r="D8" s="392">
        <f>COVER!A13</f>
        <v>53090076002</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6111312</v>
      </c>
      <c r="I12" s="404"/>
      <c r="J12" s="404"/>
      <c r="K12" s="405">
        <f>TRUNC((H12/H13*100000),5)/100000</f>
        <v>0.98509505250000007</v>
      </c>
      <c r="L12" s="406"/>
      <c r="M12" s="360" t="s">
        <v>1144</v>
      </c>
      <c r="N12" s="360"/>
      <c r="O12" s="407">
        <v>0.35</v>
      </c>
      <c r="P12" s="218"/>
      <c r="Q12" s="218"/>
    </row>
    <row r="13" spans="1:18" s="408" customFormat="1" ht="12.75" x14ac:dyDescent="0.2">
      <c r="A13" s="218"/>
      <c r="B13" s="401"/>
      <c r="C13" s="2123" t="s">
        <v>1324</v>
      </c>
      <c r="D13" s="2124"/>
      <c r="E13" s="218"/>
      <c r="F13" s="409" t="s">
        <v>793</v>
      </c>
      <c r="G13" s="402"/>
      <c r="H13" s="403">
        <f>SUM('Acct Summary 7-8'!C8+'Acct Summary 7-8'!D8+'Acct Summary 7-8'!F8+'Acct Summary 7-8'!I8)+H14</f>
        <v>6203779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5954636</v>
      </c>
      <c r="I17" s="404"/>
      <c r="J17" s="416"/>
      <c r="K17" s="405">
        <f>TRUNC((H17/H18*100000),5)/100000</f>
        <v>0.9598401231999999</v>
      </c>
      <c r="L17" s="406"/>
      <c r="M17" s="417" t="s">
        <v>1171</v>
      </c>
      <c r="O17" s="418" t="str">
        <f>IF(AND(O16="2", J20 &gt; 2),"1",IF(AND(O16 = "1", J20 &gt; 2),"2",IF(AND(O16="1", J20 &gt;1),"1","0")))</f>
        <v>0</v>
      </c>
      <c r="P17" s="218"/>
    </row>
    <row r="18" spans="1:18" s="408" customFormat="1" ht="11.25" x14ac:dyDescent="0.2">
      <c r="A18" s="218"/>
      <c r="B18" s="401"/>
      <c r="C18" s="2123" t="s">
        <v>1317</v>
      </c>
      <c r="D18" s="2124"/>
      <c r="E18" s="218"/>
      <c r="F18" s="419" t="s">
        <v>794</v>
      </c>
      <c r="G18" s="402"/>
      <c r="H18" s="403">
        <f>SUM('Acct Summary 7-8'!C8+'Acct Summary 7-8'!D8+'Acct Summary 7-8'!F8+'Acct Summary 7-8'!I8)+H19</f>
        <v>6203779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0" t="s">
        <v>1412</v>
      </c>
      <c r="D24" s="2120"/>
      <c r="E24" s="218"/>
      <c r="F24" s="218" t="s">
        <v>445</v>
      </c>
      <c r="G24" s="402"/>
      <c r="H24" s="403">
        <f>SUM('Assets-Liab 5-6'!C4+'Assets-Liab 5-6'!D4+'Assets-Liab 5-6'!F4+'Assets-Liab 5-6'!I4+'Assets-Liab 5-6'!C5+'Assets-Liab 5-6'!D5+'Assets-Liab 5-6'!F5+'Assets-Liab 5-6'!I5)</f>
        <v>6114908</v>
      </c>
      <c r="I24" s="422"/>
      <c r="J24" s="422"/>
      <c r="K24" s="423">
        <f>TRUNC(((H24/H25*100000)/100000),2)</f>
        <v>369.68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16540.655559999999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939427.07327000005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612000</v>
      </c>
      <c r="I32" s="420"/>
      <c r="J32" s="420"/>
      <c r="K32" s="423">
        <f>TRUNC(100-((((H32/H33*100))*100)/100),2)</f>
        <v>85.28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4160358.6570000001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F28" sqref="F28"/>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0" t="s">
        <v>973</v>
      </c>
      <c r="B3" s="2131"/>
      <c r="C3" s="1556"/>
      <c r="D3" s="1557"/>
      <c r="E3" s="1557"/>
      <c r="F3" s="1557"/>
      <c r="G3" s="1557"/>
      <c r="H3" s="1557"/>
      <c r="I3" s="1557"/>
      <c r="J3" s="1557"/>
      <c r="K3" s="1557"/>
      <c r="L3" s="1557"/>
      <c r="M3" s="1558"/>
      <c r="N3" s="1559"/>
    </row>
    <row r="4" spans="1:14" ht="13.5" customHeight="1" x14ac:dyDescent="0.2">
      <c r="A4" s="463" t="s">
        <v>1651</v>
      </c>
      <c r="B4" s="464"/>
      <c r="C4" s="465">
        <v>4260909</v>
      </c>
      <c r="D4" s="465">
        <v>875690</v>
      </c>
      <c r="E4" s="465">
        <v>143388</v>
      </c>
      <c r="F4" s="465">
        <v>115108</v>
      </c>
      <c r="G4" s="465">
        <v>459393</v>
      </c>
      <c r="H4" s="465">
        <v>119341</v>
      </c>
      <c r="I4" s="465">
        <v>863201</v>
      </c>
      <c r="J4" s="465">
        <v>102465</v>
      </c>
      <c r="K4" s="465">
        <v>291799</v>
      </c>
      <c r="L4" s="465">
        <v>57994</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4260909</v>
      </c>
      <c r="D13" s="1734">
        <f t="shared" ref="D13:L13" si="0">SUM(D4:D12)</f>
        <v>875690</v>
      </c>
      <c r="E13" s="1734">
        <f t="shared" si="0"/>
        <v>143388</v>
      </c>
      <c r="F13" s="1734">
        <f t="shared" si="0"/>
        <v>115108</v>
      </c>
      <c r="G13" s="1734">
        <f t="shared" si="0"/>
        <v>459393</v>
      </c>
      <c r="H13" s="1734">
        <f t="shared" si="0"/>
        <v>119341</v>
      </c>
      <c r="I13" s="1734">
        <f t="shared" si="0"/>
        <v>863201</v>
      </c>
      <c r="J13" s="1734">
        <f t="shared" si="0"/>
        <v>102465</v>
      </c>
      <c r="K13" s="1734">
        <f t="shared" si="0"/>
        <v>291799</v>
      </c>
      <c r="L13" s="1734">
        <f t="shared" si="0"/>
        <v>57994</v>
      </c>
      <c r="M13" s="468"/>
      <c r="N13" s="469"/>
    </row>
    <row r="14" spans="1:14" ht="18" customHeight="1" thickTop="1" x14ac:dyDescent="0.2">
      <c r="A14" s="2132" t="s">
        <v>147</v>
      </c>
      <c r="B14" s="2133"/>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37985</v>
      </c>
      <c r="N16" s="482"/>
    </row>
    <row r="17" spans="1:14" s="483" customFormat="1" ht="12.75" customHeight="1" x14ac:dyDescent="0.2">
      <c r="A17" s="480" t="s">
        <v>1403</v>
      </c>
      <c r="B17" s="481">
        <v>230</v>
      </c>
      <c r="C17" s="475"/>
      <c r="D17" s="475"/>
      <c r="E17" s="475"/>
      <c r="F17" s="475"/>
      <c r="G17" s="475"/>
      <c r="H17" s="475"/>
      <c r="I17" s="475"/>
      <c r="J17" s="475"/>
      <c r="K17" s="475"/>
      <c r="L17" s="475"/>
      <c r="M17" s="465">
        <v>6480030</v>
      </c>
      <c r="N17" s="482"/>
    </row>
    <row r="18" spans="1:14" s="483" customFormat="1" ht="12.75" customHeight="1" x14ac:dyDescent="0.2">
      <c r="A18" s="480" t="s">
        <v>1404</v>
      </c>
      <c r="B18" s="481">
        <v>240</v>
      </c>
      <c r="C18" s="475"/>
      <c r="D18" s="475"/>
      <c r="E18" s="475"/>
      <c r="F18" s="475"/>
      <c r="G18" s="475"/>
      <c r="H18" s="475"/>
      <c r="I18" s="475"/>
      <c r="J18" s="475"/>
      <c r="K18" s="475"/>
      <c r="L18" s="475"/>
      <c r="M18" s="465">
        <v>213906</v>
      </c>
      <c r="N18" s="482"/>
    </row>
    <row r="19" spans="1:14" s="483" customFormat="1" ht="12.75" customHeight="1" x14ac:dyDescent="0.2">
      <c r="A19" s="480" t="s">
        <v>1405</v>
      </c>
      <c r="B19" s="481">
        <v>250</v>
      </c>
      <c r="C19" s="475"/>
      <c r="D19" s="475"/>
      <c r="E19" s="475"/>
      <c r="F19" s="475"/>
      <c r="G19" s="475"/>
      <c r="H19" s="475"/>
      <c r="I19" s="475"/>
      <c r="J19" s="475"/>
      <c r="K19" s="475"/>
      <c r="L19" s="475"/>
      <c r="M19" s="465">
        <v>484327</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143388</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468612</v>
      </c>
    </row>
    <row r="23" spans="1:14" ht="13.5" customHeight="1" thickBot="1" x14ac:dyDescent="0.25">
      <c r="A23" s="1733" t="s">
        <v>643</v>
      </c>
      <c r="B23" s="1738"/>
      <c r="C23" s="468"/>
      <c r="D23" s="468"/>
      <c r="E23" s="468"/>
      <c r="F23" s="468"/>
      <c r="G23" s="468"/>
      <c r="H23" s="468"/>
      <c r="I23" s="468"/>
      <c r="J23" s="468"/>
      <c r="K23" s="468"/>
      <c r="L23" s="468"/>
      <c r="M23" s="1685">
        <f>SUM(M15:M22)</f>
        <v>7216248</v>
      </c>
      <c r="N23" s="1685">
        <f>SUM(N21:N22)</f>
        <v>612000</v>
      </c>
    </row>
    <row r="24" spans="1:14" ht="18" customHeight="1" thickTop="1" x14ac:dyDescent="0.2">
      <c r="A24" s="2134" t="s">
        <v>598</v>
      </c>
      <c r="B24" s="2135"/>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3596</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44526</v>
      </c>
      <c r="M33" s="468"/>
      <c r="N33" s="469"/>
    </row>
    <row r="34" spans="1:14" ht="13.5" customHeight="1" thickBot="1" x14ac:dyDescent="0.25">
      <c r="A34" s="1735" t="s">
        <v>654</v>
      </c>
      <c r="B34" s="1736"/>
      <c r="C34" s="1737">
        <f>SUM(C25:C33)</f>
        <v>3596</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44526</v>
      </c>
      <c r="M34" s="468"/>
      <c r="N34" s="478"/>
    </row>
    <row r="35" spans="1:14" ht="18" customHeight="1" thickTop="1" x14ac:dyDescent="0.2">
      <c r="A35" s="2136" t="s">
        <v>529</v>
      </c>
      <c r="B35" s="2137"/>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612000</v>
      </c>
    </row>
    <row r="37" spans="1:14" ht="13.5" thickBot="1" x14ac:dyDescent="0.25">
      <c r="A37" s="1733" t="s">
        <v>653</v>
      </c>
      <c r="B37" s="1738"/>
      <c r="C37" s="475"/>
      <c r="D37" s="475"/>
      <c r="E37" s="475"/>
      <c r="F37" s="475"/>
      <c r="G37" s="475"/>
      <c r="H37" s="475"/>
      <c r="I37" s="475"/>
      <c r="J37" s="475"/>
      <c r="K37" s="475"/>
      <c r="L37" s="478"/>
      <c r="M37" s="468"/>
      <c r="N37" s="1685">
        <f>SUM(N36:N36)</f>
        <v>612000</v>
      </c>
    </row>
    <row r="38" spans="1:14" s="329" customFormat="1" ht="13.5" customHeight="1" thickTop="1" x14ac:dyDescent="0.2">
      <c r="A38" s="493" t="s">
        <v>420</v>
      </c>
      <c r="B38" s="481">
        <v>714</v>
      </c>
      <c r="C38" s="465">
        <v>9101</v>
      </c>
      <c r="D38" s="465">
        <v>0</v>
      </c>
      <c r="E38" s="465">
        <v>0</v>
      </c>
      <c r="F38" s="465">
        <v>0</v>
      </c>
      <c r="G38" s="465">
        <v>215737</v>
      </c>
      <c r="H38" s="465">
        <v>0</v>
      </c>
      <c r="I38" s="465">
        <v>0</v>
      </c>
      <c r="J38" s="465">
        <v>0</v>
      </c>
      <c r="K38" s="465">
        <v>0</v>
      </c>
      <c r="L38" s="465">
        <v>13468</v>
      </c>
      <c r="M38" s="494"/>
      <c r="N38" s="494"/>
    </row>
    <row r="39" spans="1:14" s="329" customFormat="1" ht="13.5" customHeight="1" x14ac:dyDescent="0.2">
      <c r="A39" s="493" t="s">
        <v>342</v>
      </c>
      <c r="B39" s="481">
        <v>730</v>
      </c>
      <c r="C39" s="465">
        <v>4248212</v>
      </c>
      <c r="D39" s="465">
        <v>875690</v>
      </c>
      <c r="E39" s="465">
        <v>143388</v>
      </c>
      <c r="F39" s="465">
        <v>115108</v>
      </c>
      <c r="G39" s="465">
        <v>243656</v>
      </c>
      <c r="H39" s="465">
        <v>119341</v>
      </c>
      <c r="I39" s="465">
        <v>863201</v>
      </c>
      <c r="J39" s="465">
        <v>102465</v>
      </c>
      <c r="K39" s="465">
        <v>291799</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7216248</v>
      </c>
      <c r="N40" s="494"/>
    </row>
    <row r="41" spans="1:14" ht="13.5" customHeight="1" thickBot="1" x14ac:dyDescent="0.25">
      <c r="A41" s="1733" t="s">
        <v>655</v>
      </c>
      <c r="B41" s="1703"/>
      <c r="C41" s="1685">
        <f>(SUM(C34,C37,C38,C39))</f>
        <v>4260909</v>
      </c>
      <c r="D41" s="1685">
        <f t="shared" ref="D41:L41" si="2">SUM(D34,D37,D38:D39)</f>
        <v>875690</v>
      </c>
      <c r="E41" s="1685">
        <f t="shared" si="2"/>
        <v>143388</v>
      </c>
      <c r="F41" s="1685">
        <f t="shared" si="2"/>
        <v>115108</v>
      </c>
      <c r="G41" s="1685">
        <f t="shared" si="2"/>
        <v>459393</v>
      </c>
      <c r="H41" s="1685">
        <f t="shared" si="2"/>
        <v>119341</v>
      </c>
      <c r="I41" s="1685">
        <f t="shared" si="2"/>
        <v>863201</v>
      </c>
      <c r="J41" s="1685">
        <f t="shared" si="2"/>
        <v>102465</v>
      </c>
      <c r="K41" s="1685">
        <f t="shared" si="2"/>
        <v>291799</v>
      </c>
      <c r="L41" s="1685">
        <f t="shared" si="2"/>
        <v>57994</v>
      </c>
      <c r="M41" s="1685">
        <f>SUM(M40)</f>
        <v>7216248</v>
      </c>
      <c r="N41" s="1685">
        <f>SUM(N37)</f>
        <v>612000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28" sqref="F28"/>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6"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7"/>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8" t="s">
        <v>1175</v>
      </c>
      <c r="B3" s="2159"/>
      <c r="C3" s="1570"/>
      <c r="D3" s="1571"/>
      <c r="E3" s="1571"/>
      <c r="F3" s="1571"/>
      <c r="G3" s="1571"/>
      <c r="H3" s="1571"/>
      <c r="I3" s="1571"/>
      <c r="J3" s="1571"/>
      <c r="K3" s="1572"/>
      <c r="L3" s="503"/>
    </row>
    <row r="4" spans="1:13" ht="15.75" customHeight="1" x14ac:dyDescent="0.2">
      <c r="A4" s="1925" t="s">
        <v>1499</v>
      </c>
      <c r="B4" s="1926">
        <v>1000</v>
      </c>
      <c r="C4" s="1739">
        <f>'Revenues 9-14'!C109</f>
        <v>1117753</v>
      </c>
      <c r="D4" s="1739">
        <f>'Revenues 9-14'!D109</f>
        <v>139232</v>
      </c>
      <c r="E4" s="1739">
        <f>'Revenues 9-14'!E109</f>
        <v>219550</v>
      </c>
      <c r="F4" s="1739">
        <f>'Revenues 9-14'!F109</f>
        <v>120086</v>
      </c>
      <c r="G4" s="1739">
        <f>'Revenues 9-14'!G109</f>
        <v>192516</v>
      </c>
      <c r="H4" s="1739">
        <f>'Revenues 9-14'!H109</f>
        <v>1616</v>
      </c>
      <c r="I4" s="1739">
        <f>'Revenues 9-14'!I109</f>
        <v>39411</v>
      </c>
      <c r="J4" s="1739">
        <f>'Revenues 9-14'!J109</f>
        <v>194295</v>
      </c>
      <c r="K4" s="1739">
        <f>'Revenues 9-14'!K109</f>
        <v>28959</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3780912</v>
      </c>
      <c r="D6" s="1740">
        <f>'Revenues 9-14'!D170</f>
        <v>0</v>
      </c>
      <c r="E6" s="1740">
        <f>'Revenues 9-14'!E170</f>
        <v>0</v>
      </c>
      <c r="F6" s="1740">
        <f>'Revenues 9-14'!F170</f>
        <v>271820</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734565</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5633230</v>
      </c>
      <c r="D8" s="1685">
        <f t="shared" ref="D8:K8" si="0">SUM(D4:D7)</f>
        <v>139232</v>
      </c>
      <c r="E8" s="1685">
        <f t="shared" si="0"/>
        <v>219550</v>
      </c>
      <c r="F8" s="1685">
        <f t="shared" si="0"/>
        <v>391906</v>
      </c>
      <c r="G8" s="1685">
        <f t="shared" si="0"/>
        <v>192516</v>
      </c>
      <c r="H8" s="1685">
        <f t="shared" si="0"/>
        <v>1616</v>
      </c>
      <c r="I8" s="1685">
        <f t="shared" si="0"/>
        <v>39411</v>
      </c>
      <c r="J8" s="1685">
        <f t="shared" si="0"/>
        <v>194295</v>
      </c>
      <c r="K8" s="1685">
        <f t="shared" si="0"/>
        <v>28959</v>
      </c>
      <c r="L8" s="347"/>
    </row>
    <row r="9" spans="1:13" ht="15.75" thickTop="1" x14ac:dyDescent="0.2">
      <c r="A9" s="511" t="s">
        <v>1653</v>
      </c>
      <c r="B9" s="512">
        <v>3998</v>
      </c>
      <c r="C9" s="465">
        <v>1962905</v>
      </c>
      <c r="D9" s="513"/>
      <c r="E9" s="479"/>
      <c r="F9" s="479"/>
      <c r="G9" s="514"/>
      <c r="H9" s="479"/>
      <c r="I9" s="506" t="s">
        <v>1169</v>
      </c>
      <c r="J9" s="476"/>
      <c r="K9" s="479"/>
      <c r="L9" s="347"/>
    </row>
    <row r="10" spans="1:13" s="516" customFormat="1" ht="13.5" thickBot="1" x14ac:dyDescent="0.25">
      <c r="A10" s="1733" t="s">
        <v>1173</v>
      </c>
      <c r="B10" s="1706"/>
      <c r="C10" s="1685">
        <f>SUM(C8:C9)</f>
        <v>7596135</v>
      </c>
      <c r="D10" s="1685">
        <f t="shared" ref="D10:K10" si="1">SUM(D8:D9)</f>
        <v>139232</v>
      </c>
      <c r="E10" s="1685">
        <f t="shared" si="1"/>
        <v>219550</v>
      </c>
      <c r="F10" s="1685">
        <f t="shared" si="1"/>
        <v>391906</v>
      </c>
      <c r="G10" s="1685">
        <f t="shared" si="1"/>
        <v>192516</v>
      </c>
      <c r="H10" s="1685">
        <f t="shared" si="1"/>
        <v>1616</v>
      </c>
      <c r="I10" s="1685">
        <f t="shared" si="1"/>
        <v>39411</v>
      </c>
      <c r="J10" s="1685">
        <f t="shared" si="1"/>
        <v>194295</v>
      </c>
      <c r="K10" s="1685">
        <f t="shared" si="1"/>
        <v>28959</v>
      </c>
      <c r="L10" s="515"/>
    </row>
    <row r="11" spans="1:13" s="516" customFormat="1" ht="16.7" customHeight="1" thickTop="1" x14ac:dyDescent="0.2">
      <c r="A11" s="2132" t="s">
        <v>1176</v>
      </c>
      <c r="B11" s="2133"/>
      <c r="C11" s="1567"/>
      <c r="D11" s="1568"/>
      <c r="E11" s="1568"/>
      <c r="F11" s="1568"/>
      <c r="G11" s="1568"/>
      <c r="H11" s="1568"/>
      <c r="I11" s="1568"/>
      <c r="J11" s="1568"/>
      <c r="K11" s="1569"/>
      <c r="L11" s="515"/>
    </row>
    <row r="12" spans="1:13" ht="15.75" customHeight="1" x14ac:dyDescent="0.2">
      <c r="A12" s="1573" t="s">
        <v>456</v>
      </c>
      <c r="B12" s="1575">
        <v>1000</v>
      </c>
      <c r="C12" s="1739">
        <f>'Expenditures 15-22'!K33</f>
        <v>3643557</v>
      </c>
      <c r="D12" s="517" t="s">
        <v>1169</v>
      </c>
      <c r="E12" s="468" t="s">
        <v>1169</v>
      </c>
      <c r="F12" s="468" t="s">
        <v>1169</v>
      </c>
      <c r="G12" s="1739">
        <f>'Expenditures 15-22'!K229</f>
        <v>67047</v>
      </c>
      <c r="H12" s="518"/>
      <c r="I12" s="468" t="s">
        <v>1169</v>
      </c>
      <c r="J12" s="468" t="s">
        <v>1169</v>
      </c>
      <c r="K12" s="518" t="s">
        <v>1169</v>
      </c>
      <c r="L12" s="347"/>
    </row>
    <row r="13" spans="1:13" ht="15.75" customHeight="1" x14ac:dyDescent="0.2">
      <c r="A13" s="1573" t="s">
        <v>457</v>
      </c>
      <c r="B13" s="1575">
        <v>2000</v>
      </c>
      <c r="C13" s="1740">
        <f>'Expenditures 15-22'!K74</f>
        <v>1379745</v>
      </c>
      <c r="D13" s="1740">
        <f>'Expenditures 15-22'!K129</f>
        <v>261057</v>
      </c>
      <c r="E13" s="469" t="s">
        <v>1169</v>
      </c>
      <c r="F13" s="1740">
        <f>'Expenditures 15-22'!K184</f>
        <v>367654</v>
      </c>
      <c r="G13" s="1740">
        <f>'Expenditures 15-22'!K279</f>
        <v>102821</v>
      </c>
      <c r="H13" s="1740">
        <f>'Expenditures 15-22'!K303</f>
        <v>0</v>
      </c>
      <c r="I13" s="468" t="s">
        <v>1169</v>
      </c>
      <c r="J13" s="1740">
        <f>'Expenditures 15-22'!K330</f>
        <v>158336</v>
      </c>
      <c r="K13" s="1744">
        <f>'Expenditures 15-22'!K352</f>
        <v>28860</v>
      </c>
      <c r="L13" s="347"/>
    </row>
    <row r="14" spans="1:13" ht="15.75" customHeight="1" x14ac:dyDescent="0.2">
      <c r="A14" s="1573" t="s">
        <v>449</v>
      </c>
      <c r="B14" s="1575">
        <v>3000</v>
      </c>
      <c r="C14" s="1740">
        <f>'Expenditures 15-22'!K75</f>
        <v>2322</v>
      </c>
      <c r="D14" s="1740">
        <f>'Expenditures 15-22'!K130</f>
        <v>0</v>
      </c>
      <c r="E14" s="517" t="s">
        <v>1169</v>
      </c>
      <c r="F14" s="1740">
        <f>'Expenditures 15-22'!K185</f>
        <v>0</v>
      </c>
      <c r="G14" s="1740">
        <f>'Expenditures 15-22'!K280</f>
        <v>174</v>
      </c>
      <c r="H14" s="509"/>
      <c r="I14" s="468" t="s">
        <v>1169</v>
      </c>
      <c r="J14" s="468" t="s">
        <v>1169</v>
      </c>
      <c r="K14" s="509" t="s">
        <v>1169</v>
      </c>
      <c r="L14" s="347"/>
    </row>
    <row r="15" spans="1:13" ht="15.75" customHeight="1" x14ac:dyDescent="0.2">
      <c r="A15" s="1573" t="s">
        <v>107</v>
      </c>
      <c r="B15" s="1575">
        <v>4000</v>
      </c>
      <c r="C15" s="1740">
        <f>'Expenditures 15-22'!K102</f>
        <v>300301</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212023</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5325925</v>
      </c>
      <c r="D17" s="1685">
        <f t="shared" si="2"/>
        <v>261057</v>
      </c>
      <c r="E17" s="1685">
        <f t="shared" si="2"/>
        <v>212023</v>
      </c>
      <c r="F17" s="1685">
        <f t="shared" si="2"/>
        <v>367654</v>
      </c>
      <c r="G17" s="1685">
        <f t="shared" si="2"/>
        <v>170042</v>
      </c>
      <c r="H17" s="1685">
        <f t="shared" si="2"/>
        <v>0</v>
      </c>
      <c r="I17" s="468"/>
      <c r="J17" s="1685">
        <f>SUM(J12:J16)</f>
        <v>158336</v>
      </c>
      <c r="K17" s="1685">
        <f>SUM(K12:K16)</f>
        <v>28860</v>
      </c>
      <c r="L17" s="347"/>
    </row>
    <row r="18" spans="1:12" ht="15" customHeight="1" thickTop="1" x14ac:dyDescent="0.2">
      <c r="A18" s="1741" t="s">
        <v>1654</v>
      </c>
      <c r="B18" s="1742">
        <v>4180</v>
      </c>
      <c r="C18" s="1739">
        <f t="shared" ref="C18:H18" si="3">C9</f>
        <v>1962905</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7288830</v>
      </c>
      <c r="D19" s="1685">
        <f t="shared" si="4"/>
        <v>261057</v>
      </c>
      <c r="E19" s="1685">
        <f t="shared" si="4"/>
        <v>212023</v>
      </c>
      <c r="F19" s="1685">
        <f t="shared" si="4"/>
        <v>367654</v>
      </c>
      <c r="G19" s="1685">
        <f t="shared" si="4"/>
        <v>170042</v>
      </c>
      <c r="H19" s="1685">
        <f t="shared" si="4"/>
        <v>0</v>
      </c>
      <c r="I19" s="468"/>
      <c r="J19" s="1685">
        <f>SUM(J17:J18)</f>
        <v>158336</v>
      </c>
      <c r="K19" s="1685">
        <f>SUM(K17:K18)</f>
        <v>28860</v>
      </c>
      <c r="L19" s="347"/>
    </row>
    <row r="20" spans="1:12" ht="16.5" thickTop="1" thickBot="1" x14ac:dyDescent="0.25">
      <c r="A20" s="2148" t="s">
        <v>1655</v>
      </c>
      <c r="B20" s="2149"/>
      <c r="C20" s="1743">
        <f>C8-C17</f>
        <v>307305</v>
      </c>
      <c r="D20" s="1743">
        <f t="shared" ref="D20:K20" si="5">D8-D17</f>
        <v>-121825</v>
      </c>
      <c r="E20" s="1743">
        <f t="shared" si="5"/>
        <v>7527</v>
      </c>
      <c r="F20" s="1743">
        <f t="shared" si="5"/>
        <v>24252</v>
      </c>
      <c r="G20" s="1743">
        <f t="shared" si="5"/>
        <v>22474</v>
      </c>
      <c r="H20" s="1743">
        <f t="shared" si="5"/>
        <v>1616</v>
      </c>
      <c r="I20" s="1743">
        <f t="shared" si="5"/>
        <v>39411</v>
      </c>
      <c r="J20" s="1743">
        <f t="shared" si="5"/>
        <v>35959</v>
      </c>
      <c r="K20" s="1743">
        <f t="shared" si="5"/>
        <v>99</v>
      </c>
      <c r="L20" s="347"/>
    </row>
    <row r="21" spans="1:12" ht="16.7" customHeight="1" thickTop="1" x14ac:dyDescent="0.2">
      <c r="A21" s="2160" t="s">
        <v>595</v>
      </c>
      <c r="B21" s="2161"/>
      <c r="C21" s="1567"/>
      <c r="D21" s="1568"/>
      <c r="E21" s="1568"/>
      <c r="F21" s="1568"/>
      <c r="G21" s="1568"/>
      <c r="H21" s="1568"/>
      <c r="I21" s="1568"/>
      <c r="J21" s="1568"/>
      <c r="K21" s="1569"/>
      <c r="L21" s="521"/>
    </row>
    <row r="22" spans="1:12" ht="15.75" customHeight="1" collapsed="1" x14ac:dyDescent="0.2">
      <c r="A22" s="2156" t="s">
        <v>596</v>
      </c>
      <c r="B22" s="2157"/>
      <c r="C22" s="475"/>
      <c r="D22" s="475"/>
      <c r="E22" s="475"/>
      <c r="F22" s="475"/>
      <c r="G22" s="475"/>
      <c r="H22" s="475"/>
      <c r="I22" s="475"/>
      <c r="J22" s="475"/>
      <c r="K22" s="475"/>
      <c r="L22" s="347"/>
    </row>
    <row r="23" spans="1:12" s="483" customFormat="1" ht="15.75" customHeight="1" x14ac:dyDescent="0.2">
      <c r="A23" s="2152" t="s">
        <v>293</v>
      </c>
      <c r="B23" s="2153"/>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54" t="s">
        <v>981</v>
      </c>
      <c r="B32" s="2155"/>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62" t="s">
        <v>374</v>
      </c>
      <c r="B44" s="2163"/>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56" t="s">
        <v>108</v>
      </c>
      <c r="B45" s="2157"/>
      <c r="C45" s="525"/>
      <c r="D45" s="525"/>
      <c r="E45" s="525"/>
      <c r="F45" s="525"/>
      <c r="G45" s="525"/>
      <c r="H45" s="525"/>
      <c r="I45" s="525"/>
      <c r="J45" s="525"/>
      <c r="K45" s="525"/>
      <c r="L45" s="347"/>
    </row>
    <row r="46" spans="1:12" s="483" customFormat="1" ht="15.75" customHeight="1" x14ac:dyDescent="0.2">
      <c r="A46" s="2164" t="s">
        <v>109</v>
      </c>
      <c r="B46" s="2165"/>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8" t="s">
        <v>440</v>
      </c>
      <c r="B76" s="2139"/>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40" t="s">
        <v>1177</v>
      </c>
      <c r="B77" s="2141"/>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44" t="s">
        <v>597</v>
      </c>
      <c r="B78" s="2145"/>
      <c r="C78" s="1699">
        <f t="shared" ref="C78:K78" si="9">C20+C77</f>
        <v>307305</v>
      </c>
      <c r="D78" s="1699">
        <f t="shared" si="9"/>
        <v>-121825</v>
      </c>
      <c r="E78" s="1699">
        <f t="shared" si="9"/>
        <v>7527</v>
      </c>
      <c r="F78" s="1699">
        <f t="shared" si="9"/>
        <v>24252</v>
      </c>
      <c r="G78" s="1699">
        <f t="shared" si="9"/>
        <v>22474</v>
      </c>
      <c r="H78" s="1699">
        <f t="shared" si="9"/>
        <v>1616</v>
      </c>
      <c r="I78" s="1699">
        <f t="shared" si="9"/>
        <v>39411</v>
      </c>
      <c r="J78" s="1699">
        <f t="shared" si="9"/>
        <v>35959</v>
      </c>
      <c r="K78" s="1699">
        <f t="shared" si="9"/>
        <v>99</v>
      </c>
      <c r="L78" s="530"/>
    </row>
    <row r="79" spans="1:12" ht="13.5" thickTop="1" x14ac:dyDescent="0.2">
      <c r="A79" s="1491" t="s">
        <v>1949</v>
      </c>
      <c r="B79" s="531"/>
      <c r="C79" s="476">
        <v>3950008</v>
      </c>
      <c r="D79" s="476">
        <v>997515</v>
      </c>
      <c r="E79" s="476">
        <v>135861</v>
      </c>
      <c r="F79" s="476">
        <v>90856</v>
      </c>
      <c r="G79" s="476">
        <v>436919</v>
      </c>
      <c r="H79" s="476">
        <v>117725</v>
      </c>
      <c r="I79" s="476">
        <v>823790</v>
      </c>
      <c r="J79" s="476">
        <v>66506</v>
      </c>
      <c r="K79" s="476">
        <v>291700</v>
      </c>
      <c r="L79" s="347"/>
    </row>
    <row r="80" spans="1:12" x14ac:dyDescent="0.2">
      <c r="A80" s="2150" t="s">
        <v>1795</v>
      </c>
      <c r="B80" s="2151"/>
      <c r="C80" s="467">
        <v>0</v>
      </c>
      <c r="D80" s="467">
        <v>0</v>
      </c>
      <c r="E80" s="467">
        <v>0</v>
      </c>
      <c r="F80" s="467">
        <v>0</v>
      </c>
      <c r="G80" s="467">
        <v>0</v>
      </c>
      <c r="H80" s="467">
        <v>0</v>
      </c>
      <c r="I80" s="467">
        <v>0</v>
      </c>
      <c r="J80" s="467">
        <v>0</v>
      </c>
      <c r="K80" s="467">
        <v>0</v>
      </c>
      <c r="L80" s="347"/>
    </row>
    <row r="81" spans="1:12" ht="13.5" thickBot="1" x14ac:dyDescent="0.25">
      <c r="A81" s="2142" t="s">
        <v>1950</v>
      </c>
      <c r="B81" s="2143"/>
      <c r="C81" s="1685">
        <f>(SUM(C78:C80))</f>
        <v>4257313</v>
      </c>
      <c r="D81" s="1685">
        <f>SUM(D78:D80)</f>
        <v>875690</v>
      </c>
      <c r="E81" s="1685">
        <f t="shared" ref="E81:K81" si="10">SUM(E78:E80)</f>
        <v>143388</v>
      </c>
      <c r="F81" s="1685">
        <f t="shared" si="10"/>
        <v>115108</v>
      </c>
      <c r="G81" s="1685">
        <f t="shared" si="10"/>
        <v>459393</v>
      </c>
      <c r="H81" s="1685">
        <f t="shared" si="10"/>
        <v>119341</v>
      </c>
      <c r="I81" s="1685">
        <f t="shared" si="10"/>
        <v>863201</v>
      </c>
      <c r="J81" s="1685">
        <f t="shared" si="10"/>
        <v>102465</v>
      </c>
      <c r="K81" s="1685">
        <f t="shared" si="10"/>
        <v>291799</v>
      </c>
      <c r="L81" s="347"/>
    </row>
    <row r="82" spans="1:12" ht="0.75" customHeight="1" thickTop="1" thickBot="1" x14ac:dyDescent="0.25">
      <c r="A82" s="533" t="s">
        <v>343</v>
      </c>
      <c r="B82" s="534"/>
      <c r="C82" s="535">
        <f>(C81-C79)</f>
        <v>307305</v>
      </c>
      <c r="D82" s="535">
        <f t="shared" ref="D82:K82" si="11">(D81-D79)</f>
        <v>-121825</v>
      </c>
      <c r="E82" s="535">
        <f t="shared" si="11"/>
        <v>7527</v>
      </c>
      <c r="F82" s="535">
        <f t="shared" si="11"/>
        <v>24252</v>
      </c>
      <c r="G82" s="535">
        <f t="shared" si="11"/>
        <v>22474</v>
      </c>
      <c r="H82" s="535">
        <f t="shared" si="11"/>
        <v>1616</v>
      </c>
      <c r="I82" s="535">
        <f t="shared" si="11"/>
        <v>39411</v>
      </c>
      <c r="J82" s="535">
        <f t="shared" si="11"/>
        <v>35959</v>
      </c>
      <c r="K82" s="535">
        <f t="shared" si="11"/>
        <v>99</v>
      </c>
    </row>
    <row r="83" spans="1:12" ht="14.25" hidden="1" thickTop="1" thickBot="1" x14ac:dyDescent="0.25">
      <c r="A83" s="536" t="s">
        <v>344</v>
      </c>
      <c r="B83" s="464"/>
      <c r="C83" s="537">
        <f>C82/C81</f>
        <v>7.2182853363142438E-2</v>
      </c>
      <c r="D83" s="537">
        <f t="shared" ref="D83:K83" si="12">D82/D81</f>
        <v>-0.13911886626545925</v>
      </c>
      <c r="E83" s="537">
        <f t="shared" si="12"/>
        <v>5.2493932546656623E-2</v>
      </c>
      <c r="F83" s="537">
        <f t="shared" si="12"/>
        <v>0.210689091983181</v>
      </c>
      <c r="G83" s="537">
        <f t="shared" si="12"/>
        <v>4.8921076289799803E-2</v>
      </c>
      <c r="H83" s="537">
        <f t="shared" si="12"/>
        <v>1.3541029486932404E-2</v>
      </c>
      <c r="I83" s="537">
        <f t="shared" si="12"/>
        <v>4.5656805309539722E-2</v>
      </c>
      <c r="J83" s="537">
        <f t="shared" si="12"/>
        <v>0.35093934514224367</v>
      </c>
      <c r="K83" s="537">
        <f t="shared" si="12"/>
        <v>3.3927463767867606E-4</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28" sqref="F28"/>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6" t="s">
        <v>1802</v>
      </c>
      <c r="B1" s="452"/>
      <c r="C1" s="453" t="s">
        <v>425</v>
      </c>
      <c r="D1" s="453" t="s">
        <v>426</v>
      </c>
      <c r="E1" s="453" t="s">
        <v>427</v>
      </c>
      <c r="F1" s="453" t="s">
        <v>428</v>
      </c>
      <c r="G1" s="453" t="s">
        <v>429</v>
      </c>
      <c r="H1" s="453" t="s">
        <v>430</v>
      </c>
      <c r="I1" s="453" t="s">
        <v>431</v>
      </c>
      <c r="J1" s="453" t="s">
        <v>432</v>
      </c>
      <c r="K1" s="453" t="s">
        <v>756</v>
      </c>
    </row>
    <row r="2" spans="1:12" ht="36" x14ac:dyDescent="0.2">
      <c r="A2" s="2147"/>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848149</v>
      </c>
      <c r="D5" s="479">
        <v>125241</v>
      </c>
      <c r="E5" s="466">
        <v>216192</v>
      </c>
      <c r="F5" s="545">
        <v>117989</v>
      </c>
      <c r="G5" s="466">
        <v>74044</v>
      </c>
      <c r="H5" s="466">
        <v>0</v>
      </c>
      <c r="I5" s="466">
        <v>27717</v>
      </c>
      <c r="J5" s="467">
        <v>192282</v>
      </c>
      <c r="K5" s="466">
        <v>24759</v>
      </c>
    </row>
    <row r="6" spans="1:12" ht="15" x14ac:dyDescent="0.2">
      <c r="A6" s="463" t="s">
        <v>1662</v>
      </c>
      <c r="B6" s="470">
        <v>1130</v>
      </c>
      <c r="C6" s="466">
        <v>5108</v>
      </c>
      <c r="D6" s="466">
        <v>0</v>
      </c>
      <c r="E6" s="474"/>
      <c r="F6" s="474"/>
      <c r="G6" s="468"/>
      <c r="H6" s="468"/>
      <c r="I6" s="468"/>
      <c r="J6" s="468"/>
      <c r="K6" s="468"/>
    </row>
    <row r="7" spans="1:12" x14ac:dyDescent="0.2">
      <c r="A7" s="463" t="s">
        <v>110</v>
      </c>
      <c r="B7" s="546">
        <v>1140</v>
      </c>
      <c r="C7" s="466">
        <v>9954</v>
      </c>
      <c r="D7" s="466">
        <v>0</v>
      </c>
      <c r="E7" s="468"/>
      <c r="F7" s="467">
        <v>0</v>
      </c>
      <c r="G7" s="467">
        <v>0</v>
      </c>
      <c r="H7" s="467">
        <v>0</v>
      </c>
      <c r="I7" s="468"/>
      <c r="J7" s="468"/>
      <c r="K7" s="468"/>
    </row>
    <row r="8" spans="1:12" x14ac:dyDescent="0.2">
      <c r="A8" s="463" t="s">
        <v>413</v>
      </c>
      <c r="B8" s="470">
        <v>1150</v>
      </c>
      <c r="C8" s="474"/>
      <c r="D8" s="474"/>
      <c r="E8" s="475"/>
      <c r="F8" s="475"/>
      <c r="G8" s="479">
        <v>103622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863211</v>
      </c>
      <c r="D12" s="1704">
        <f t="shared" si="0"/>
        <v>125241</v>
      </c>
      <c r="E12" s="1704">
        <f t="shared" si="0"/>
        <v>216192</v>
      </c>
      <c r="F12" s="1704">
        <f t="shared" si="0"/>
        <v>117989</v>
      </c>
      <c r="G12" s="1704">
        <f t="shared" si="0"/>
        <v>177666</v>
      </c>
      <c r="H12" s="1704">
        <f t="shared" si="0"/>
        <v>0</v>
      </c>
      <c r="I12" s="1704">
        <f t="shared" si="0"/>
        <v>27717</v>
      </c>
      <c r="J12" s="1704">
        <f t="shared" si="0"/>
        <v>192282</v>
      </c>
      <c r="K12" s="1685">
        <f t="shared" si="0"/>
        <v>24759</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2563</v>
      </c>
      <c r="D14" s="466">
        <v>372</v>
      </c>
      <c r="E14" s="466">
        <v>642</v>
      </c>
      <c r="F14" s="466">
        <v>351</v>
      </c>
      <c r="G14" s="466">
        <v>527</v>
      </c>
      <c r="H14" s="466">
        <v>0</v>
      </c>
      <c r="I14" s="466">
        <v>82</v>
      </c>
      <c r="J14" s="467">
        <v>571</v>
      </c>
      <c r="K14" s="466">
        <v>73</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67161</v>
      </c>
      <c r="D16" s="466">
        <v>0</v>
      </c>
      <c r="E16" s="466">
        <v>0</v>
      </c>
      <c r="F16" s="466">
        <v>0</v>
      </c>
      <c r="G16" s="466">
        <v>7175</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69724</v>
      </c>
      <c r="D18" s="1707">
        <f t="shared" ref="D18:K18" si="1">SUM(D14:D17)</f>
        <v>372</v>
      </c>
      <c r="E18" s="1707">
        <f t="shared" si="1"/>
        <v>642</v>
      </c>
      <c r="F18" s="1707">
        <f t="shared" si="1"/>
        <v>351</v>
      </c>
      <c r="G18" s="1707">
        <f t="shared" si="1"/>
        <v>7702</v>
      </c>
      <c r="H18" s="1707">
        <f t="shared" si="1"/>
        <v>0</v>
      </c>
      <c r="I18" s="1707">
        <f t="shared" si="1"/>
        <v>82</v>
      </c>
      <c r="J18" s="1707">
        <f t="shared" si="1"/>
        <v>571</v>
      </c>
      <c r="K18" s="1708">
        <f t="shared" si="1"/>
        <v>73</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7863</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7863</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59496</v>
      </c>
      <c r="D65" s="466">
        <v>13254</v>
      </c>
      <c r="E65" s="466">
        <v>2716</v>
      </c>
      <c r="F65" s="467">
        <v>1746</v>
      </c>
      <c r="G65" s="466">
        <v>7148</v>
      </c>
      <c r="H65" s="466">
        <v>1616</v>
      </c>
      <c r="I65" s="466">
        <v>11612</v>
      </c>
      <c r="J65" s="467">
        <v>1442</v>
      </c>
      <c r="K65" s="466">
        <v>4127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59496</v>
      </c>
      <c r="D67" s="1685">
        <f t="shared" ref="D67:K67" si="2">SUM(D65:D66)</f>
        <v>13254</v>
      </c>
      <c r="E67" s="1685">
        <f t="shared" si="2"/>
        <v>2716</v>
      </c>
      <c r="F67" s="1685">
        <f t="shared" si="2"/>
        <v>1746</v>
      </c>
      <c r="G67" s="1685">
        <f t="shared" si="2"/>
        <v>7148</v>
      </c>
      <c r="H67" s="1685">
        <f t="shared" si="2"/>
        <v>1616</v>
      </c>
      <c r="I67" s="1685">
        <f t="shared" si="2"/>
        <v>11612</v>
      </c>
      <c r="J67" s="1685">
        <f t="shared" si="2"/>
        <v>1442</v>
      </c>
      <c r="K67" s="1685">
        <f t="shared" si="2"/>
        <v>4127</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1849</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2272</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4121</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4678</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3260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7938</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10120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10120</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3089</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23782</v>
      </c>
      <c r="D98" s="466">
        <v>0</v>
      </c>
      <c r="E98" s="509"/>
      <c r="F98" s="466">
        <v>0</v>
      </c>
      <c r="G98" s="509"/>
      <c r="H98" s="509"/>
      <c r="I98" s="507"/>
      <c r="J98" s="509"/>
      <c r="K98" s="509"/>
    </row>
    <row r="99" spans="1:12" ht="12.75" customHeight="1" x14ac:dyDescent="0.2">
      <c r="A99" s="463" t="s">
        <v>821</v>
      </c>
      <c r="B99" s="470">
        <v>1950</v>
      </c>
      <c r="C99" s="486">
        <v>66039</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2370</v>
      </c>
      <c r="D107" s="466">
        <v>365</v>
      </c>
      <c r="E107" s="466">
        <v>0</v>
      </c>
      <c r="F107" s="466">
        <v>0</v>
      </c>
      <c r="G107" s="466">
        <v>0</v>
      </c>
      <c r="H107" s="466">
        <v>0</v>
      </c>
      <c r="I107" s="466">
        <v>0</v>
      </c>
      <c r="J107" s="467">
        <v>0</v>
      </c>
      <c r="K107" s="466">
        <v>0</v>
      </c>
    </row>
    <row r="108" spans="1:12" ht="12.75" customHeight="1" thickBot="1" x14ac:dyDescent="0.25">
      <c r="A108" s="1705" t="s">
        <v>487</v>
      </c>
      <c r="B108" s="1709"/>
      <c r="C108" s="1704">
        <f>SUM(C95:C107)</f>
        <v>95280</v>
      </c>
      <c r="D108" s="1704">
        <f t="shared" ref="D108:K108" si="3">SUM(D95:D107)</f>
        <v>365</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1117753</v>
      </c>
      <c r="D109" s="1712">
        <f t="shared" si="4"/>
        <v>139232</v>
      </c>
      <c r="E109" s="1712">
        <f t="shared" si="4"/>
        <v>219550</v>
      </c>
      <c r="F109" s="1712">
        <f t="shared" si="4"/>
        <v>120086</v>
      </c>
      <c r="G109" s="1712">
        <f t="shared" si="4"/>
        <v>192516</v>
      </c>
      <c r="H109" s="1712">
        <f t="shared" si="4"/>
        <v>1616</v>
      </c>
      <c r="I109" s="1712">
        <f t="shared" si="4"/>
        <v>39411</v>
      </c>
      <c r="J109" s="1712">
        <f t="shared" si="4"/>
        <v>194295</v>
      </c>
      <c r="K109" s="1699">
        <f t="shared" si="4"/>
        <v>28959</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3679220</v>
      </c>
      <c r="D117" s="479">
        <v>0</v>
      </c>
      <c r="E117" s="466">
        <v>0</v>
      </c>
      <c r="F117" s="479">
        <v>50000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3679220</v>
      </c>
      <c r="D122" s="1704">
        <f t="shared" si="5"/>
        <v>0</v>
      </c>
      <c r="E122" s="1704">
        <f t="shared" si="5"/>
        <v>0</v>
      </c>
      <c r="F122" s="1704">
        <f t="shared" si="5"/>
        <v>50000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59863</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4851</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64714</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6768</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84202</v>
      </c>
      <c r="G152" s="467">
        <v>0</v>
      </c>
      <c r="H152" s="468"/>
      <c r="I152" s="468"/>
      <c r="J152" s="468"/>
      <c r="K152" s="468"/>
    </row>
    <row r="153" spans="1:11" ht="12.75" customHeight="1" x14ac:dyDescent="0.2">
      <c r="A153" s="463" t="s">
        <v>1057</v>
      </c>
      <c r="B153" s="559">
        <v>3510</v>
      </c>
      <c r="C153" s="548">
        <v>0</v>
      </c>
      <c r="D153" s="466">
        <v>0</v>
      </c>
      <c r="E153" s="558"/>
      <c r="F153" s="466">
        <v>137618</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221820</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30210</v>
      </c>
      <c r="D168" s="577">
        <v>0</v>
      </c>
      <c r="E168" s="577">
        <v>0</v>
      </c>
      <c r="F168" s="577">
        <v>0</v>
      </c>
      <c r="G168" s="578">
        <v>0</v>
      </c>
      <c r="H168" s="579">
        <v>0</v>
      </c>
      <c r="I168" s="578">
        <v>0</v>
      </c>
      <c r="J168" s="578">
        <v>0</v>
      </c>
      <c r="K168" s="579">
        <v>0</v>
      </c>
    </row>
    <row r="169" spans="1:11" ht="12.75" customHeight="1" thickTop="1" thickBot="1" x14ac:dyDescent="0.25">
      <c r="A169" s="2166" t="s">
        <v>398</v>
      </c>
      <c r="B169" s="2167"/>
      <c r="C169" s="1719">
        <f t="shared" ref="C169:K169" si="6">SUM(C132,C141,C145,C146:C150,C155,C156:C167,C168)</f>
        <v>101692</v>
      </c>
      <c r="D169" s="1719">
        <f t="shared" si="6"/>
        <v>0</v>
      </c>
      <c r="E169" s="1719">
        <f t="shared" si="6"/>
        <v>0</v>
      </c>
      <c r="F169" s="1719">
        <f t="shared" si="6"/>
        <v>221820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3780912</v>
      </c>
      <c r="D170" s="1712">
        <f t="shared" si="7"/>
        <v>0</v>
      </c>
      <c r="E170" s="1712">
        <f t="shared" si="7"/>
        <v>0</v>
      </c>
      <c r="F170" s="1712">
        <f t="shared" si="7"/>
        <v>271820</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8" t="s">
        <v>1492</v>
      </c>
      <c r="B172" s="2169"/>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72" t="s">
        <v>1665</v>
      </c>
      <c r="B175" s="2173"/>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6" t="s">
        <v>1664</v>
      </c>
      <c r="B176" s="2177"/>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4" t="s">
        <v>785</v>
      </c>
      <c r="B181" s="2175"/>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70" t="s">
        <v>1803</v>
      </c>
      <c r="B182" s="2171"/>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250305</v>
      </c>
      <c r="D191" s="468"/>
      <c r="E191" s="558"/>
      <c r="F191" s="468"/>
      <c r="G191" s="582">
        <v>0</v>
      </c>
      <c r="H191" s="468"/>
      <c r="I191" s="468"/>
      <c r="J191" s="468"/>
      <c r="K191" s="468"/>
    </row>
    <row r="192" spans="1:11" ht="12.75" customHeight="1" x14ac:dyDescent="0.2">
      <c r="A192" s="463" t="s">
        <v>1047</v>
      </c>
      <c r="B192" s="470">
        <v>4215</v>
      </c>
      <c r="C192" s="548">
        <v>456</v>
      </c>
      <c r="D192" s="468"/>
      <c r="E192" s="558"/>
      <c r="F192" s="468"/>
      <c r="G192" s="582">
        <v>0</v>
      </c>
      <c r="H192" s="468"/>
      <c r="I192" s="468"/>
      <c r="J192" s="468"/>
      <c r="K192" s="468"/>
    </row>
    <row r="193" spans="1:11" ht="12.75" customHeight="1" x14ac:dyDescent="0.2">
      <c r="A193" s="463" t="s">
        <v>1059</v>
      </c>
      <c r="B193" s="470">
        <v>4220</v>
      </c>
      <c r="C193" s="548">
        <v>84519</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10900</v>
      </c>
      <c r="D197" s="468"/>
      <c r="E197" s="558"/>
      <c r="F197" s="468"/>
      <c r="G197" s="582">
        <v>0</v>
      </c>
      <c r="H197" s="468"/>
      <c r="I197" s="468"/>
      <c r="J197" s="468"/>
      <c r="K197" s="468"/>
    </row>
    <row r="198" spans="1:11" ht="12.75" customHeight="1" thickBot="1" x14ac:dyDescent="0.25">
      <c r="A198" s="1705" t="s">
        <v>548</v>
      </c>
      <c r="B198" s="1706"/>
      <c r="C198" s="1685">
        <f>SUM(C190:C197)</f>
        <v>346180</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198270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198270</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27834</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100578</v>
      </c>
      <c r="D213" s="466">
        <v>0</v>
      </c>
      <c r="E213" s="468"/>
      <c r="F213" s="466">
        <v>0</v>
      </c>
      <c r="G213" s="466">
        <v>0</v>
      </c>
      <c r="H213" s="468"/>
      <c r="I213" s="468"/>
      <c r="J213" s="468"/>
      <c r="K213" s="468"/>
    </row>
    <row r="214" spans="1:11" ht="12.75" customHeight="1" x14ac:dyDescent="0.2">
      <c r="A214" s="463" t="s">
        <v>1054</v>
      </c>
      <c r="B214" s="470">
        <v>4625</v>
      </c>
      <c r="C214" s="548">
        <v>10030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138442</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5338</v>
      </c>
      <c r="D263" s="573">
        <v>0</v>
      </c>
      <c r="E263" s="468"/>
      <c r="F263" s="573">
        <v>0</v>
      </c>
      <c r="G263" s="573">
        <v>0</v>
      </c>
      <c r="H263" s="468"/>
      <c r="I263" s="468"/>
      <c r="J263" s="468"/>
      <c r="K263" s="468"/>
    </row>
    <row r="264" spans="1:11" ht="12.75" customHeight="1" thickTop="1" thickBot="1" x14ac:dyDescent="0.25">
      <c r="A264" s="463" t="s">
        <v>377</v>
      </c>
      <c r="B264" s="470">
        <v>4992</v>
      </c>
      <c r="C264" s="572">
        <v>46335</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734565</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734565</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5633230</v>
      </c>
      <c r="D268" s="1712">
        <f t="shared" si="12"/>
        <v>139232</v>
      </c>
      <c r="E268" s="1712">
        <f t="shared" si="12"/>
        <v>219550</v>
      </c>
      <c r="F268" s="1712">
        <f t="shared" si="12"/>
        <v>391906</v>
      </c>
      <c r="G268" s="1712">
        <f t="shared" si="12"/>
        <v>192516</v>
      </c>
      <c r="H268" s="1712">
        <f t="shared" si="12"/>
        <v>1616</v>
      </c>
      <c r="I268" s="1712">
        <f t="shared" si="12"/>
        <v>39411</v>
      </c>
      <c r="J268" s="1712">
        <f t="shared" si="12"/>
        <v>194295</v>
      </c>
      <c r="K268" s="1699">
        <f t="shared" si="12"/>
        <v>28959</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28" sqref="F28"/>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6"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80"/>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6" t="s">
        <v>297</v>
      </c>
      <c r="B3" s="2187"/>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1540862</v>
      </c>
      <c r="D5" s="466">
        <v>492420</v>
      </c>
      <c r="E5" s="466">
        <v>98851</v>
      </c>
      <c r="F5" s="466">
        <v>73497</v>
      </c>
      <c r="G5" s="466">
        <v>18888</v>
      </c>
      <c r="H5" s="466">
        <v>679</v>
      </c>
      <c r="I5" s="467">
        <v>0</v>
      </c>
      <c r="J5" s="467">
        <v>0</v>
      </c>
      <c r="K5" s="1668">
        <f>SUM(C5:J5)</f>
        <v>2225197</v>
      </c>
      <c r="L5" s="471">
        <v>2334617</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631053</v>
      </c>
      <c r="D8" s="466">
        <v>158064</v>
      </c>
      <c r="E8" s="466">
        <v>7693</v>
      </c>
      <c r="F8" s="466">
        <v>7337</v>
      </c>
      <c r="G8" s="466">
        <v>1388</v>
      </c>
      <c r="H8" s="466">
        <v>0</v>
      </c>
      <c r="I8" s="467">
        <v>0</v>
      </c>
      <c r="J8" s="467">
        <v>0</v>
      </c>
      <c r="K8" s="1668">
        <f t="shared" si="0"/>
        <v>805535</v>
      </c>
      <c r="L8" s="471">
        <v>891372</v>
      </c>
    </row>
    <row r="9" spans="1:14" x14ac:dyDescent="0.2">
      <c r="A9" s="1501" t="s">
        <v>721</v>
      </c>
      <c r="B9" s="611" t="s">
        <v>968</v>
      </c>
      <c r="C9" s="467">
        <v>58345</v>
      </c>
      <c r="D9" s="467">
        <v>14631</v>
      </c>
      <c r="E9" s="467">
        <v>0</v>
      </c>
      <c r="F9" s="467">
        <v>135</v>
      </c>
      <c r="G9" s="467">
        <v>0</v>
      </c>
      <c r="H9" s="467">
        <v>0</v>
      </c>
      <c r="I9" s="467">
        <v>0</v>
      </c>
      <c r="J9" s="467">
        <v>0</v>
      </c>
      <c r="K9" s="1668">
        <f t="shared" si="0"/>
        <v>73111</v>
      </c>
      <c r="L9" s="471">
        <v>77604</v>
      </c>
    </row>
    <row r="10" spans="1:14" x14ac:dyDescent="0.2">
      <c r="A10" s="1501" t="s">
        <v>722</v>
      </c>
      <c r="B10" s="611">
        <v>1250</v>
      </c>
      <c r="C10" s="466">
        <v>195176</v>
      </c>
      <c r="D10" s="466">
        <v>51121</v>
      </c>
      <c r="E10" s="466">
        <v>0</v>
      </c>
      <c r="F10" s="466">
        <v>5239</v>
      </c>
      <c r="G10" s="466">
        <v>0</v>
      </c>
      <c r="H10" s="466">
        <v>0</v>
      </c>
      <c r="I10" s="467">
        <v>0</v>
      </c>
      <c r="J10" s="467">
        <v>0</v>
      </c>
      <c r="K10" s="1668">
        <f t="shared" si="0"/>
        <v>251536</v>
      </c>
      <c r="L10" s="471">
        <v>272842</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31584</v>
      </c>
      <c r="D14" s="466">
        <v>2757</v>
      </c>
      <c r="E14" s="466">
        <v>3880</v>
      </c>
      <c r="F14" s="466">
        <v>1307</v>
      </c>
      <c r="G14" s="466">
        <v>0</v>
      </c>
      <c r="H14" s="466">
        <v>603</v>
      </c>
      <c r="I14" s="467">
        <v>0</v>
      </c>
      <c r="J14" s="467">
        <v>0</v>
      </c>
      <c r="K14" s="1668">
        <f t="shared" si="0"/>
        <v>40131</v>
      </c>
      <c r="L14" s="471">
        <v>50344</v>
      </c>
    </row>
    <row r="15" spans="1:14" x14ac:dyDescent="0.2">
      <c r="A15" s="1501" t="s">
        <v>964</v>
      </c>
      <c r="B15" s="611">
        <v>1600</v>
      </c>
      <c r="C15" s="467">
        <v>19890</v>
      </c>
      <c r="D15" s="466">
        <v>3046</v>
      </c>
      <c r="E15" s="466">
        <v>0</v>
      </c>
      <c r="F15" s="466">
        <v>4900</v>
      </c>
      <c r="G15" s="466">
        <v>0</v>
      </c>
      <c r="H15" s="466">
        <v>0</v>
      </c>
      <c r="I15" s="467">
        <v>0</v>
      </c>
      <c r="J15" s="467">
        <v>0</v>
      </c>
      <c r="K15" s="1668">
        <f t="shared" si="0"/>
        <v>27836</v>
      </c>
      <c r="L15" s="471">
        <v>33780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220211</v>
      </c>
      <c r="I22" s="613"/>
      <c r="J22" s="475"/>
      <c r="K22" s="1668">
        <f t="shared" si="0"/>
        <v>220211</v>
      </c>
      <c r="L22" s="471">
        <v>272878</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2476910</v>
      </c>
      <c r="D33" s="1667">
        <f t="shared" ref="D33:L33" si="1">SUM(D5:D32)</f>
        <v>722039</v>
      </c>
      <c r="E33" s="1667">
        <f t="shared" si="1"/>
        <v>110424</v>
      </c>
      <c r="F33" s="1667">
        <f t="shared" si="1"/>
        <v>92415</v>
      </c>
      <c r="G33" s="1667">
        <f t="shared" si="1"/>
        <v>20276</v>
      </c>
      <c r="H33" s="1667">
        <f t="shared" si="1"/>
        <v>221493</v>
      </c>
      <c r="I33" s="1667">
        <f t="shared" si="1"/>
        <v>0</v>
      </c>
      <c r="J33" s="1667">
        <f t="shared" si="1"/>
        <v>0</v>
      </c>
      <c r="K33" s="1667">
        <f t="shared" si="1"/>
        <v>3643557</v>
      </c>
      <c r="L33" s="1667">
        <f t="shared" si="1"/>
        <v>3933437</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6180</v>
      </c>
      <c r="F36" s="479">
        <v>0</v>
      </c>
      <c r="G36" s="479">
        <v>0</v>
      </c>
      <c r="H36" s="479">
        <v>0</v>
      </c>
      <c r="I36" s="467">
        <v>0</v>
      </c>
      <c r="J36" s="467">
        <v>0</v>
      </c>
      <c r="K36" s="1668">
        <f t="shared" ref="K36:K41" si="2">SUM(C36:J36)</f>
        <v>6180</v>
      </c>
      <c r="L36" s="466">
        <v>6200</v>
      </c>
    </row>
    <row r="37" spans="1:14" x14ac:dyDescent="0.2">
      <c r="A37" s="1501" t="s">
        <v>1090</v>
      </c>
      <c r="B37" s="611">
        <v>2120</v>
      </c>
      <c r="C37" s="466">
        <v>0</v>
      </c>
      <c r="D37" s="466">
        <v>0</v>
      </c>
      <c r="E37" s="466">
        <v>45000</v>
      </c>
      <c r="F37" s="466">
        <v>0</v>
      </c>
      <c r="G37" s="466">
        <v>0</v>
      </c>
      <c r="H37" s="466">
        <v>0</v>
      </c>
      <c r="I37" s="467">
        <v>0</v>
      </c>
      <c r="J37" s="467">
        <v>0</v>
      </c>
      <c r="K37" s="1668">
        <f t="shared" si="2"/>
        <v>45000</v>
      </c>
      <c r="L37" s="466">
        <v>45000</v>
      </c>
    </row>
    <row r="38" spans="1:14" x14ac:dyDescent="0.2">
      <c r="A38" s="1501" t="s">
        <v>198</v>
      </c>
      <c r="B38" s="611">
        <v>2130</v>
      </c>
      <c r="C38" s="466">
        <v>17750</v>
      </c>
      <c r="D38" s="466">
        <v>3738</v>
      </c>
      <c r="E38" s="466">
        <v>0</v>
      </c>
      <c r="F38" s="466">
        <v>523</v>
      </c>
      <c r="G38" s="466">
        <v>0</v>
      </c>
      <c r="H38" s="466">
        <v>0</v>
      </c>
      <c r="I38" s="467">
        <v>0</v>
      </c>
      <c r="J38" s="467">
        <v>0</v>
      </c>
      <c r="K38" s="1668">
        <f t="shared" si="2"/>
        <v>22011</v>
      </c>
      <c r="L38" s="466">
        <v>24450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1942</v>
      </c>
      <c r="G40" s="466">
        <v>0</v>
      </c>
      <c r="H40" s="466">
        <v>0</v>
      </c>
      <c r="I40" s="467">
        <v>0</v>
      </c>
      <c r="J40" s="467">
        <v>0</v>
      </c>
      <c r="K40" s="1668">
        <f t="shared" si="2"/>
        <v>1942</v>
      </c>
      <c r="L40" s="466">
        <v>2000</v>
      </c>
    </row>
    <row r="41" spans="1:14" x14ac:dyDescent="0.2">
      <c r="A41" s="1501" t="s">
        <v>1669</v>
      </c>
      <c r="B41" s="611">
        <v>2190</v>
      </c>
      <c r="C41" s="466">
        <v>0</v>
      </c>
      <c r="D41" s="466">
        <v>0</v>
      </c>
      <c r="E41" s="466">
        <v>257</v>
      </c>
      <c r="F41" s="466">
        <v>4146</v>
      </c>
      <c r="G41" s="466">
        <v>0</v>
      </c>
      <c r="H41" s="466">
        <v>0</v>
      </c>
      <c r="I41" s="467">
        <v>0</v>
      </c>
      <c r="J41" s="467">
        <v>0</v>
      </c>
      <c r="K41" s="1668">
        <f t="shared" si="2"/>
        <v>4403</v>
      </c>
      <c r="L41" s="466">
        <v>7700</v>
      </c>
    </row>
    <row r="42" spans="1:14" ht="12.75" customHeight="1" thickBot="1" x14ac:dyDescent="0.25">
      <c r="A42" s="1665" t="s">
        <v>560</v>
      </c>
      <c r="B42" s="1666" t="s">
        <v>716</v>
      </c>
      <c r="C42" s="1667">
        <f>SUM(C36:C41)</f>
        <v>17750</v>
      </c>
      <c r="D42" s="1667">
        <f t="shared" ref="D42:L42" si="3">SUM(D36:D41)</f>
        <v>3738</v>
      </c>
      <c r="E42" s="1667">
        <f t="shared" si="3"/>
        <v>51437</v>
      </c>
      <c r="F42" s="1667">
        <f t="shared" si="3"/>
        <v>6611</v>
      </c>
      <c r="G42" s="1667">
        <f t="shared" si="3"/>
        <v>0</v>
      </c>
      <c r="H42" s="1667">
        <f t="shared" si="3"/>
        <v>0</v>
      </c>
      <c r="I42" s="1667">
        <f t="shared" si="3"/>
        <v>0</v>
      </c>
      <c r="J42" s="1667">
        <f t="shared" si="3"/>
        <v>0</v>
      </c>
      <c r="K42" s="1667">
        <f t="shared" si="3"/>
        <v>79536</v>
      </c>
      <c r="L42" s="1667">
        <f t="shared" si="3"/>
        <v>85350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2563</v>
      </c>
      <c r="D44" s="479">
        <v>181</v>
      </c>
      <c r="E44" s="479">
        <v>42245</v>
      </c>
      <c r="F44" s="479">
        <v>444</v>
      </c>
      <c r="G44" s="479">
        <v>0</v>
      </c>
      <c r="H44" s="479">
        <v>0</v>
      </c>
      <c r="I44" s="467">
        <v>0</v>
      </c>
      <c r="J44" s="467">
        <v>0</v>
      </c>
      <c r="K44" s="1669">
        <f>SUM(C44:J44)</f>
        <v>45433</v>
      </c>
      <c r="L44" s="479">
        <v>49118</v>
      </c>
    </row>
    <row r="45" spans="1:14" x14ac:dyDescent="0.2">
      <c r="A45" s="1501" t="s">
        <v>815</v>
      </c>
      <c r="B45" s="611">
        <v>2220</v>
      </c>
      <c r="C45" s="466">
        <v>0</v>
      </c>
      <c r="D45" s="466">
        <v>0</v>
      </c>
      <c r="E45" s="466">
        <v>0</v>
      </c>
      <c r="F45" s="466">
        <v>1256</v>
      </c>
      <c r="G45" s="466">
        <v>0</v>
      </c>
      <c r="H45" s="466">
        <v>0</v>
      </c>
      <c r="I45" s="467">
        <v>0</v>
      </c>
      <c r="J45" s="467">
        <v>0</v>
      </c>
      <c r="K45" s="1669">
        <f>SUM(C45:J45)</f>
        <v>1256</v>
      </c>
      <c r="L45" s="466">
        <v>3400</v>
      </c>
    </row>
    <row r="46" spans="1:14" x14ac:dyDescent="0.2">
      <c r="A46" s="1501" t="s">
        <v>816</v>
      </c>
      <c r="B46" s="611">
        <v>2230</v>
      </c>
      <c r="C46" s="466">
        <v>0</v>
      </c>
      <c r="D46" s="466">
        <v>0</v>
      </c>
      <c r="E46" s="466">
        <v>8563</v>
      </c>
      <c r="F46" s="466">
        <v>0</v>
      </c>
      <c r="G46" s="466">
        <v>0</v>
      </c>
      <c r="H46" s="466">
        <v>0</v>
      </c>
      <c r="I46" s="467">
        <v>0</v>
      </c>
      <c r="J46" s="467">
        <v>0</v>
      </c>
      <c r="K46" s="1669">
        <f>SUM(C46:J46)</f>
        <v>8563</v>
      </c>
      <c r="L46" s="466">
        <v>13000</v>
      </c>
    </row>
    <row r="47" spans="1:14" ht="12.75" customHeight="1" thickBot="1" x14ac:dyDescent="0.25">
      <c r="A47" s="1665" t="s">
        <v>561</v>
      </c>
      <c r="B47" s="1666" t="s">
        <v>32</v>
      </c>
      <c r="C47" s="1667">
        <f>SUM(C44:C46)</f>
        <v>2563</v>
      </c>
      <c r="D47" s="1667">
        <f t="shared" ref="D47:K47" si="4">SUM(D44:D46)</f>
        <v>181</v>
      </c>
      <c r="E47" s="1667">
        <f t="shared" si="4"/>
        <v>50808</v>
      </c>
      <c r="F47" s="1667">
        <f t="shared" si="4"/>
        <v>1700</v>
      </c>
      <c r="G47" s="1667">
        <f t="shared" si="4"/>
        <v>0</v>
      </c>
      <c r="H47" s="1667">
        <f t="shared" si="4"/>
        <v>0</v>
      </c>
      <c r="I47" s="1667">
        <f t="shared" si="4"/>
        <v>0</v>
      </c>
      <c r="J47" s="1667">
        <f t="shared" si="4"/>
        <v>0</v>
      </c>
      <c r="K47" s="1667">
        <f t="shared" si="4"/>
        <v>55252</v>
      </c>
      <c r="L47" s="1667">
        <f>SUM(L44:L46)</f>
        <v>65518</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2750</v>
      </c>
      <c r="D49" s="479">
        <v>0</v>
      </c>
      <c r="E49" s="479">
        <v>40452</v>
      </c>
      <c r="F49" s="479">
        <v>1913</v>
      </c>
      <c r="G49" s="479">
        <v>0</v>
      </c>
      <c r="H49" s="479">
        <v>3276</v>
      </c>
      <c r="I49" s="467">
        <v>0</v>
      </c>
      <c r="J49" s="467">
        <v>0</v>
      </c>
      <c r="K49" s="1669">
        <f>SUM(C49:J49)</f>
        <v>48391</v>
      </c>
      <c r="L49" s="479">
        <v>71500</v>
      </c>
    </row>
    <row r="50" spans="1:14" x14ac:dyDescent="0.2">
      <c r="A50" s="1501" t="s">
        <v>818</v>
      </c>
      <c r="B50" s="611">
        <v>2320</v>
      </c>
      <c r="C50" s="467">
        <v>150651</v>
      </c>
      <c r="D50" s="466">
        <v>27281</v>
      </c>
      <c r="E50" s="466">
        <v>3918</v>
      </c>
      <c r="F50" s="466">
        <v>2345</v>
      </c>
      <c r="G50" s="466">
        <v>2316</v>
      </c>
      <c r="H50" s="466">
        <v>2043</v>
      </c>
      <c r="I50" s="467">
        <v>0</v>
      </c>
      <c r="J50" s="467">
        <v>0</v>
      </c>
      <c r="K50" s="1669">
        <f>SUM(C50:J50)</f>
        <v>188554</v>
      </c>
      <c r="L50" s="466">
        <v>199562</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153401</v>
      </c>
      <c r="D53" s="1667">
        <f t="shared" ref="D53:L53" si="5">SUM(D49:D52)</f>
        <v>27281</v>
      </c>
      <c r="E53" s="1667">
        <f t="shared" si="5"/>
        <v>44370</v>
      </c>
      <c r="F53" s="1667">
        <f t="shared" si="5"/>
        <v>4258</v>
      </c>
      <c r="G53" s="1667">
        <f t="shared" si="5"/>
        <v>2316</v>
      </c>
      <c r="H53" s="1667">
        <f t="shared" si="5"/>
        <v>5319</v>
      </c>
      <c r="I53" s="1667">
        <f t="shared" si="5"/>
        <v>0</v>
      </c>
      <c r="J53" s="1667">
        <f t="shared" si="5"/>
        <v>0</v>
      </c>
      <c r="K53" s="1667">
        <f t="shared" si="5"/>
        <v>236945</v>
      </c>
      <c r="L53" s="1667">
        <f t="shared" si="5"/>
        <v>271062</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247364</v>
      </c>
      <c r="D55" s="479">
        <v>39243</v>
      </c>
      <c r="E55" s="479">
        <v>2236</v>
      </c>
      <c r="F55" s="479">
        <v>2834</v>
      </c>
      <c r="G55" s="479">
        <v>4632</v>
      </c>
      <c r="H55" s="479">
        <v>780</v>
      </c>
      <c r="I55" s="467">
        <v>0</v>
      </c>
      <c r="J55" s="467">
        <v>0</v>
      </c>
      <c r="K55" s="1669">
        <f>SUM(C55:J55)</f>
        <v>297089</v>
      </c>
      <c r="L55" s="479">
        <v>324021</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247364</v>
      </c>
      <c r="D57" s="1671">
        <f t="shared" ref="D57:K57" si="6">SUM(D55:D56)</f>
        <v>39243</v>
      </c>
      <c r="E57" s="1671">
        <f t="shared" si="6"/>
        <v>2236</v>
      </c>
      <c r="F57" s="1671">
        <f t="shared" si="6"/>
        <v>2834</v>
      </c>
      <c r="G57" s="1671">
        <f t="shared" si="6"/>
        <v>4632</v>
      </c>
      <c r="H57" s="1671">
        <f t="shared" si="6"/>
        <v>780</v>
      </c>
      <c r="I57" s="1671">
        <f t="shared" si="6"/>
        <v>0</v>
      </c>
      <c r="J57" s="1671">
        <f t="shared" si="6"/>
        <v>0</v>
      </c>
      <c r="K57" s="1671">
        <f t="shared" si="6"/>
        <v>297089</v>
      </c>
      <c r="L57" s="1667">
        <f>SUM(L55:L56)</f>
        <v>324021</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57877</v>
      </c>
      <c r="D60" s="466">
        <v>15429</v>
      </c>
      <c r="E60" s="466">
        <v>4770</v>
      </c>
      <c r="F60" s="466">
        <v>0</v>
      </c>
      <c r="G60" s="466">
        <v>677</v>
      </c>
      <c r="H60" s="466">
        <v>0</v>
      </c>
      <c r="I60" s="467">
        <v>0</v>
      </c>
      <c r="J60" s="467">
        <v>0</v>
      </c>
      <c r="K60" s="1669">
        <f t="shared" si="7"/>
        <v>78753</v>
      </c>
      <c r="L60" s="466">
        <v>80552</v>
      </c>
      <c r="M60" s="606"/>
      <c r="N60" s="606"/>
    </row>
    <row r="61" spans="1:14" s="343" customFormat="1" x14ac:dyDescent="0.2">
      <c r="A61" s="1501" t="s">
        <v>197</v>
      </c>
      <c r="B61" s="611">
        <v>2540</v>
      </c>
      <c r="C61" s="466">
        <v>192167</v>
      </c>
      <c r="D61" s="466">
        <v>18122</v>
      </c>
      <c r="E61" s="466">
        <v>4015</v>
      </c>
      <c r="F61" s="466">
        <v>66792</v>
      </c>
      <c r="G61" s="466">
        <v>0</v>
      </c>
      <c r="H61" s="466">
        <v>0</v>
      </c>
      <c r="I61" s="467">
        <v>0</v>
      </c>
      <c r="J61" s="467">
        <v>0</v>
      </c>
      <c r="K61" s="1669">
        <f t="shared" si="7"/>
        <v>281096</v>
      </c>
      <c r="L61" s="466">
        <v>306116</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165658</v>
      </c>
      <c r="D63" s="466">
        <v>12155</v>
      </c>
      <c r="E63" s="466">
        <v>7366</v>
      </c>
      <c r="F63" s="466">
        <v>149265</v>
      </c>
      <c r="G63" s="466">
        <v>16585</v>
      </c>
      <c r="H63" s="466">
        <v>45</v>
      </c>
      <c r="I63" s="467">
        <v>0</v>
      </c>
      <c r="J63" s="467">
        <v>0</v>
      </c>
      <c r="K63" s="1669">
        <f t="shared" si="7"/>
        <v>351074</v>
      </c>
      <c r="L63" s="466">
        <v>385781</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415702</v>
      </c>
      <c r="D65" s="1667">
        <f t="shared" ref="D65:L65" si="8">SUM(D59:D64)</f>
        <v>45706</v>
      </c>
      <c r="E65" s="1667">
        <f t="shared" si="8"/>
        <v>16151</v>
      </c>
      <c r="F65" s="1667">
        <f t="shared" si="8"/>
        <v>216057</v>
      </c>
      <c r="G65" s="1667">
        <f t="shared" si="8"/>
        <v>17262</v>
      </c>
      <c r="H65" s="1667">
        <f t="shared" si="8"/>
        <v>45</v>
      </c>
      <c r="I65" s="1667">
        <f t="shared" si="8"/>
        <v>0</v>
      </c>
      <c r="J65" s="1667">
        <f t="shared" si="8"/>
        <v>0</v>
      </c>
      <c r="K65" s="1667">
        <f t="shared" si="8"/>
        <v>710923</v>
      </c>
      <c r="L65" s="1667">
        <f t="shared" si="8"/>
        <v>772449</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836780</v>
      </c>
      <c r="D74" s="1674">
        <f t="shared" ref="D74:K74" si="10">SUM(D42,D47,D53,D57,D65,D72,D73)</f>
        <v>116149</v>
      </c>
      <c r="E74" s="1674">
        <f t="shared" si="10"/>
        <v>165002</v>
      </c>
      <c r="F74" s="1674">
        <f t="shared" si="10"/>
        <v>231460</v>
      </c>
      <c r="G74" s="1674">
        <f t="shared" si="10"/>
        <v>24210</v>
      </c>
      <c r="H74" s="1674">
        <f t="shared" si="10"/>
        <v>6144</v>
      </c>
      <c r="I74" s="1674">
        <f t="shared" si="10"/>
        <v>0</v>
      </c>
      <c r="J74" s="1674">
        <f t="shared" si="10"/>
        <v>0</v>
      </c>
      <c r="K74" s="1674">
        <f t="shared" si="10"/>
        <v>1379745</v>
      </c>
      <c r="L74" s="1674">
        <f>SUM(L42,L47,L53,L57,L65,L72,L73)</f>
        <v>1518400</v>
      </c>
    </row>
    <row r="75" spans="1:14" s="259" customFormat="1" ht="15.75" customHeight="1" thickTop="1" thickBot="1" x14ac:dyDescent="0.25">
      <c r="A75" s="1607" t="s">
        <v>47</v>
      </c>
      <c r="B75" s="1608" t="s">
        <v>575</v>
      </c>
      <c r="C75" s="467">
        <v>1085</v>
      </c>
      <c r="D75" s="467">
        <v>0</v>
      </c>
      <c r="E75" s="467">
        <v>0</v>
      </c>
      <c r="F75" s="467">
        <v>1237</v>
      </c>
      <c r="G75" s="467">
        <v>0</v>
      </c>
      <c r="H75" s="467">
        <v>0</v>
      </c>
      <c r="I75" s="467">
        <v>0</v>
      </c>
      <c r="J75" s="467">
        <v>0</v>
      </c>
      <c r="K75" s="1667">
        <f>SUM(C75:J75)</f>
        <v>2322</v>
      </c>
      <c r="L75" s="573">
        <v>2600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161611</v>
      </c>
      <c r="F79" s="613"/>
      <c r="G79" s="613"/>
      <c r="H79" s="466">
        <v>0</v>
      </c>
      <c r="I79" s="475"/>
      <c r="J79" s="475"/>
      <c r="K79" s="1668">
        <f t="shared" si="11"/>
        <v>161611</v>
      </c>
      <c r="L79" s="466">
        <v>177700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161611</v>
      </c>
      <c r="F84" s="613"/>
      <c r="G84" s="613"/>
      <c r="H84" s="1667">
        <f>SUM(H78:H83)</f>
        <v>0</v>
      </c>
      <c r="I84" s="475"/>
      <c r="J84" s="475"/>
      <c r="K84" s="1667">
        <f>SUM(K78:K83)</f>
        <v>161611</v>
      </c>
      <c r="L84" s="1667">
        <f>SUM(L78:L83)</f>
        <v>177700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138690</v>
      </c>
      <c r="I86" s="475"/>
      <c r="J86" s="475"/>
      <c r="K86" s="1674">
        <f t="shared" ref="K86:K98" si="12">H86</f>
        <v>138690</v>
      </c>
      <c r="L86" s="527">
        <v>164750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138690</v>
      </c>
      <c r="I92" s="475"/>
      <c r="J92" s="475"/>
      <c r="K92" s="1674">
        <f t="shared" si="12"/>
        <v>138690</v>
      </c>
      <c r="L92" s="1667">
        <f>SUM(L85:L91)</f>
        <v>164750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161611</v>
      </c>
      <c r="F102" s="613"/>
      <c r="G102" s="613"/>
      <c r="H102" s="1674">
        <f>SUM(H84,H92,H100,H101)</f>
        <v>138690</v>
      </c>
      <c r="I102" s="475"/>
      <c r="J102" s="475"/>
      <c r="K102" s="1674">
        <f>SUM(K84,K92,K100,K101)</f>
        <v>300301</v>
      </c>
      <c r="L102" s="1674">
        <f>SUM(L84,L92,L100,L101)</f>
        <v>342450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20000</v>
      </c>
      <c r="M113" s="610"/>
      <c r="N113" s="610"/>
    </row>
    <row r="114" spans="1:14" ht="12.75" customHeight="1" thickTop="1" thickBot="1" x14ac:dyDescent="0.25">
      <c r="A114" s="1665" t="s">
        <v>48</v>
      </c>
      <c r="B114" s="1679"/>
      <c r="C114" s="1667">
        <f>SUM(C33,C74,C75,C102,C112,C113)</f>
        <v>3314775</v>
      </c>
      <c r="D114" s="1667">
        <f t="shared" ref="D114:K114" si="13">SUM(D33,D74,D75,D102,D112,D113)</f>
        <v>838188</v>
      </c>
      <c r="E114" s="1667">
        <f t="shared" si="13"/>
        <v>437037</v>
      </c>
      <c r="F114" s="1667">
        <f t="shared" si="13"/>
        <v>325112</v>
      </c>
      <c r="G114" s="1667">
        <f t="shared" si="13"/>
        <v>44486</v>
      </c>
      <c r="H114" s="1667">
        <f>SUM(H33,H74,H75,H102,H112,H113)</f>
        <v>366327</v>
      </c>
      <c r="I114" s="1667">
        <f t="shared" si="13"/>
        <v>0</v>
      </c>
      <c r="J114" s="1667">
        <f t="shared" si="13"/>
        <v>0</v>
      </c>
      <c r="K114" s="1667">
        <f t="shared" si="13"/>
        <v>5325925</v>
      </c>
      <c r="L114" s="1667">
        <f>SUM(L33,L74,L75,L102,L112,L113)</f>
        <v>5816887</v>
      </c>
    </row>
    <row r="115" spans="1:14" ht="13.5" thickTop="1" x14ac:dyDescent="0.2">
      <c r="A115" s="2178" t="s">
        <v>996</v>
      </c>
      <c r="B115" s="2179"/>
      <c r="C115" s="615"/>
      <c r="D115" s="615"/>
      <c r="E115" s="615"/>
      <c r="F115" s="615"/>
      <c r="G115" s="615"/>
      <c r="H115" s="615"/>
      <c r="I115" s="615"/>
      <c r="J115" s="615"/>
      <c r="K115" s="1681">
        <f>'Revenues 9-14'!C268-'Expenditures 15-22'!K114</f>
        <v>307305</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83" t="s">
        <v>296</v>
      </c>
      <c r="B117" s="2184"/>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0</v>
      </c>
      <c r="D124" s="466">
        <v>0</v>
      </c>
      <c r="E124" s="466">
        <v>61880</v>
      </c>
      <c r="F124" s="466">
        <v>44944</v>
      </c>
      <c r="G124" s="466">
        <v>154233</v>
      </c>
      <c r="H124" s="466">
        <v>0</v>
      </c>
      <c r="I124" s="467">
        <v>0</v>
      </c>
      <c r="J124" s="467">
        <v>0</v>
      </c>
      <c r="K124" s="1667">
        <f>SUM(C124:J124)</f>
        <v>261057</v>
      </c>
      <c r="L124" s="466">
        <v>447300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0</v>
      </c>
      <c r="D127" s="1667">
        <f t="shared" ref="D127:L127" si="14">SUM(D122:D126)</f>
        <v>0</v>
      </c>
      <c r="E127" s="1667">
        <f t="shared" si="14"/>
        <v>61880</v>
      </c>
      <c r="F127" s="1667">
        <f t="shared" si="14"/>
        <v>44944</v>
      </c>
      <c r="G127" s="1667">
        <f t="shared" si="14"/>
        <v>154233</v>
      </c>
      <c r="H127" s="1667">
        <f t="shared" si="14"/>
        <v>0</v>
      </c>
      <c r="I127" s="1667">
        <f t="shared" si="14"/>
        <v>0</v>
      </c>
      <c r="J127" s="1667">
        <f t="shared" si="14"/>
        <v>0</v>
      </c>
      <c r="K127" s="1667">
        <f t="shared" si="14"/>
        <v>261057</v>
      </c>
      <c r="L127" s="1667">
        <f t="shared" si="14"/>
        <v>447300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0</v>
      </c>
      <c r="D129" s="1674">
        <f t="shared" ref="D129:L129" si="15">SUM(D120,D127,D128)</f>
        <v>0</v>
      </c>
      <c r="E129" s="1674">
        <f t="shared" si="15"/>
        <v>61880</v>
      </c>
      <c r="F129" s="1674">
        <f t="shared" si="15"/>
        <v>44944</v>
      </c>
      <c r="G129" s="1674">
        <f t="shared" si="15"/>
        <v>154233</v>
      </c>
      <c r="H129" s="1674">
        <f t="shared" si="15"/>
        <v>0</v>
      </c>
      <c r="I129" s="1674">
        <f t="shared" si="15"/>
        <v>0</v>
      </c>
      <c r="J129" s="1674">
        <f t="shared" si="15"/>
        <v>0</v>
      </c>
      <c r="K129" s="1674">
        <f t="shared" si="15"/>
        <v>261057</v>
      </c>
      <c r="L129" s="1674">
        <f t="shared" si="15"/>
        <v>447300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15000</v>
      </c>
    </row>
    <row r="151" spans="1:14" ht="12.75" customHeight="1" thickTop="1" thickBot="1" x14ac:dyDescent="0.25">
      <c r="A151" s="2195" t="s">
        <v>620</v>
      </c>
      <c r="B151" s="2175"/>
      <c r="C151" s="1667">
        <f>SUM(C129,C130,C139,C149,C150)</f>
        <v>0</v>
      </c>
      <c r="D151" s="1667">
        <f t="shared" ref="D151:K151" si="16">SUM(D129,D130,D139,D149,D150)</f>
        <v>0</v>
      </c>
      <c r="E151" s="1667">
        <f t="shared" si="16"/>
        <v>61880</v>
      </c>
      <c r="F151" s="1667">
        <f t="shared" si="16"/>
        <v>44944</v>
      </c>
      <c r="G151" s="1667">
        <f t="shared" si="16"/>
        <v>154233</v>
      </c>
      <c r="H151" s="1667">
        <f t="shared" si="16"/>
        <v>0</v>
      </c>
      <c r="I151" s="1667">
        <f t="shared" si="16"/>
        <v>0</v>
      </c>
      <c r="J151" s="1667">
        <f t="shared" si="16"/>
        <v>0</v>
      </c>
      <c r="K151" s="1667">
        <f t="shared" si="16"/>
        <v>261057</v>
      </c>
      <c r="L151" s="1667">
        <f>SUM(L129,L130,L139,L149,L150)</f>
        <v>462300</v>
      </c>
    </row>
    <row r="152" spans="1:14" ht="12.75" customHeight="1" thickTop="1" x14ac:dyDescent="0.2">
      <c r="A152" s="2198" t="s">
        <v>1178</v>
      </c>
      <c r="B152" s="2199"/>
      <c r="C152" s="615"/>
      <c r="D152" s="615"/>
      <c r="E152" s="615"/>
      <c r="F152" s="615"/>
      <c r="G152" s="615"/>
      <c r="H152" s="615"/>
      <c r="I152" s="615"/>
      <c r="J152" s="613"/>
      <c r="K152" s="1681">
        <f>'Revenues 9-14'!D268-'Expenditures 15-22'!K151</f>
        <v>-121825</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83" t="s">
        <v>621</v>
      </c>
      <c r="B154" s="2185"/>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16673</v>
      </c>
      <c r="I169" s="613"/>
      <c r="J169" s="613"/>
      <c r="K169" s="1668">
        <f>SUM(C169:H169)</f>
        <v>16673</v>
      </c>
      <c r="L169" s="653">
        <v>17000</v>
      </c>
    </row>
    <row r="170" spans="1:14" ht="33.75" customHeight="1" x14ac:dyDescent="0.2">
      <c r="A170" s="666" t="s">
        <v>1670</v>
      </c>
      <c r="B170" s="668" t="s">
        <v>31</v>
      </c>
      <c r="C170" s="613"/>
      <c r="D170" s="613"/>
      <c r="E170" s="613"/>
      <c r="F170" s="613"/>
      <c r="G170" s="613"/>
      <c r="H170" s="566">
        <v>195000</v>
      </c>
      <c r="I170" s="613"/>
      <c r="J170" s="613"/>
      <c r="K170" s="1668">
        <f>SUM(C170:J170)</f>
        <v>195000</v>
      </c>
      <c r="L170" s="566">
        <v>195000</v>
      </c>
    </row>
    <row r="171" spans="1:14" ht="15.75" customHeight="1" x14ac:dyDescent="0.2">
      <c r="A171" s="618" t="s">
        <v>766</v>
      </c>
      <c r="B171" s="669" t="s">
        <v>84</v>
      </c>
      <c r="C171" s="613"/>
      <c r="D171" s="613"/>
      <c r="E171" s="466">
        <v>350</v>
      </c>
      <c r="F171" s="613"/>
      <c r="G171" s="613"/>
      <c r="H171" s="566">
        <v>0</v>
      </c>
      <c r="I171" s="475"/>
      <c r="J171" s="613"/>
      <c r="K171" s="1668">
        <f>SUM(C171:J171)</f>
        <v>350</v>
      </c>
      <c r="L171" s="566">
        <v>1000</v>
      </c>
    </row>
    <row r="172" spans="1:14" ht="12.75" customHeight="1" thickBot="1" x14ac:dyDescent="0.25">
      <c r="A172" s="1665" t="s">
        <v>638</v>
      </c>
      <c r="B172" s="1666" t="s">
        <v>492</v>
      </c>
      <c r="C172" s="613"/>
      <c r="D172" s="613"/>
      <c r="E172" s="1674">
        <f>SUM(E168,E169,E170,E171)</f>
        <v>350</v>
      </c>
      <c r="F172" s="613"/>
      <c r="G172" s="613"/>
      <c r="H172" s="1674">
        <f>SUM(H168,H169,H170,H171)</f>
        <v>211673</v>
      </c>
      <c r="I172" s="635"/>
      <c r="J172" s="613"/>
      <c r="K172" s="1674">
        <f>SUM(K168,K169,K170,K171)</f>
        <v>212023</v>
      </c>
      <c r="L172" s="1674">
        <f>SUM(L168,L169,L170,L171)</f>
        <v>213000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350</v>
      </c>
      <c r="F174" s="613"/>
      <c r="G174" s="613"/>
      <c r="H174" s="1674">
        <f>SUM(H160,H172,H173)</f>
        <v>211673</v>
      </c>
      <c r="I174" s="635"/>
      <c r="J174" s="613"/>
      <c r="K174" s="1674">
        <f>SUM(K160,K172,K173)</f>
        <v>212023</v>
      </c>
      <c r="L174" s="1674">
        <f>SUM(L160,L172,L173)</f>
        <v>213000</v>
      </c>
    </row>
    <row r="175" spans="1:14" ht="13.5" thickTop="1" x14ac:dyDescent="0.2">
      <c r="A175" s="2178" t="s">
        <v>996</v>
      </c>
      <c r="B175" s="2179"/>
      <c r="C175" s="613"/>
      <c r="D175" s="613"/>
      <c r="E175" s="613"/>
      <c r="F175" s="613"/>
      <c r="G175" s="613"/>
      <c r="H175" s="615"/>
      <c r="I175" s="613"/>
      <c r="J175" s="613"/>
      <c r="K175" s="1681">
        <f>'Revenues 9-14'!E268-'Expenditures 15-22'!K174</f>
        <v>7527</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121586</v>
      </c>
      <c r="D182" s="466">
        <v>6341</v>
      </c>
      <c r="E182" s="466">
        <v>229090</v>
      </c>
      <c r="F182" s="466">
        <v>10572</v>
      </c>
      <c r="G182" s="466">
        <v>0</v>
      </c>
      <c r="H182" s="466">
        <v>65</v>
      </c>
      <c r="I182" s="467">
        <v>0</v>
      </c>
      <c r="J182" s="467">
        <v>0</v>
      </c>
      <c r="K182" s="1668">
        <f>SUM(C182:J182)</f>
        <v>367654</v>
      </c>
      <c r="L182" s="466">
        <v>414017</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121586</v>
      </c>
      <c r="D184" s="1674">
        <f t="shared" ref="D184:J184" si="17">SUM(D180,D182,D183)</f>
        <v>6341</v>
      </c>
      <c r="E184" s="1674">
        <f t="shared" si="17"/>
        <v>229090</v>
      </c>
      <c r="F184" s="1674">
        <f t="shared" si="17"/>
        <v>10572</v>
      </c>
      <c r="G184" s="1674">
        <f t="shared" si="17"/>
        <v>0</v>
      </c>
      <c r="H184" s="1674">
        <f t="shared" si="17"/>
        <v>65</v>
      </c>
      <c r="I184" s="1674">
        <f t="shared" si="17"/>
        <v>0</v>
      </c>
      <c r="J184" s="1674">
        <f t="shared" si="17"/>
        <v>0</v>
      </c>
      <c r="K184" s="1674">
        <f>SUM(K180,K182,K183)</f>
        <v>367654</v>
      </c>
      <c r="L184" s="1674">
        <f>SUM(L180, L182:L183)</f>
        <v>414017</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2000</v>
      </c>
    </row>
    <row r="210" spans="1:14" ht="12.75" customHeight="1" thickTop="1" thickBot="1" x14ac:dyDescent="0.25">
      <c r="A210" s="1689" t="s">
        <v>277</v>
      </c>
      <c r="B210" s="1690"/>
      <c r="C210" s="1667">
        <f>SUM(C184,C185)</f>
        <v>121586</v>
      </c>
      <c r="D210" s="1667">
        <f>SUM(D184,D185)</f>
        <v>6341</v>
      </c>
      <c r="E210" s="1667">
        <f>SUM(E184,E185,E196)</f>
        <v>229090</v>
      </c>
      <c r="F210" s="1667">
        <f>SUM(F184,F185)</f>
        <v>10572</v>
      </c>
      <c r="G210" s="1667">
        <f>SUM(G184,G185)</f>
        <v>0</v>
      </c>
      <c r="H210" s="1667">
        <f>SUM(H184,H185,H196,H208,H209)</f>
        <v>65</v>
      </c>
      <c r="I210" s="1667">
        <f>SUM(I184,I185)</f>
        <v>0</v>
      </c>
      <c r="J210" s="1667">
        <f>SUM(J184,J185)</f>
        <v>0</v>
      </c>
      <c r="K210" s="1668">
        <f>SUM(K184,K185,K196,K208,K209)</f>
        <v>367654</v>
      </c>
      <c r="L210" s="1667">
        <f>SUM(L184,L185,L196,L208,L209)</f>
        <v>416017</v>
      </c>
    </row>
    <row r="211" spans="1:14" ht="13.5" thickTop="1" x14ac:dyDescent="0.2">
      <c r="A211" s="2178" t="s">
        <v>996</v>
      </c>
      <c r="B211" s="2179"/>
      <c r="C211" s="615"/>
      <c r="D211" s="615"/>
      <c r="E211" s="615"/>
      <c r="F211" s="615"/>
      <c r="G211" s="615"/>
      <c r="H211" s="615"/>
      <c r="I211" s="613"/>
      <c r="J211" s="613"/>
      <c r="K211" s="1681">
        <f>'Revenues 9-14'!F268-'Expenditures 15-22'!K210</f>
        <v>24252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00" t="s">
        <v>965</v>
      </c>
      <c r="B213" s="2201"/>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28029</v>
      </c>
      <c r="E215" s="613"/>
      <c r="F215" s="613"/>
      <c r="G215" s="613"/>
      <c r="H215" s="613"/>
      <c r="I215" s="613"/>
      <c r="J215" s="613"/>
      <c r="K215" s="1668">
        <f>D215</f>
        <v>28029</v>
      </c>
      <c r="L215" s="466">
        <v>28664</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23714</v>
      </c>
      <c r="E217" s="613"/>
      <c r="F217" s="613"/>
      <c r="G217" s="613"/>
      <c r="H217" s="613"/>
      <c r="I217" s="613"/>
      <c r="J217" s="613"/>
      <c r="K217" s="1668">
        <f t="shared" si="19"/>
        <v>23714</v>
      </c>
      <c r="L217" s="466">
        <v>28719</v>
      </c>
    </row>
    <row r="218" spans="1:14" x14ac:dyDescent="0.2">
      <c r="A218" s="1501" t="s">
        <v>278</v>
      </c>
      <c r="B218" s="611" t="s">
        <v>968</v>
      </c>
      <c r="C218" s="613"/>
      <c r="D218" s="467">
        <v>2283</v>
      </c>
      <c r="E218" s="613"/>
      <c r="F218" s="613"/>
      <c r="G218" s="613"/>
      <c r="H218" s="613"/>
      <c r="I218" s="613"/>
      <c r="J218" s="613"/>
      <c r="K218" s="1668">
        <f t="shared" si="19"/>
        <v>2283</v>
      </c>
      <c r="L218" s="466">
        <v>2788</v>
      </c>
    </row>
    <row r="219" spans="1:14" x14ac:dyDescent="0.2">
      <c r="A219" s="1501" t="s">
        <v>279</v>
      </c>
      <c r="B219" s="611">
        <v>1250</v>
      </c>
      <c r="C219" s="613"/>
      <c r="D219" s="466">
        <v>11601</v>
      </c>
      <c r="E219" s="613"/>
      <c r="F219" s="613"/>
      <c r="G219" s="613"/>
      <c r="H219" s="613"/>
      <c r="I219" s="613"/>
      <c r="J219" s="613"/>
      <c r="K219" s="1668">
        <f t="shared" si="19"/>
        <v>11601</v>
      </c>
      <c r="L219" s="466">
        <v>16504</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1121</v>
      </c>
      <c r="E223" s="613"/>
      <c r="F223" s="613"/>
      <c r="G223" s="613"/>
      <c r="H223" s="613"/>
      <c r="I223" s="613"/>
      <c r="J223" s="613"/>
      <c r="K223" s="1668">
        <f t="shared" si="19"/>
        <v>1121</v>
      </c>
      <c r="L223" s="466">
        <v>1337</v>
      </c>
    </row>
    <row r="224" spans="1:14" x14ac:dyDescent="0.2">
      <c r="A224" s="1501" t="s">
        <v>964</v>
      </c>
      <c r="B224" s="611">
        <v>1600</v>
      </c>
      <c r="C224" s="613"/>
      <c r="D224" s="466">
        <v>299</v>
      </c>
      <c r="E224" s="613"/>
      <c r="F224" s="613"/>
      <c r="G224" s="613"/>
      <c r="H224" s="613"/>
      <c r="I224" s="613"/>
      <c r="J224" s="613"/>
      <c r="K224" s="1668">
        <f t="shared" si="19"/>
        <v>299</v>
      </c>
      <c r="L224" s="466">
        <v>310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67047</v>
      </c>
      <c r="E229" s="613"/>
      <c r="F229" s="613"/>
      <c r="G229" s="613"/>
      <c r="H229" s="613"/>
      <c r="I229" s="613"/>
      <c r="J229" s="613"/>
      <c r="K229" s="1667">
        <f>SUM(K215:K228)</f>
        <v>67047</v>
      </c>
      <c r="L229" s="1667">
        <f>SUM(L215:L228)</f>
        <v>78322</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2747</v>
      </c>
      <c r="E234" s="613"/>
      <c r="F234" s="613"/>
      <c r="G234" s="613"/>
      <c r="H234" s="613"/>
      <c r="I234" s="613"/>
      <c r="J234" s="613"/>
      <c r="K234" s="1668">
        <f t="shared" si="20"/>
        <v>2747</v>
      </c>
      <c r="L234" s="466">
        <v>2962</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2747</v>
      </c>
      <c r="E238" s="613"/>
      <c r="F238" s="613"/>
      <c r="G238" s="613"/>
      <c r="H238" s="613"/>
      <c r="I238" s="613"/>
      <c r="J238" s="613"/>
      <c r="K238" s="1667">
        <f>SUM(K232:K237)</f>
        <v>2747</v>
      </c>
      <c r="L238" s="1667">
        <f>SUM(L232:L237)</f>
        <v>2962</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37</v>
      </c>
      <c r="E240" s="613"/>
      <c r="F240" s="613"/>
      <c r="G240" s="613"/>
      <c r="H240" s="613"/>
      <c r="I240" s="613"/>
      <c r="J240" s="613"/>
      <c r="K240" s="1669">
        <f>D240</f>
        <v>37</v>
      </c>
      <c r="L240" s="479">
        <v>76</v>
      </c>
    </row>
    <row r="241" spans="1:12" x14ac:dyDescent="0.2">
      <c r="A241" s="1501" t="s">
        <v>815</v>
      </c>
      <c r="B241" s="611">
        <v>2220</v>
      </c>
      <c r="C241" s="613"/>
      <c r="D241" s="466">
        <v>0</v>
      </c>
      <c r="E241" s="613"/>
      <c r="F241" s="613"/>
      <c r="G241" s="613"/>
      <c r="H241" s="613"/>
      <c r="I241" s="613"/>
      <c r="J241" s="613"/>
      <c r="K241" s="1669">
        <f>D241</f>
        <v>0</v>
      </c>
      <c r="L241" s="466">
        <v>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37</v>
      </c>
      <c r="E243" s="613"/>
      <c r="F243" s="613"/>
      <c r="G243" s="613"/>
      <c r="H243" s="613"/>
      <c r="I243" s="613"/>
      <c r="J243" s="613"/>
      <c r="K243" s="1667">
        <f>SUM(K240:K242)</f>
        <v>37</v>
      </c>
      <c r="L243" s="1667">
        <f>SUM(L240:L242)</f>
        <v>76</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210</v>
      </c>
      <c r="E245" s="613"/>
      <c r="F245" s="613"/>
      <c r="G245" s="613"/>
      <c r="H245" s="613"/>
      <c r="I245" s="613"/>
      <c r="J245" s="613"/>
      <c r="K245" s="1669">
        <f>D245</f>
        <v>210</v>
      </c>
      <c r="L245" s="479">
        <v>230</v>
      </c>
    </row>
    <row r="246" spans="1:12" x14ac:dyDescent="0.2">
      <c r="A246" s="1501" t="s">
        <v>818</v>
      </c>
      <c r="B246" s="611">
        <v>2320</v>
      </c>
      <c r="C246" s="613"/>
      <c r="D246" s="466">
        <v>7001</v>
      </c>
      <c r="E246" s="613"/>
      <c r="F246" s="613"/>
      <c r="G246" s="613"/>
      <c r="H246" s="613"/>
      <c r="I246" s="613"/>
      <c r="J246" s="613"/>
      <c r="K246" s="1669">
        <f t="shared" ref="K246:K256" si="21">D246</f>
        <v>7001</v>
      </c>
      <c r="L246" s="466">
        <v>7451</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1862</v>
      </c>
      <c r="E254" s="613"/>
      <c r="F254" s="613"/>
      <c r="G254" s="613"/>
      <c r="H254" s="613"/>
      <c r="I254" s="613"/>
      <c r="J254" s="613"/>
      <c r="K254" s="1669">
        <f t="shared" si="21"/>
        <v>1862</v>
      </c>
      <c r="L254" s="466">
        <v>2238</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9073</v>
      </c>
      <c r="E257" s="613"/>
      <c r="F257" s="613"/>
      <c r="G257" s="613"/>
      <c r="H257" s="613"/>
      <c r="I257" s="613"/>
      <c r="J257" s="613"/>
      <c r="K257" s="1667">
        <f>SUM(K245:K256)</f>
        <v>9073</v>
      </c>
      <c r="L257" s="1667">
        <f>SUM(L245:L256)</f>
        <v>9919</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14242</v>
      </c>
      <c r="E259" s="613"/>
      <c r="F259" s="613"/>
      <c r="G259" s="613"/>
      <c r="H259" s="613"/>
      <c r="I259" s="613"/>
      <c r="J259" s="613"/>
      <c r="K259" s="1669">
        <f>D259</f>
        <v>14242</v>
      </c>
      <c r="L259" s="479">
        <v>16844</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14242</v>
      </c>
      <c r="E261" s="613"/>
      <c r="F261" s="613"/>
      <c r="G261" s="613"/>
      <c r="H261" s="613"/>
      <c r="I261" s="613"/>
      <c r="J261" s="613"/>
      <c r="K261" s="1667">
        <f>SUM(K259:K260)</f>
        <v>14242</v>
      </c>
      <c r="L261" s="1667">
        <f>SUM(L259:L260)</f>
        <v>16844</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9249</v>
      </c>
      <c r="E264" s="613"/>
      <c r="F264" s="613"/>
      <c r="G264" s="613"/>
      <c r="H264" s="613"/>
      <c r="I264" s="613"/>
      <c r="J264" s="613"/>
      <c r="K264" s="1669">
        <f t="shared" ref="K264:K269" si="22">D264</f>
        <v>9249</v>
      </c>
      <c r="L264" s="466">
        <v>10087</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30235</v>
      </c>
      <c r="E266" s="613"/>
      <c r="F266" s="613"/>
      <c r="G266" s="613"/>
      <c r="H266" s="613"/>
      <c r="I266" s="613"/>
      <c r="J266" s="613"/>
      <c r="K266" s="1669">
        <f t="shared" si="22"/>
        <v>30235</v>
      </c>
      <c r="L266" s="466">
        <v>35527</v>
      </c>
    </row>
    <row r="267" spans="1:14" x14ac:dyDescent="0.2">
      <c r="A267" s="1501" t="s">
        <v>953</v>
      </c>
      <c r="B267" s="611">
        <v>2550</v>
      </c>
      <c r="C267" s="613"/>
      <c r="D267" s="466">
        <v>10800</v>
      </c>
      <c r="E267" s="613"/>
      <c r="F267" s="613"/>
      <c r="G267" s="613"/>
      <c r="H267" s="613"/>
      <c r="I267" s="613"/>
      <c r="J267" s="613"/>
      <c r="K267" s="1669">
        <f t="shared" si="22"/>
        <v>10800</v>
      </c>
      <c r="L267" s="466">
        <v>12312</v>
      </c>
    </row>
    <row r="268" spans="1:14" x14ac:dyDescent="0.2">
      <c r="A268" s="1501" t="s">
        <v>100</v>
      </c>
      <c r="B268" s="611">
        <v>2560</v>
      </c>
      <c r="C268" s="613"/>
      <c r="D268" s="466">
        <v>26438</v>
      </c>
      <c r="E268" s="613"/>
      <c r="F268" s="613"/>
      <c r="G268" s="613"/>
      <c r="H268" s="613"/>
      <c r="I268" s="613"/>
      <c r="J268" s="613"/>
      <c r="K268" s="1669">
        <f t="shared" si="22"/>
        <v>26438</v>
      </c>
      <c r="L268" s="466">
        <v>27927</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76722</v>
      </c>
      <c r="E270" s="613"/>
      <c r="F270" s="613"/>
      <c r="G270" s="613"/>
      <c r="H270" s="613"/>
      <c r="I270" s="613"/>
      <c r="J270" s="613"/>
      <c r="K270" s="1667">
        <f>SUM(K263:K269)</f>
        <v>76722</v>
      </c>
      <c r="L270" s="1667">
        <f>SUM(L263:L269)</f>
        <v>85853</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102821</v>
      </c>
      <c r="E279" s="613"/>
      <c r="F279" s="613"/>
      <c r="G279" s="613"/>
      <c r="H279" s="613"/>
      <c r="I279" s="613"/>
      <c r="J279" s="613"/>
      <c r="K279" s="1674">
        <f>SUM(K238,K243,K257,K261,K270,K277,K278)</f>
        <v>102821</v>
      </c>
      <c r="L279" s="1674">
        <f>SUM(L238,L243,L257,L261,L270,L277,L278)</f>
        <v>115654</v>
      </c>
    </row>
    <row r="280" spans="1:12" ht="15.75" customHeight="1" thickTop="1" thickBot="1" x14ac:dyDescent="0.25">
      <c r="A280" s="1621" t="s">
        <v>875</v>
      </c>
      <c r="B280" s="1610">
        <v>3000</v>
      </c>
      <c r="C280" s="613"/>
      <c r="D280" s="573">
        <v>174</v>
      </c>
      <c r="E280" s="613"/>
      <c r="F280" s="613"/>
      <c r="G280" s="613"/>
      <c r="H280" s="613"/>
      <c r="I280" s="613"/>
      <c r="J280" s="613"/>
      <c r="K280" s="1676">
        <f>D280</f>
        <v>174</v>
      </c>
      <c r="L280" s="573">
        <v>976</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96" t="s">
        <v>505</v>
      </c>
      <c r="B295" s="2197"/>
      <c r="C295" s="613"/>
      <c r="D295" s="1667">
        <f>SUM(D229,D279,D280,D285)</f>
        <v>170042</v>
      </c>
      <c r="E295" s="613"/>
      <c r="F295" s="613"/>
      <c r="G295" s="613"/>
      <c r="H295" s="1667">
        <f>H293</f>
        <v>0</v>
      </c>
      <c r="I295" s="613"/>
      <c r="J295" s="613"/>
      <c r="K295" s="1667">
        <f>SUM(K229,K279,K280,K285,K293,K294)</f>
        <v>170042</v>
      </c>
      <c r="L295" s="1667">
        <f>SUM(L229,L279,L280,L285,L293,L294)</f>
        <v>194952</v>
      </c>
    </row>
    <row r="296" spans="1:14" ht="13.5" thickTop="1" x14ac:dyDescent="0.2">
      <c r="A296" s="2178" t="s">
        <v>996</v>
      </c>
      <c r="B296" s="2179"/>
      <c r="C296" s="613"/>
      <c r="D296" s="615"/>
      <c r="E296" s="613"/>
      <c r="F296" s="613"/>
      <c r="G296" s="613"/>
      <c r="H296" s="684"/>
      <c r="I296" s="613"/>
      <c r="J296" s="613"/>
      <c r="K296" s="1681">
        <f>'Revenues 9-14'!G268-'Expenditures 15-22'!K295</f>
        <v>22474</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8" t="s">
        <v>143</v>
      </c>
      <c r="B298" s="2182"/>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93" t="s">
        <v>277</v>
      </c>
      <c r="B312" s="2194"/>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189" t="s">
        <v>996</v>
      </c>
      <c r="B313" s="2190"/>
      <c r="C313" s="623"/>
      <c r="D313" s="623"/>
      <c r="E313" s="623"/>
      <c r="F313" s="623"/>
      <c r="G313" s="623"/>
      <c r="H313" s="623"/>
      <c r="I313" s="623"/>
      <c r="J313" s="623"/>
      <c r="K313" s="1682">
        <f>'Revenues 9-14'!H268-'Expenditures 15-22'!K312</f>
        <v>1616</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02" t="s">
        <v>149</v>
      </c>
      <c r="B315" s="2203"/>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4" t="s">
        <v>898</v>
      </c>
      <c r="B317" s="2203"/>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68447</v>
      </c>
      <c r="F320" s="467">
        <v>0</v>
      </c>
      <c r="G320" s="467">
        <v>0</v>
      </c>
      <c r="H320" s="467">
        <v>0</v>
      </c>
      <c r="I320" s="467">
        <v>0</v>
      </c>
      <c r="J320" s="467">
        <v>0</v>
      </c>
      <c r="K320" s="1668">
        <f t="shared" ref="K320:K327" si="24">SUM(C320:J320)</f>
        <v>68447</v>
      </c>
      <c r="L320" s="467">
        <v>68500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20000</v>
      </c>
      <c r="M321" s="662"/>
      <c r="N321" s="662"/>
    </row>
    <row r="322" spans="1:14" s="671" customFormat="1" x14ac:dyDescent="0.2">
      <c r="A322" s="1516" t="s">
        <v>238</v>
      </c>
      <c r="B322" s="694" t="s">
        <v>284</v>
      </c>
      <c r="C322" s="467">
        <v>0</v>
      </c>
      <c r="D322" s="467">
        <v>0</v>
      </c>
      <c r="E322" s="467">
        <v>69328</v>
      </c>
      <c r="F322" s="467">
        <v>0</v>
      </c>
      <c r="G322" s="467">
        <v>0</v>
      </c>
      <c r="H322" s="467">
        <v>0</v>
      </c>
      <c r="I322" s="467">
        <v>0</v>
      </c>
      <c r="J322" s="467">
        <v>0</v>
      </c>
      <c r="K322" s="1668">
        <f t="shared" si="24"/>
        <v>69328</v>
      </c>
      <c r="L322" s="467">
        <v>70000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20561</v>
      </c>
      <c r="D325" s="467">
        <v>0</v>
      </c>
      <c r="E325" s="467">
        <v>0</v>
      </c>
      <c r="F325" s="467">
        <v>0</v>
      </c>
      <c r="G325" s="467">
        <v>0</v>
      </c>
      <c r="H325" s="467">
        <v>0</v>
      </c>
      <c r="I325" s="467">
        <v>0</v>
      </c>
      <c r="J325" s="467">
        <v>0</v>
      </c>
      <c r="K325" s="1668">
        <f t="shared" si="24"/>
        <v>20561</v>
      </c>
      <c r="L325" s="467">
        <v>24675</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0</v>
      </c>
      <c r="F327" s="467">
        <v>0</v>
      </c>
      <c r="G327" s="467">
        <v>0</v>
      </c>
      <c r="H327" s="467">
        <v>0</v>
      </c>
      <c r="I327" s="467">
        <v>0</v>
      </c>
      <c r="J327" s="467">
        <v>0</v>
      </c>
      <c r="K327" s="1668">
        <f t="shared" si="24"/>
        <v>0</v>
      </c>
      <c r="L327" s="467">
        <v>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20561</v>
      </c>
      <c r="D330" s="1667">
        <f t="shared" ref="D330:J330" si="25">SUM(D319:D329)</f>
        <v>0</v>
      </c>
      <c r="E330" s="1667">
        <f t="shared" si="25"/>
        <v>137775</v>
      </c>
      <c r="F330" s="1667">
        <f t="shared" si="25"/>
        <v>0</v>
      </c>
      <c r="G330" s="1667">
        <f t="shared" si="25"/>
        <v>0</v>
      </c>
      <c r="H330" s="1667">
        <f t="shared" si="25"/>
        <v>0</v>
      </c>
      <c r="I330" s="1667">
        <f t="shared" si="25"/>
        <v>0</v>
      </c>
      <c r="J330" s="1667">
        <f t="shared" si="25"/>
        <v>0</v>
      </c>
      <c r="K330" s="1667">
        <f>SUM(K319:K329)</f>
        <v>158336</v>
      </c>
      <c r="L330" s="1667">
        <f>SUM(L319:L329)</f>
        <v>183175</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20561</v>
      </c>
      <c r="D342" s="1667">
        <f>SUM(D330)</f>
        <v>0</v>
      </c>
      <c r="E342" s="1667">
        <f>SUM(E330)</f>
        <v>137775</v>
      </c>
      <c r="F342" s="1667">
        <f>SUM(F330)</f>
        <v>0</v>
      </c>
      <c r="G342" s="1667">
        <f>SUM(G330)</f>
        <v>0</v>
      </c>
      <c r="H342" s="1667">
        <f>SUM(H330,H334,H340)</f>
        <v>0</v>
      </c>
      <c r="I342" s="1667">
        <f>SUM(I330)</f>
        <v>0</v>
      </c>
      <c r="J342" s="1667">
        <f>SUM(J330)</f>
        <v>0</v>
      </c>
      <c r="K342" s="1667">
        <f>SUM(K330,K334,K340)</f>
        <v>158336</v>
      </c>
      <c r="L342" s="1674">
        <f>SUM(L330,L340,L341)</f>
        <v>183175</v>
      </c>
    </row>
    <row r="343" spans="1:14" ht="12.75" customHeight="1" thickTop="1" x14ac:dyDescent="0.2">
      <c r="A343" s="2191" t="s">
        <v>996</v>
      </c>
      <c r="B343" s="2192"/>
      <c r="C343" s="613"/>
      <c r="D343" s="613"/>
      <c r="E343" s="613"/>
      <c r="F343" s="613"/>
      <c r="G343" s="613"/>
      <c r="H343" s="613"/>
      <c r="I343" s="613"/>
      <c r="J343" s="613"/>
      <c r="K343" s="1681">
        <f>'Revenues 9-14'!J268-'Expenditures 15-22'!K342</f>
        <v>35959</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81" t="s">
        <v>966</v>
      </c>
      <c r="B345" s="2182"/>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10000</v>
      </c>
    </row>
    <row r="349" spans="1:14" x14ac:dyDescent="0.2">
      <c r="A349" s="1501" t="s">
        <v>197</v>
      </c>
      <c r="B349" s="611">
        <v>2540</v>
      </c>
      <c r="C349" s="466">
        <v>0</v>
      </c>
      <c r="D349" s="466">
        <v>0</v>
      </c>
      <c r="E349" s="466">
        <v>25761</v>
      </c>
      <c r="F349" s="466">
        <v>487</v>
      </c>
      <c r="G349" s="466">
        <v>2612</v>
      </c>
      <c r="H349" s="466">
        <v>0</v>
      </c>
      <c r="I349" s="467">
        <v>0</v>
      </c>
      <c r="J349" s="467">
        <v>0</v>
      </c>
      <c r="K349" s="1668">
        <f>SUM(C349:J349)</f>
        <v>28860</v>
      </c>
      <c r="L349" s="466">
        <v>51000</v>
      </c>
    </row>
    <row r="350" spans="1:14" ht="12.75" customHeight="1" thickBot="1" x14ac:dyDescent="0.25">
      <c r="A350" s="1665" t="s">
        <v>719</v>
      </c>
      <c r="B350" s="1666" t="s">
        <v>35</v>
      </c>
      <c r="C350" s="1667">
        <f>SUM(C348:C349)</f>
        <v>0</v>
      </c>
      <c r="D350" s="1667">
        <f t="shared" ref="D350:L350" si="26">SUM(D348:D349)</f>
        <v>0</v>
      </c>
      <c r="E350" s="1667">
        <f t="shared" si="26"/>
        <v>25761</v>
      </c>
      <c r="F350" s="1667">
        <f t="shared" si="26"/>
        <v>487</v>
      </c>
      <c r="G350" s="1667">
        <f t="shared" si="26"/>
        <v>2612</v>
      </c>
      <c r="H350" s="1667">
        <f t="shared" si="26"/>
        <v>0</v>
      </c>
      <c r="I350" s="1667">
        <f t="shared" si="26"/>
        <v>0</v>
      </c>
      <c r="J350" s="1667">
        <f t="shared" si="26"/>
        <v>0</v>
      </c>
      <c r="K350" s="1667">
        <f t="shared" si="26"/>
        <v>28860</v>
      </c>
      <c r="L350" s="1667">
        <f t="shared" si="26"/>
        <v>61000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25761</v>
      </c>
      <c r="F352" s="1667">
        <f t="shared" si="27"/>
        <v>487</v>
      </c>
      <c r="G352" s="1667">
        <f t="shared" si="27"/>
        <v>2612</v>
      </c>
      <c r="H352" s="1667">
        <f t="shared" si="27"/>
        <v>0</v>
      </c>
      <c r="I352" s="1667">
        <f t="shared" si="27"/>
        <v>0</v>
      </c>
      <c r="J352" s="1667">
        <f t="shared" si="27"/>
        <v>0</v>
      </c>
      <c r="K352" s="1667">
        <f t="shared" si="27"/>
        <v>28860</v>
      </c>
      <c r="L352" s="1667">
        <f t="shared" si="27"/>
        <v>61000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25761</v>
      </c>
      <c r="F367" s="1667">
        <f t="shared" si="28"/>
        <v>487</v>
      </c>
      <c r="G367" s="1667">
        <f t="shared" si="28"/>
        <v>2612</v>
      </c>
      <c r="H367" s="1667">
        <f t="shared" si="28"/>
        <v>0</v>
      </c>
      <c r="I367" s="1667">
        <f t="shared" si="28"/>
        <v>0</v>
      </c>
      <c r="J367" s="1667">
        <f t="shared" si="28"/>
        <v>0</v>
      </c>
      <c r="K367" s="1667">
        <f t="shared" si="28"/>
        <v>28860</v>
      </c>
      <c r="L367" s="1667">
        <f t="shared" si="28"/>
        <v>61000</v>
      </c>
    </row>
    <row r="368" spans="1:14" ht="13.5" thickTop="1" x14ac:dyDescent="0.2">
      <c r="A368" s="2178" t="s">
        <v>996</v>
      </c>
      <c r="B368" s="2179"/>
      <c r="C368" s="651"/>
      <c r="D368" s="651"/>
      <c r="E368" s="623"/>
      <c r="F368" s="623"/>
      <c r="G368" s="623"/>
      <c r="H368" s="623"/>
      <c r="I368" s="623"/>
      <c r="J368" s="620"/>
      <c r="K368" s="1668">
        <f>'Revenues 9-14'!K268-'Expenditures 15-22'!K367</f>
        <v>99</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5" t="s">
        <v>1802</v>
      </c>
      <c r="B2" s="1525" t="s">
        <v>1951</v>
      </c>
      <c r="C2" s="711" t="s">
        <v>1952</v>
      </c>
      <c r="D2" s="711" t="s">
        <v>1953</v>
      </c>
      <c r="E2" s="711" t="s">
        <v>1954</v>
      </c>
      <c r="F2" s="711" t="s">
        <v>1955</v>
      </c>
    </row>
    <row r="3" spans="1:6" ht="12" customHeight="1" x14ac:dyDescent="0.2">
      <c r="A3" s="2206"/>
      <c r="B3" s="1522"/>
      <c r="C3" s="1523"/>
      <c r="D3" s="1524" t="s">
        <v>256</v>
      </c>
      <c r="E3" s="1523"/>
      <c r="F3" s="1524" t="s">
        <v>257</v>
      </c>
    </row>
    <row r="4" spans="1:6" ht="13.7" customHeight="1" x14ac:dyDescent="0.2">
      <c r="A4" s="712" t="s">
        <v>1155</v>
      </c>
      <c r="B4" s="1746">
        <f>'Revenues 9-14'!C5</f>
        <v>848149</v>
      </c>
      <c r="C4" s="1521">
        <v>0</v>
      </c>
      <c r="D4" s="1749">
        <f>B4-C4</f>
        <v>848149</v>
      </c>
      <c r="E4" s="1521">
        <v>860163</v>
      </c>
      <c r="F4" s="1749">
        <f>E4-C4</f>
        <v>860163</v>
      </c>
    </row>
    <row r="5" spans="1:6" ht="13.7" customHeight="1" x14ac:dyDescent="0.2">
      <c r="A5" s="712" t="s">
        <v>870</v>
      </c>
      <c r="B5" s="1747">
        <f>'Revenues 9-14'!D5</f>
        <v>125241</v>
      </c>
      <c r="C5" s="582">
        <v>0</v>
      </c>
      <c r="D5" s="1750">
        <f t="shared" ref="D5:D18" si="0">B5-C5</f>
        <v>125241</v>
      </c>
      <c r="E5" s="582">
        <v>123358</v>
      </c>
      <c r="F5" s="1750">
        <f>E5-C5</f>
        <v>123358</v>
      </c>
    </row>
    <row r="6" spans="1:6" ht="13.7" customHeight="1" x14ac:dyDescent="0.2">
      <c r="A6" s="712" t="s">
        <v>411</v>
      </c>
      <c r="B6" s="1747">
        <f>'Revenues 9-14'!E5</f>
        <v>216192</v>
      </c>
      <c r="C6" s="582">
        <v>0</v>
      </c>
      <c r="D6" s="1750">
        <f t="shared" si="0"/>
        <v>216192</v>
      </c>
      <c r="E6" s="582">
        <v>213155</v>
      </c>
      <c r="F6" s="1750">
        <f t="shared" ref="F6:F18" si="1">E6-C6</f>
        <v>213155</v>
      </c>
    </row>
    <row r="7" spans="1:6" ht="13.7" customHeight="1" x14ac:dyDescent="0.2">
      <c r="A7" s="712" t="s">
        <v>155</v>
      </c>
      <c r="B7" s="1747">
        <f>'Revenues 9-14'!F5</f>
        <v>117989</v>
      </c>
      <c r="C7" s="582">
        <v>0</v>
      </c>
      <c r="D7" s="1750">
        <f t="shared" si="0"/>
        <v>117989</v>
      </c>
      <c r="E7" s="582">
        <v>121748</v>
      </c>
      <c r="F7" s="1750">
        <f t="shared" si="1"/>
        <v>121748</v>
      </c>
    </row>
    <row r="8" spans="1:6" ht="13.7" customHeight="1" x14ac:dyDescent="0.2">
      <c r="A8" s="712" t="s">
        <v>1179</v>
      </c>
      <c r="B8" s="1747">
        <f>'Revenues 9-14'!G5</f>
        <v>74044</v>
      </c>
      <c r="C8" s="582">
        <v>0</v>
      </c>
      <c r="D8" s="1750">
        <f t="shared" si="0"/>
        <v>74044</v>
      </c>
      <c r="E8" s="582">
        <v>73047</v>
      </c>
      <c r="F8" s="1750">
        <f t="shared" si="1"/>
        <v>73047</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27717</v>
      </c>
      <c r="C10" s="582">
        <v>0</v>
      </c>
      <c r="D10" s="1750">
        <f t="shared" si="0"/>
        <v>27717</v>
      </c>
      <c r="E10" s="582">
        <v>27302</v>
      </c>
      <c r="F10" s="1750">
        <f t="shared" si="1"/>
        <v>27302</v>
      </c>
    </row>
    <row r="11" spans="1:6" x14ac:dyDescent="0.2">
      <c r="A11" s="712" t="s">
        <v>409</v>
      </c>
      <c r="B11" s="1747">
        <f>'Revenues 9-14'!J5</f>
        <v>192282</v>
      </c>
      <c r="C11" s="582">
        <v>0</v>
      </c>
      <c r="D11" s="1750">
        <f t="shared" si="0"/>
        <v>192282</v>
      </c>
      <c r="E11" s="582">
        <v>194789</v>
      </c>
      <c r="F11" s="1750">
        <f t="shared" si="1"/>
        <v>194789</v>
      </c>
    </row>
    <row r="12" spans="1:6" ht="13.7" customHeight="1" x14ac:dyDescent="0.2">
      <c r="A12" s="712" t="s">
        <v>157</v>
      </c>
      <c r="B12" s="1747">
        <f>'Revenues 9-14'!K5</f>
        <v>24759</v>
      </c>
      <c r="C12" s="582">
        <v>0</v>
      </c>
      <c r="D12" s="1750">
        <f t="shared" si="0"/>
        <v>24759</v>
      </c>
      <c r="E12" s="582">
        <v>24389</v>
      </c>
      <c r="F12" s="1750">
        <f t="shared" si="1"/>
        <v>24389</v>
      </c>
    </row>
    <row r="13" spans="1:6" ht="13.7" customHeight="1" x14ac:dyDescent="0.2">
      <c r="A13" s="712" t="s">
        <v>936</v>
      </c>
      <c r="B13" s="1747">
        <f>SUM('Revenues 9-14'!C6:D6)</f>
        <v>5108</v>
      </c>
      <c r="C13" s="582">
        <v>0</v>
      </c>
      <c r="D13" s="1750">
        <f t="shared" si="0"/>
        <v>5108</v>
      </c>
      <c r="E13" s="582">
        <v>9744</v>
      </c>
      <c r="F13" s="1750">
        <f t="shared" si="1"/>
        <v>9744</v>
      </c>
    </row>
    <row r="14" spans="1:6" ht="13.7" customHeight="1" x14ac:dyDescent="0.2">
      <c r="A14" s="712" t="s">
        <v>410</v>
      </c>
      <c r="B14" s="1747">
        <f>SUM('Revenues 9-14'!C7:D7,'Revenues 9-14'!F7:H7)</f>
        <v>9954</v>
      </c>
      <c r="C14" s="582">
        <v>0</v>
      </c>
      <c r="D14" s="1750">
        <f t="shared" si="0"/>
        <v>9954</v>
      </c>
      <c r="E14" s="582">
        <v>9810</v>
      </c>
      <c r="F14" s="1750">
        <f t="shared" si="1"/>
        <v>9810</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103622</v>
      </c>
      <c r="C16" s="582">
        <v>0</v>
      </c>
      <c r="D16" s="1750">
        <f t="shared" si="0"/>
        <v>103622</v>
      </c>
      <c r="E16" s="582">
        <v>102266</v>
      </c>
      <c r="F16" s="1750">
        <f t="shared" si="1"/>
        <v>102266</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1745057</v>
      </c>
      <c r="C19" s="1748">
        <f>SUM(C4:C18)</f>
        <v>0</v>
      </c>
      <c r="D19" s="1748">
        <f>SUM(D4:D18)</f>
        <v>1745057</v>
      </c>
      <c r="E19" s="1748">
        <f>SUM(E4:E18)</f>
        <v>1759771</v>
      </c>
      <c r="F19" s="1748">
        <f>SUM(F4:F18)</f>
        <v>1759771</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629</v>
      </c>
      <c r="B1" s="2225"/>
      <c r="C1" s="718"/>
    </row>
    <row r="2" spans="1:7" ht="33.75" x14ac:dyDescent="0.2">
      <c r="A2" s="2232" t="s">
        <v>1802</v>
      </c>
      <c r="B2" s="2233"/>
      <c r="C2" s="1881" t="s">
        <v>1956</v>
      </c>
      <c r="D2" s="720" t="s">
        <v>1957</v>
      </c>
      <c r="E2" s="720" t="s">
        <v>1958</v>
      </c>
      <c r="F2" s="1881" t="s">
        <v>1959</v>
      </c>
    </row>
    <row r="3" spans="1:7" ht="15.75" customHeight="1" x14ac:dyDescent="0.2">
      <c r="A3" s="2234" t="s">
        <v>1114</v>
      </c>
      <c r="B3" s="2235"/>
      <c r="C3" s="2228"/>
      <c r="D3" s="2229"/>
      <c r="E3" s="2229"/>
      <c r="F3" s="2230"/>
    </row>
    <row r="4" spans="1:7" ht="12.75" customHeight="1" thickBot="1" x14ac:dyDescent="0.25">
      <c r="A4" s="2222" t="s">
        <v>630</v>
      </c>
      <c r="B4" s="2223"/>
      <c r="C4" s="578"/>
      <c r="D4" s="578"/>
      <c r="E4" s="578"/>
      <c r="F4" s="1752">
        <f>SUM(C4+D4)-E4</f>
        <v>0</v>
      </c>
    </row>
    <row r="5" spans="1:7" ht="15.75" customHeight="1" thickTop="1" x14ac:dyDescent="0.2">
      <c r="A5" s="2226" t="s">
        <v>1110</v>
      </c>
      <c r="B5" s="2221"/>
      <c r="C5" s="2215"/>
      <c r="D5" s="2216"/>
      <c r="E5" s="2216"/>
      <c r="F5" s="2217"/>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18" t="s">
        <v>631</v>
      </c>
      <c r="B15" s="2219"/>
      <c r="C15" s="1752">
        <f>SUM(C6:C14)</f>
        <v>0</v>
      </c>
      <c r="D15" s="1752">
        <f>SUM(D6:D14)</f>
        <v>0</v>
      </c>
      <c r="E15" s="1752">
        <f>SUM(E6:E14)</f>
        <v>0</v>
      </c>
      <c r="F15" s="1752">
        <f>SUM(F6:F14)</f>
        <v>0</v>
      </c>
      <c r="G15" s="549"/>
    </row>
    <row r="16" spans="1:7" s="202" customFormat="1" ht="15.75" customHeight="1" thickTop="1" x14ac:dyDescent="0.2">
      <c r="A16" s="2231" t="s">
        <v>1111</v>
      </c>
      <c r="B16" s="2221"/>
      <c r="C16" s="2215"/>
      <c r="D16" s="2216"/>
      <c r="E16" s="2216"/>
      <c r="F16" s="2217"/>
    </row>
    <row r="17" spans="1:11" ht="12.75" customHeight="1" thickBot="1" x14ac:dyDescent="0.25">
      <c r="A17" s="2213" t="s">
        <v>64</v>
      </c>
      <c r="B17" s="2214"/>
      <c r="C17" s="723"/>
      <c r="D17" s="582"/>
      <c r="E17" s="723"/>
      <c r="F17" s="1752">
        <f>SUM(C17+D17)-E17</f>
        <v>0</v>
      </c>
    </row>
    <row r="18" spans="1:11" ht="12.75" customHeight="1" thickTop="1" thickBot="1" x14ac:dyDescent="0.25">
      <c r="A18" s="2213" t="s">
        <v>6</v>
      </c>
      <c r="B18" s="2214"/>
      <c r="C18" s="723"/>
      <c r="D18" s="582"/>
      <c r="E18" s="723"/>
      <c r="F18" s="1752">
        <f>SUM(C18+D18)-E18</f>
        <v>0</v>
      </c>
    </row>
    <row r="19" spans="1:11" ht="12.75" customHeight="1" thickTop="1" thickBot="1" x14ac:dyDescent="0.25">
      <c r="A19" s="2213" t="s">
        <v>388</v>
      </c>
      <c r="B19" s="2214"/>
      <c r="C19" s="723"/>
      <c r="D19" s="582"/>
      <c r="E19" s="723"/>
      <c r="F19" s="1752">
        <f>SUM(C19+D19)-E19</f>
        <v>0</v>
      </c>
    </row>
    <row r="20" spans="1:11" ht="12.75" customHeight="1" thickTop="1" thickBot="1" x14ac:dyDescent="0.25">
      <c r="A20" s="2213" t="s">
        <v>448</v>
      </c>
      <c r="B20" s="2214"/>
      <c r="C20" s="723"/>
      <c r="D20" s="582"/>
      <c r="E20" s="723"/>
      <c r="F20" s="1752">
        <f>SUM(C20+D20)-E20</f>
        <v>0</v>
      </c>
    </row>
    <row r="21" spans="1:11" ht="14.25" thickTop="1" thickBot="1" x14ac:dyDescent="0.25">
      <c r="A21" s="2218" t="s">
        <v>632</v>
      </c>
      <c r="B21" s="2219"/>
      <c r="C21" s="1752">
        <f>SUM(C17:C20)</f>
        <v>0</v>
      </c>
      <c r="D21" s="1752">
        <f>SUM(D17:D20)</f>
        <v>0</v>
      </c>
      <c r="E21" s="1752">
        <f>SUM(E17:E20)</f>
        <v>0</v>
      </c>
      <c r="F21" s="1752">
        <f>SUM(F17:F20)</f>
        <v>0</v>
      </c>
      <c r="G21" s="549"/>
    </row>
    <row r="22" spans="1:11" ht="15.75" customHeight="1" thickTop="1" x14ac:dyDescent="0.2">
      <c r="A22" s="2220" t="s">
        <v>1112</v>
      </c>
      <c r="B22" s="2221"/>
      <c r="C22" s="2215"/>
      <c r="D22" s="2216"/>
      <c r="E22" s="2216"/>
      <c r="F22" s="2217"/>
    </row>
    <row r="23" spans="1:11" ht="13.5" thickBot="1" x14ac:dyDescent="0.25">
      <c r="A23" s="2222" t="s">
        <v>633</v>
      </c>
      <c r="B23" s="2223"/>
      <c r="C23" s="578"/>
      <c r="D23" s="578"/>
      <c r="E23" s="578"/>
      <c r="F23" s="1752">
        <f>SUM(C23+D23)-E23</f>
        <v>0</v>
      </c>
      <c r="G23" s="549"/>
    </row>
    <row r="24" spans="1:11" ht="15.75" customHeight="1" thickTop="1" x14ac:dyDescent="0.2">
      <c r="A24" s="2220" t="s">
        <v>1113</v>
      </c>
      <c r="B24" s="2221"/>
      <c r="C24" s="2215"/>
      <c r="D24" s="2216"/>
      <c r="E24" s="2216"/>
      <c r="F24" s="2217"/>
    </row>
    <row r="25" spans="1:11" ht="13.5" thickBot="1" x14ac:dyDescent="0.25">
      <c r="A25" s="2222" t="s">
        <v>634</v>
      </c>
      <c r="B25" s="2223"/>
      <c r="C25" s="578"/>
      <c r="D25" s="578"/>
      <c r="E25" s="578"/>
      <c r="F25" s="1752">
        <f>SUM(C25+D25)-E25</f>
        <v>0</v>
      </c>
      <c r="G25" s="549"/>
    </row>
    <row r="26" spans="1:11" ht="15.75" customHeight="1" thickTop="1" x14ac:dyDescent="0.2">
      <c r="A26" s="2226" t="s">
        <v>657</v>
      </c>
      <c r="B26" s="2221"/>
      <c r="C26" s="724"/>
      <c r="D26" s="724"/>
      <c r="E26" s="724"/>
      <c r="F26" s="725"/>
    </row>
    <row r="27" spans="1:11" ht="13.5" thickBot="1" x14ac:dyDescent="0.25">
      <c r="A27" s="2218" t="s">
        <v>1070</v>
      </c>
      <c r="B27" s="2219"/>
      <c r="C27" s="582"/>
      <c r="D27" s="582"/>
      <c r="E27" s="582"/>
      <c r="F27" s="1752">
        <f>SUM(C27+D27)-E27</f>
        <v>0</v>
      </c>
      <c r="G27" s="549"/>
    </row>
    <row r="28" spans="1:11" ht="7.5" customHeight="1" thickTop="1" x14ac:dyDescent="0.2">
      <c r="A28" s="590"/>
    </row>
    <row r="29" spans="1:11" ht="23.25" customHeight="1" x14ac:dyDescent="0.2">
      <c r="A29" s="2224" t="s">
        <v>582</v>
      </c>
      <c r="B29" s="2225"/>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2082</v>
      </c>
      <c r="B31" s="730">
        <v>42046</v>
      </c>
      <c r="C31" s="731">
        <v>1320000</v>
      </c>
      <c r="D31" s="732">
        <v>1</v>
      </c>
      <c r="E31" s="731">
        <v>807000</v>
      </c>
      <c r="F31" s="731"/>
      <c r="G31" s="731"/>
      <c r="H31" s="731">
        <v>195000</v>
      </c>
      <c r="I31" s="1753">
        <f>((E31+F31)-H31)+G31</f>
        <v>612000</v>
      </c>
      <c r="J31" s="731">
        <f>I31-143388</f>
        <v>468612</v>
      </c>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1320000</v>
      </c>
      <c r="D49" s="742"/>
      <c r="E49" s="1753">
        <f t="shared" ref="E49:J49" si="2">SUM(E31:E48)</f>
        <v>807000</v>
      </c>
      <c r="F49" s="1753">
        <f t="shared" si="2"/>
        <v>0</v>
      </c>
      <c r="G49" s="1753">
        <f t="shared" si="2"/>
        <v>0</v>
      </c>
      <c r="H49" s="1753">
        <f t="shared" si="2"/>
        <v>195000</v>
      </c>
      <c r="I49" s="1753">
        <f t="shared" si="2"/>
        <v>612000</v>
      </c>
      <c r="J49" s="1753">
        <f t="shared" si="2"/>
        <v>468612</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7" t="s">
        <v>584</v>
      </c>
      <c r="C52" s="2208"/>
      <c r="D52" s="2208"/>
      <c r="E52" s="746" t="s">
        <v>845</v>
      </c>
      <c r="F52" s="2209"/>
      <c r="G52" s="2210"/>
      <c r="H52" s="733"/>
      <c r="I52" s="733"/>
      <c r="J52" s="743"/>
    </row>
    <row r="53" spans="1:11" ht="11.25" customHeight="1" x14ac:dyDescent="0.2">
      <c r="A53" s="747" t="s">
        <v>913</v>
      </c>
      <c r="B53" s="748" t="s">
        <v>951</v>
      </c>
      <c r="C53" s="743"/>
      <c r="D53" s="734"/>
      <c r="E53" s="746" t="s">
        <v>497</v>
      </c>
      <c r="F53" s="2211"/>
      <c r="G53" s="2212"/>
      <c r="H53" s="733"/>
      <c r="I53" s="733"/>
      <c r="J53" s="743"/>
    </row>
    <row r="54" spans="1:11" ht="11.25" customHeight="1" x14ac:dyDescent="0.2">
      <c r="A54" s="749" t="s">
        <v>914</v>
      </c>
      <c r="B54" s="744" t="s">
        <v>952</v>
      </c>
      <c r="C54" s="743"/>
      <c r="D54" s="734"/>
      <c r="E54" s="746" t="s">
        <v>498</v>
      </c>
      <c r="F54" s="2211"/>
      <c r="G54" s="2212"/>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27"/>
      <c r="I1" s="757"/>
      <c r="J1" s="433"/>
    </row>
    <row r="2" spans="1:11" ht="26.25" x14ac:dyDescent="0.2">
      <c r="A2" s="2255" t="s">
        <v>1677</v>
      </c>
      <c r="B2" s="2256"/>
      <c r="C2" s="2256"/>
      <c r="D2" s="2256"/>
      <c r="E2" s="2257"/>
      <c r="F2" s="758" t="s">
        <v>904</v>
      </c>
      <c r="G2" s="759" t="s">
        <v>1674</v>
      </c>
      <c r="H2" s="759" t="s">
        <v>410</v>
      </c>
      <c r="I2" s="759" t="s">
        <v>1158</v>
      </c>
      <c r="J2" s="759" t="s">
        <v>1812</v>
      </c>
      <c r="K2" s="759" t="s">
        <v>138</v>
      </c>
    </row>
    <row r="3" spans="1:11" x14ac:dyDescent="0.2">
      <c r="A3" s="2258" t="s">
        <v>1964</v>
      </c>
      <c r="B3" s="2259"/>
      <c r="C3" s="2259"/>
      <c r="D3" s="2259"/>
      <c r="E3" s="2260"/>
      <c r="F3" s="760"/>
      <c r="G3" s="761"/>
      <c r="H3" s="761"/>
      <c r="I3" s="761"/>
      <c r="J3" s="762"/>
      <c r="K3" s="762"/>
    </row>
    <row r="4" spans="1:11" x14ac:dyDescent="0.2">
      <c r="A4" s="2261" t="s">
        <v>369</v>
      </c>
      <c r="B4" s="2262"/>
      <c r="C4" s="2262"/>
      <c r="D4" s="2262"/>
      <c r="E4" s="2208"/>
      <c r="F4" s="763"/>
      <c r="G4" s="764"/>
      <c r="H4" s="765"/>
      <c r="I4" s="764"/>
      <c r="J4" s="766"/>
      <c r="K4" s="766"/>
    </row>
    <row r="5" spans="1:11" x14ac:dyDescent="0.2">
      <c r="A5" s="2239" t="s">
        <v>1069</v>
      </c>
      <c r="B5" s="2240"/>
      <c r="C5" s="2240"/>
      <c r="D5" s="2240"/>
      <c r="E5" s="2241"/>
      <c r="F5" s="767" t="s">
        <v>848</v>
      </c>
      <c r="G5" s="768"/>
      <c r="H5" s="761">
        <v>9954</v>
      </c>
      <c r="I5" s="769"/>
      <c r="J5" s="770"/>
      <c r="K5" s="770"/>
    </row>
    <row r="6" spans="1:11" x14ac:dyDescent="0.2">
      <c r="A6" s="771" t="s">
        <v>720</v>
      </c>
      <c r="B6" s="772"/>
      <c r="C6" s="772"/>
      <c r="D6" s="772"/>
      <c r="E6" s="773"/>
      <c r="F6" s="774" t="s">
        <v>849</v>
      </c>
      <c r="G6" s="761"/>
      <c r="H6" s="761">
        <v>15</v>
      </c>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239" t="s">
        <v>1813</v>
      </c>
      <c r="B10" s="2240"/>
      <c r="C10" s="2240"/>
      <c r="D10" s="2240"/>
      <c r="E10" s="2242"/>
      <c r="F10" s="780" t="s">
        <v>862</v>
      </c>
      <c r="G10" s="779"/>
      <c r="H10" s="781"/>
      <c r="I10" s="761"/>
      <c r="J10" s="762"/>
      <c r="K10" s="762"/>
    </row>
    <row r="11" spans="1:11" x14ac:dyDescent="0.2">
      <c r="A11" s="2239" t="s">
        <v>160</v>
      </c>
      <c r="B11" s="2240"/>
      <c r="C11" s="2240"/>
      <c r="D11" s="2240"/>
      <c r="E11" s="2241"/>
      <c r="F11" s="767" t="s">
        <v>852</v>
      </c>
      <c r="G11" s="768"/>
      <c r="H11" s="761"/>
      <c r="I11" s="761"/>
      <c r="J11" s="762"/>
      <c r="K11" s="770"/>
    </row>
    <row r="12" spans="1:11" ht="13.5" thickBot="1" x14ac:dyDescent="0.25">
      <c r="A12" s="2266" t="s">
        <v>905</v>
      </c>
      <c r="B12" s="2267"/>
      <c r="C12" s="2267"/>
      <c r="D12" s="2267"/>
      <c r="E12" s="2268"/>
      <c r="F12" s="1754"/>
      <c r="G12" s="1755">
        <f>SUM(G5:G11)</f>
        <v>0</v>
      </c>
      <c r="H12" s="1755">
        <f>SUM(H5:H11)</f>
        <v>9969</v>
      </c>
      <c r="I12" s="1755">
        <f>SUM(I5:I11)</f>
        <v>0</v>
      </c>
      <c r="J12" s="1755">
        <f>SUM(J5:J11)</f>
        <v>0</v>
      </c>
      <c r="K12" s="1755">
        <f>SUM(K5:K11)</f>
        <v>0</v>
      </c>
    </row>
    <row r="13" spans="1:11" ht="13.5" thickTop="1" x14ac:dyDescent="0.2">
      <c r="A13" s="2263" t="s">
        <v>370</v>
      </c>
      <c r="B13" s="2264"/>
      <c r="C13" s="2264"/>
      <c r="D13" s="2264"/>
      <c r="E13" s="2265"/>
      <c r="F13" s="782"/>
      <c r="G13" s="783"/>
      <c r="H13" s="784"/>
      <c r="I13" s="785"/>
      <c r="J13" s="785"/>
      <c r="K13" s="785"/>
    </row>
    <row r="14" spans="1:11" x14ac:dyDescent="0.2">
      <c r="A14" s="2246" t="s">
        <v>456</v>
      </c>
      <c r="B14" s="2246"/>
      <c r="C14" s="2246"/>
      <c r="D14" s="2246"/>
      <c r="E14" s="2247"/>
      <c r="F14" s="786" t="s">
        <v>854</v>
      </c>
      <c r="G14" s="779"/>
      <c r="H14" s="761">
        <v>9969</v>
      </c>
      <c r="I14" s="768"/>
      <c r="J14" s="770"/>
      <c r="K14" s="762"/>
    </row>
    <row r="15" spans="1:11" x14ac:dyDescent="0.2">
      <c r="A15" s="2240" t="s">
        <v>4</v>
      </c>
      <c r="B15" s="2240"/>
      <c r="C15" s="2240"/>
      <c r="D15" s="2240"/>
      <c r="E15" s="2241"/>
      <c r="F15" s="786" t="s">
        <v>855</v>
      </c>
      <c r="G15" s="768"/>
      <c r="H15" s="761"/>
      <c r="I15" s="761"/>
      <c r="J15" s="762"/>
      <c r="K15" s="762"/>
    </row>
    <row r="16" spans="1:11" x14ac:dyDescent="0.2">
      <c r="A16" s="2240" t="s">
        <v>298</v>
      </c>
      <c r="B16" s="2240"/>
      <c r="C16" s="2240"/>
      <c r="D16" s="2240"/>
      <c r="E16" s="2241"/>
      <c r="F16" s="786" t="s">
        <v>923</v>
      </c>
      <c r="G16" s="769"/>
      <c r="H16" s="764"/>
      <c r="I16" s="764"/>
      <c r="J16" s="766"/>
      <c r="K16" s="766"/>
    </row>
    <row r="17" spans="1:11" x14ac:dyDescent="0.2">
      <c r="A17" s="2271" t="s">
        <v>935</v>
      </c>
      <c r="B17" s="2271"/>
      <c r="C17" s="2271"/>
      <c r="D17" s="2271"/>
      <c r="E17" s="2272"/>
      <c r="F17" s="787"/>
      <c r="G17" s="788"/>
      <c r="H17" s="789"/>
      <c r="I17" s="789"/>
      <c r="J17" s="790"/>
      <c r="K17" s="791"/>
    </row>
    <row r="18" spans="1:11" x14ac:dyDescent="0.2">
      <c r="A18" s="2250" t="s">
        <v>368</v>
      </c>
      <c r="B18" s="2251"/>
      <c r="C18" s="2251"/>
      <c r="D18" s="2251"/>
      <c r="E18" s="2252"/>
      <c r="F18" s="786" t="s">
        <v>932</v>
      </c>
      <c r="G18" s="779"/>
      <c r="H18" s="779"/>
      <c r="I18" s="779"/>
      <c r="J18" s="762"/>
      <c r="K18" s="792"/>
    </row>
    <row r="19" spans="1:11" ht="21.75" customHeight="1" x14ac:dyDescent="0.2">
      <c r="A19" s="2248" t="s">
        <v>1809</v>
      </c>
      <c r="B19" s="2248"/>
      <c r="C19" s="2248"/>
      <c r="D19" s="2248"/>
      <c r="E19" s="2249"/>
      <c r="F19" s="786" t="s">
        <v>933</v>
      </c>
      <c r="G19" s="779"/>
      <c r="H19" s="779"/>
      <c r="I19" s="779"/>
      <c r="J19" s="762"/>
      <c r="K19" s="792"/>
    </row>
    <row r="20" spans="1:11" x14ac:dyDescent="0.2">
      <c r="A20" s="2250" t="s">
        <v>1814</v>
      </c>
      <c r="B20" s="2251"/>
      <c r="C20" s="2251"/>
      <c r="D20" s="2251"/>
      <c r="E20" s="2252"/>
      <c r="F20" s="786" t="s">
        <v>934</v>
      </c>
      <c r="G20" s="779"/>
      <c r="H20" s="779"/>
      <c r="I20" s="779"/>
      <c r="J20" s="762"/>
      <c r="K20" s="792"/>
    </row>
    <row r="21" spans="1:11" ht="13.5" thickBot="1" x14ac:dyDescent="0.25">
      <c r="A21" s="2269" t="s">
        <v>638</v>
      </c>
      <c r="B21" s="2269"/>
      <c r="C21" s="2269"/>
      <c r="D21" s="2269"/>
      <c r="E21" s="2269"/>
      <c r="F21" s="1756"/>
      <c r="G21" s="789"/>
      <c r="H21" s="793"/>
      <c r="I21" s="793"/>
      <c r="J21" s="1757">
        <f>SUM(J18:J20)</f>
        <v>0</v>
      </c>
      <c r="K21" s="790"/>
    </row>
    <row r="22" spans="1:11" ht="13.5" thickTop="1" x14ac:dyDescent="0.2">
      <c r="A22" s="2240" t="s">
        <v>1815</v>
      </c>
      <c r="B22" s="2240"/>
      <c r="C22" s="2240"/>
      <c r="D22" s="2240"/>
      <c r="E22" s="2241"/>
      <c r="F22" s="786" t="s">
        <v>862</v>
      </c>
      <c r="G22" s="779"/>
      <c r="H22" s="761"/>
      <c r="I22" s="761"/>
      <c r="J22" s="794"/>
      <c r="K22" s="762"/>
    </row>
    <row r="23" spans="1:11" ht="13.5" thickBot="1" x14ac:dyDescent="0.25">
      <c r="A23" s="2270" t="s">
        <v>906</v>
      </c>
      <c r="B23" s="2269"/>
      <c r="C23" s="2269"/>
      <c r="D23" s="2269"/>
      <c r="E23" s="2269"/>
      <c r="F23" s="1758"/>
      <c r="G23" s="1755">
        <f>SUM(G14:G16,G21,G22)</f>
        <v>0</v>
      </c>
      <c r="H23" s="1755">
        <f>SUM(H14:H16,H21,H22)</f>
        <v>9969</v>
      </c>
      <c r="I23" s="1755">
        <f>SUM(I14:I16,I21,I22)</f>
        <v>0</v>
      </c>
      <c r="J23" s="1755">
        <f>SUM(J14:J16,J21,J22)</f>
        <v>0</v>
      </c>
      <c r="K23" s="1755">
        <f>SUM(K14:K16,K21,K22)</f>
        <v>0</v>
      </c>
    </row>
    <row r="24" spans="1:11" ht="14.25" thickTop="1" thickBot="1" x14ac:dyDescent="0.25">
      <c r="A24" s="2270" t="s">
        <v>1965</v>
      </c>
      <c r="B24" s="2269"/>
      <c r="C24" s="2269"/>
      <c r="D24" s="2269"/>
      <c r="E24" s="2269"/>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43"/>
      <c r="I31" s="2244"/>
      <c r="J31" s="2244"/>
      <c r="K31" s="2244"/>
    </row>
    <row r="32" spans="1:11" x14ac:dyDescent="0.2">
      <c r="A32" s="806"/>
      <c r="B32" s="237"/>
      <c r="C32" s="237"/>
      <c r="D32" s="237"/>
      <c r="E32" s="802"/>
      <c r="F32" s="808" t="s">
        <v>540</v>
      </c>
      <c r="G32" s="761"/>
      <c r="H32" s="2245"/>
      <c r="I32" s="2244"/>
      <c r="J32" s="2244"/>
      <c r="K32" s="2244"/>
    </row>
    <row r="33" spans="1:11" ht="1.5" customHeight="1" x14ac:dyDescent="0.2">
      <c r="A33" s="809" t="s">
        <v>1169</v>
      </c>
      <c r="B33" s="364"/>
      <c r="C33" s="364"/>
      <c r="D33" s="364"/>
      <c r="E33" s="364"/>
      <c r="F33" s="364"/>
      <c r="G33" s="810"/>
      <c r="H33" s="2245"/>
      <c r="I33" s="2244"/>
      <c r="J33" s="2244"/>
      <c r="K33" s="2244"/>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40" t="s">
        <v>541</v>
      </c>
      <c r="B41" s="2253"/>
      <c r="C41" s="2253"/>
      <c r="D41" s="2253"/>
      <c r="E41" s="2253"/>
      <c r="F41" s="2254"/>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1909</v>
      </c>
      <c r="B1" s="2276"/>
      <c r="C1" s="2277"/>
      <c r="D1" s="823"/>
      <c r="E1" s="824"/>
      <c r="F1" s="824"/>
      <c r="G1" s="825"/>
      <c r="H1" s="826"/>
      <c r="I1" s="827"/>
      <c r="J1" s="2273"/>
      <c r="K1" s="2274"/>
      <c r="L1" s="2274"/>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37985</v>
      </c>
      <c r="D5" s="838"/>
      <c r="E5" s="838"/>
      <c r="F5" s="1757">
        <f>(C5+D5)-E5</f>
        <v>37985</v>
      </c>
      <c r="G5" s="834"/>
      <c r="H5" s="839"/>
      <c r="I5" s="839"/>
      <c r="J5" s="839"/>
      <c r="K5" s="790"/>
      <c r="L5" s="1766">
        <f>F5-K5</f>
        <v>37985</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6430036</v>
      </c>
      <c r="D8" s="841">
        <v>49994</v>
      </c>
      <c r="E8" s="841"/>
      <c r="F8" s="1757">
        <f>(C8+D8)-E8</f>
        <v>6480030</v>
      </c>
      <c r="G8" s="840">
        <v>50</v>
      </c>
      <c r="H8" s="762">
        <v>3126745</v>
      </c>
      <c r="I8" s="762">
        <v>111499</v>
      </c>
      <c r="J8" s="762"/>
      <c r="K8" s="1766">
        <f>(H8+I8)-J8</f>
        <v>3238244</v>
      </c>
      <c r="L8" s="1766">
        <f>F8-K8</f>
        <v>3241786</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115334</v>
      </c>
      <c r="D10" s="843">
        <v>98572</v>
      </c>
      <c r="E10" s="843"/>
      <c r="F10" s="1761">
        <f>(C10+D10)-E10</f>
        <v>213906</v>
      </c>
      <c r="G10" s="840">
        <v>20</v>
      </c>
      <c r="H10" s="844">
        <v>38620</v>
      </c>
      <c r="I10" s="844">
        <v>10586</v>
      </c>
      <c r="J10" s="844"/>
      <c r="K10" s="1766">
        <f>(H10+I10)-J10</f>
        <v>49206</v>
      </c>
      <c r="L10" s="1766">
        <f>F10-K10</f>
        <v>164700</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218851</v>
      </c>
      <c r="D12" s="841">
        <v>52765</v>
      </c>
      <c r="E12" s="841">
        <v>2762</v>
      </c>
      <c r="F12" s="1757">
        <f>(C12+D12)-E12</f>
        <v>268854</v>
      </c>
      <c r="G12" s="840">
        <v>10</v>
      </c>
      <c r="H12" s="762">
        <v>78285</v>
      </c>
      <c r="I12" s="762">
        <v>26885</v>
      </c>
      <c r="J12" s="762">
        <v>2762</v>
      </c>
      <c r="K12" s="1766">
        <f>(H12+I12)-J12</f>
        <v>102408</v>
      </c>
      <c r="L12" s="1766">
        <f>F12-K12</f>
        <v>166446</v>
      </c>
    </row>
    <row r="13" spans="1:14" ht="14.25" thickTop="1" thickBot="1" x14ac:dyDescent="0.25">
      <c r="A13" s="845" t="s">
        <v>1122</v>
      </c>
      <c r="B13" s="837">
        <v>252</v>
      </c>
      <c r="C13" s="841">
        <v>211646</v>
      </c>
      <c r="D13" s="841"/>
      <c r="E13" s="841"/>
      <c r="F13" s="1757">
        <f>(C13+D13)-E13</f>
        <v>211646</v>
      </c>
      <c r="G13" s="840">
        <v>5</v>
      </c>
      <c r="H13" s="762">
        <v>211491</v>
      </c>
      <c r="I13" s="762">
        <v>155</v>
      </c>
      <c r="J13" s="762"/>
      <c r="K13" s="1766">
        <f>(H13+I13)-J13</f>
        <v>211646</v>
      </c>
      <c r="L13" s="1766">
        <f>F13-K13</f>
        <v>0</v>
      </c>
    </row>
    <row r="14" spans="1:14" ht="14.25" thickTop="1" thickBot="1" x14ac:dyDescent="0.25">
      <c r="A14" s="845" t="s">
        <v>1123</v>
      </c>
      <c r="B14" s="837">
        <v>253</v>
      </c>
      <c r="C14" s="762">
        <v>3827</v>
      </c>
      <c r="D14" s="762"/>
      <c r="E14" s="762"/>
      <c r="F14" s="1757">
        <f>(C14+D14)-E14</f>
        <v>3827</v>
      </c>
      <c r="G14" s="840">
        <v>3</v>
      </c>
      <c r="H14" s="762">
        <v>3827</v>
      </c>
      <c r="I14" s="762"/>
      <c r="J14" s="762"/>
      <c r="K14" s="1766">
        <f>(H14+I14)-J14</f>
        <v>3827</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7017679</v>
      </c>
      <c r="D16" s="1757">
        <f>SUM(D3,D5:D6,D8:D10,D12:D15)</f>
        <v>201331</v>
      </c>
      <c r="E16" s="1757">
        <f>SUM(E3,E5:E6,E8:E10,E12:E15)</f>
        <v>2762</v>
      </c>
      <c r="F16" s="1757">
        <f>SUM(F3,F5:F6,F8:F10,F12:F15)</f>
        <v>7216248</v>
      </c>
      <c r="G16" s="840"/>
      <c r="H16" s="1757">
        <f>SUM(H3,H6,H8:H10,H12:H14,)</f>
        <v>3458968</v>
      </c>
      <c r="I16" s="1757">
        <f>SUM(I3,I6,I8:I10,I12:I14,)</f>
        <v>149125</v>
      </c>
      <c r="J16" s="1757">
        <f>SUM(J3,J6,J8:J10,J12:J14,)</f>
        <v>2762</v>
      </c>
      <c r="K16" s="1757">
        <f>(H16+I16)-J16</f>
        <v>3605331</v>
      </c>
      <c r="L16" s="1757">
        <f>F16-K16</f>
        <v>3610917</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149125</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28" sqref="F28"/>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81" t="s">
        <v>1975</v>
      </c>
      <c r="B1" s="2282"/>
      <c r="C1" s="2282"/>
      <c r="D1" s="2282"/>
      <c r="E1" s="2282"/>
      <c r="F1" s="2283"/>
      <c r="G1" s="852"/>
    </row>
    <row r="2" spans="1:7" ht="15" customHeight="1" thickBot="1" x14ac:dyDescent="0.25">
      <c r="A2" s="2284" t="s">
        <v>477</v>
      </c>
      <c r="B2" s="2285"/>
      <c r="C2" s="2285"/>
      <c r="D2" s="2285"/>
      <c r="E2" s="2285"/>
      <c r="F2" s="2286"/>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7"/>
      <c r="B5" s="2288"/>
      <c r="C5" s="2288"/>
      <c r="D5" s="2288"/>
      <c r="E5" s="2288"/>
      <c r="F5" s="2288"/>
    </row>
    <row r="6" spans="1:7" ht="13.5" customHeight="1" thickBot="1" x14ac:dyDescent="0.25">
      <c r="A6" s="2278" t="s">
        <v>1104</v>
      </c>
      <c r="B6" s="2279"/>
      <c r="C6" s="2279"/>
      <c r="D6" s="2279"/>
      <c r="E6" s="2279"/>
      <c r="F6" s="2280"/>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5325925</v>
      </c>
      <c r="G8" s="862"/>
    </row>
    <row r="9" spans="1:7" x14ac:dyDescent="0.2">
      <c r="A9" s="866" t="s">
        <v>460</v>
      </c>
      <c r="B9" s="867" t="s">
        <v>1877</v>
      </c>
      <c r="C9" s="868"/>
      <c r="D9" s="866" t="s">
        <v>501</v>
      </c>
      <c r="E9" s="865"/>
      <c r="F9" s="1906">
        <f>'Expenditures 15-22'!K151</f>
        <v>261057</v>
      </c>
      <c r="G9" s="869"/>
    </row>
    <row r="10" spans="1:7" x14ac:dyDescent="0.2">
      <c r="A10" s="866" t="s">
        <v>499</v>
      </c>
      <c r="B10" s="867" t="s">
        <v>1878</v>
      </c>
      <c r="C10" s="868"/>
      <c r="D10" s="866" t="s">
        <v>501</v>
      </c>
      <c r="E10" s="865"/>
      <c r="F10" s="1906">
        <f>'Expenditures 15-22'!K174</f>
        <v>212023</v>
      </c>
      <c r="G10" s="869"/>
    </row>
    <row r="11" spans="1:7" x14ac:dyDescent="0.2">
      <c r="A11" s="866" t="s">
        <v>461</v>
      </c>
      <c r="B11" s="867" t="s">
        <v>1879</v>
      </c>
      <c r="C11" s="868"/>
      <c r="D11" s="866" t="s">
        <v>501</v>
      </c>
      <c r="E11" s="865"/>
      <c r="F11" s="1906">
        <f>'Expenditures 15-22'!K210</f>
        <v>367654</v>
      </c>
      <c r="G11" s="869"/>
    </row>
    <row r="12" spans="1:7" x14ac:dyDescent="0.2">
      <c r="A12" s="866" t="s">
        <v>462</v>
      </c>
      <c r="B12" s="867" t="s">
        <v>1880</v>
      </c>
      <c r="C12" s="868"/>
      <c r="D12" s="866" t="s">
        <v>501</v>
      </c>
      <c r="E12" s="865"/>
      <c r="F12" s="1906">
        <f>'Expenditures 15-22'!K295</f>
        <v>170042</v>
      </c>
      <c r="G12" s="869"/>
    </row>
    <row r="13" spans="1:7" x14ac:dyDescent="0.2">
      <c r="A13" s="866" t="s">
        <v>106</v>
      </c>
      <c r="B13" s="867" t="s">
        <v>1881</v>
      </c>
      <c r="C13" s="868"/>
      <c r="D13" s="866" t="s">
        <v>501</v>
      </c>
      <c r="E13" s="865"/>
      <c r="F13" s="1906">
        <f>'Expenditures 15-22'!K342</f>
        <v>158336</v>
      </c>
      <c r="G13" s="870"/>
    </row>
    <row r="14" spans="1:7" ht="12" customHeight="1" thickBot="1" x14ac:dyDescent="0.25">
      <c r="A14" s="1767"/>
      <c r="B14" s="1768"/>
      <c r="C14" s="1769"/>
      <c r="D14" s="1770" t="s">
        <v>501</v>
      </c>
      <c r="E14" s="1771" t="s">
        <v>958</v>
      </c>
      <c r="F14" s="1772">
        <f>SUM(F8:F13)</f>
        <v>6495037</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73111</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27836</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220211</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2322</v>
      </c>
      <c r="G52" s="862"/>
    </row>
    <row r="53" spans="1:7" x14ac:dyDescent="0.2">
      <c r="A53" s="866" t="s">
        <v>459</v>
      </c>
      <c r="B53" s="866" t="s">
        <v>1475</v>
      </c>
      <c r="C53" s="886">
        <f>'Expenditures 15-22'!B102</f>
        <v>4000</v>
      </c>
      <c r="D53" s="885" t="str">
        <f>'Expenditures 15-22'!A102</f>
        <v>Total Payments to Other Govt Units</v>
      </c>
      <c r="E53" s="865"/>
      <c r="F53" s="1910">
        <f>'Expenditures 15-22'!K102</f>
        <v>300301</v>
      </c>
      <c r="G53" s="862"/>
    </row>
    <row r="54" spans="1:7" x14ac:dyDescent="0.2">
      <c r="A54" s="866" t="s">
        <v>459</v>
      </c>
      <c r="B54" s="866" t="s">
        <v>1476</v>
      </c>
      <c r="C54" s="886" t="s">
        <v>982</v>
      </c>
      <c r="D54" s="882" t="s">
        <v>1095</v>
      </c>
      <c r="E54" s="865"/>
      <c r="F54" s="1910">
        <f>'Expenditures 15-22'!G114</f>
        <v>44486</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154233</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195000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2283</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299</v>
      </c>
      <c r="G71" s="862"/>
    </row>
    <row r="72" spans="1:8" x14ac:dyDescent="0.2">
      <c r="A72" s="866" t="s">
        <v>462</v>
      </c>
      <c r="B72" s="866" t="s">
        <v>1896</v>
      </c>
      <c r="C72" s="883">
        <f>'Expenditures 15-22'!B280</f>
        <v>3000</v>
      </c>
      <c r="D72" s="873" t="s">
        <v>449</v>
      </c>
      <c r="E72" s="865"/>
      <c r="F72" s="1910">
        <f>'Expenditures 15-22'!K280</f>
        <v>174</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1020256</v>
      </c>
      <c r="G76" s="862"/>
    </row>
    <row r="77" spans="1:8" s="890" customFormat="1" ht="12" customHeight="1" thickTop="1" thickBot="1" x14ac:dyDescent="0.25">
      <c r="A77" s="1776"/>
      <c r="B77" s="1773"/>
      <c r="C77" s="1769"/>
      <c r="D77" s="1774" t="s">
        <v>1900</v>
      </c>
      <c r="E77" s="1771"/>
      <c r="F77" s="1777">
        <f>(F14-F76)</f>
        <v>5474781</v>
      </c>
      <c r="G77" s="866"/>
    </row>
    <row r="78" spans="1:8" s="890" customFormat="1" ht="12" customHeight="1" thickTop="1" x14ac:dyDescent="0.2">
      <c r="A78" s="1778"/>
      <c r="B78" s="1773"/>
      <c r="C78" s="1769"/>
      <c r="D78" s="1774" t="s">
        <v>2062</v>
      </c>
      <c r="E78" s="1771"/>
      <c r="F78" s="895">
        <v>509.5</v>
      </c>
      <c r="G78" s="896"/>
      <c r="H78" s="866"/>
    </row>
    <row r="79" spans="1:8" s="890" customFormat="1" ht="12" customHeight="1" thickBot="1" x14ac:dyDescent="0.25">
      <c r="A79" s="1779"/>
      <c r="B79" s="1773"/>
      <c r="C79" s="1769"/>
      <c r="D79" s="1774" t="s">
        <v>1901</v>
      </c>
      <c r="E79" s="1771" t="s">
        <v>958</v>
      </c>
      <c r="F79" s="1780">
        <f>IF(F78&gt;0,F77/F78," Complete Line 78")</f>
        <v>10745.399411187438</v>
      </c>
      <c r="G79" s="866"/>
    </row>
    <row r="80" spans="1:8" s="890" customFormat="1" ht="8.25" customHeight="1" thickTop="1" x14ac:dyDescent="0.2">
      <c r="A80" s="897"/>
      <c r="B80" s="866"/>
      <c r="C80" s="868"/>
      <c r="D80" s="898"/>
      <c r="E80" s="865"/>
      <c r="F80" s="899"/>
      <c r="G80" s="866"/>
    </row>
    <row r="81" spans="1:7" s="890" customFormat="1" ht="12" thickBot="1" x14ac:dyDescent="0.25">
      <c r="A81" s="2278" t="s">
        <v>1105</v>
      </c>
      <c r="B81" s="2279"/>
      <c r="C81" s="2279"/>
      <c r="D81" s="2279"/>
      <c r="E81" s="2279"/>
      <c r="F81" s="2280"/>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4121</v>
      </c>
      <c r="G94" s="909"/>
    </row>
    <row r="95" spans="1:7" x14ac:dyDescent="0.2">
      <c r="A95" s="905" t="s">
        <v>140</v>
      </c>
      <c r="B95" s="905" t="s">
        <v>175</v>
      </c>
      <c r="C95" s="907">
        <v>1700</v>
      </c>
      <c r="D95" s="915" t="str">
        <f>'Revenues 9-14'!A82</f>
        <v>Total District/School Activity Income</v>
      </c>
      <c r="E95" s="903"/>
      <c r="F95" s="1786">
        <f>SUM('Revenues 9-14'!C82,'Revenues 9-14'!D82)</f>
        <v>7938</v>
      </c>
      <c r="G95" s="909"/>
    </row>
    <row r="96" spans="1:7" x14ac:dyDescent="0.2">
      <c r="A96" s="905" t="s">
        <v>459</v>
      </c>
      <c r="B96" s="905" t="s">
        <v>176</v>
      </c>
      <c r="C96" s="907">
        <f>'Revenues 9-14'!B84</f>
        <v>1811</v>
      </c>
      <c r="D96" s="908" t="str">
        <f>'Revenues 9-14'!A84</f>
        <v>Rentals - Regular Textbooks</v>
      </c>
      <c r="E96" s="903"/>
      <c r="F96" s="1786">
        <f>'Revenues 9-14'!C84</f>
        <v>10120</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23782</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64714</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6768</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221820</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30210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346180</v>
      </c>
      <c r="G125" s="927"/>
    </row>
    <row r="126" spans="1:7" x14ac:dyDescent="0.2">
      <c r="A126" s="924" t="s">
        <v>668</v>
      </c>
      <c r="B126" s="924" t="s">
        <v>2024</v>
      </c>
      <c r="C126" s="929">
        <v>4300</v>
      </c>
      <c r="D126" s="930" t="str">
        <f>'Revenues 9-14'!A204</f>
        <v>Total Title I</v>
      </c>
      <c r="E126" s="903"/>
      <c r="F126" s="1786">
        <f>SUM('Revenues 9-14'!C204,'Revenues 9-14'!D204,'Revenues 9-14'!F204,'Revenues 9-14'!G204)</f>
        <v>198270</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100578</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10030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5338</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46335</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247646.21</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1323850.21</v>
      </c>
    </row>
    <row r="175" spans="1:7" ht="12" customHeight="1" x14ac:dyDescent="0.2">
      <c r="A175" s="1767"/>
      <c r="B175" s="1781"/>
      <c r="C175" s="1782"/>
      <c r="D175" s="1783" t="s">
        <v>2057</v>
      </c>
      <c r="E175" s="1784"/>
      <c r="F175" s="1786">
        <f>'PCTC-OEPP 27-28'!F77-F174</f>
        <v>4150930.79</v>
      </c>
    </row>
    <row r="176" spans="1:7" ht="12" customHeight="1" x14ac:dyDescent="0.2">
      <c r="A176" s="1767"/>
      <c r="B176" s="1781"/>
      <c r="C176" s="1782"/>
      <c r="D176" s="1783" t="s">
        <v>1817</v>
      </c>
      <c r="E176" s="1784"/>
      <c r="F176" s="1786">
        <f>'Cap Outlay Deprec 26'!I18</f>
        <v>149125</v>
      </c>
    </row>
    <row r="177" spans="1:7" ht="12" customHeight="1" x14ac:dyDescent="0.2">
      <c r="A177" s="1767"/>
      <c r="B177" s="1781"/>
      <c r="C177" s="1782"/>
      <c r="D177" s="1783" t="s">
        <v>2058</v>
      </c>
      <c r="E177" s="1784"/>
      <c r="F177" s="1786">
        <f>F175+F176</f>
        <v>4300055.79</v>
      </c>
    </row>
    <row r="178" spans="1:7" ht="12" customHeight="1" x14ac:dyDescent="0.2">
      <c r="A178" s="1767"/>
      <c r="B178" s="1787"/>
      <c r="C178" s="1782"/>
      <c r="D178" s="1783" t="str">
        <f>D78</f>
        <v>9 Month ADA from District Average Daily Attendance/Prior General State Aid Inquiry 2018-2019</v>
      </c>
      <c r="E178" s="1784"/>
      <c r="F178" s="1788">
        <f>'PCTC-OEPP 27-28'!F78</f>
        <v>509.5</v>
      </c>
      <c r="G178" s="927"/>
    </row>
    <row r="179" spans="1:7" ht="12" customHeight="1" thickBot="1" x14ac:dyDescent="0.25">
      <c r="A179" s="1767"/>
      <c r="B179" s="1787"/>
      <c r="C179" s="1782"/>
      <c r="D179" s="1783" t="s">
        <v>2059</v>
      </c>
      <c r="E179" s="1784" t="s">
        <v>1545</v>
      </c>
      <c r="F179" s="1789">
        <f>F177/F178</f>
        <v>8439.7562119725226</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F28" sqref="F28"/>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92" t="s">
        <v>1818</v>
      </c>
      <c r="B4" s="2293"/>
      <c r="C4" s="2293"/>
      <c r="D4" s="2293"/>
      <c r="E4" s="2293"/>
      <c r="F4" s="2293"/>
      <c r="G4" s="2294"/>
    </row>
    <row r="5" spans="1:7" x14ac:dyDescent="0.25">
      <c r="A5" s="2295"/>
      <c r="B5" s="2296"/>
      <c r="C5" s="2296"/>
      <c r="D5" s="2296"/>
      <c r="E5" s="2296"/>
      <c r="F5" s="2296"/>
      <c r="G5" s="2297"/>
    </row>
    <row r="6" spans="1:7" ht="18.75" x14ac:dyDescent="0.25">
      <c r="A6" s="1531" t="s">
        <v>1819</v>
      </c>
      <c r="B6" s="1532"/>
      <c r="C6" s="1532"/>
      <c r="D6" s="1532"/>
      <c r="E6" s="1532"/>
      <c r="F6" s="1532"/>
      <c r="G6" s="1533"/>
    </row>
    <row r="7" spans="1:7" ht="30.75" customHeight="1" x14ac:dyDescent="0.25">
      <c r="A7" s="2298" t="s">
        <v>1932</v>
      </c>
      <c r="B7" s="2299"/>
      <c r="C7" s="2299"/>
      <c r="D7" s="2299"/>
      <c r="E7" s="2299"/>
      <c r="F7" s="2299"/>
      <c r="G7" s="2300"/>
    </row>
    <row r="8" spans="1:7" ht="15.75" customHeight="1" x14ac:dyDescent="0.25">
      <c r="A8" s="2301" t="s">
        <v>1907</v>
      </c>
      <c r="B8" s="2302"/>
      <c r="C8" s="2302"/>
      <c r="D8" s="2302"/>
      <c r="E8" s="2302"/>
      <c r="F8" s="2302"/>
      <c r="G8" s="2303"/>
    </row>
    <row r="9" spans="1:7" ht="35.25" customHeight="1" x14ac:dyDescent="0.25">
      <c r="A9" s="2298" t="s">
        <v>1935</v>
      </c>
      <c r="B9" s="2299"/>
      <c r="C9" s="2299"/>
      <c r="D9" s="2299"/>
      <c r="E9" s="2299"/>
      <c r="F9" s="2299"/>
      <c r="G9" s="2300"/>
    </row>
    <row r="10" spans="1:7" ht="15" customHeight="1" x14ac:dyDescent="0.25">
      <c r="A10" s="1534" t="s">
        <v>1820</v>
      </c>
      <c r="B10" s="1535"/>
      <c r="C10" s="1535"/>
      <c r="D10" s="1535"/>
      <c r="E10" s="1535"/>
      <c r="F10" s="1535"/>
      <c r="G10" s="1536"/>
    </row>
    <row r="11" spans="1:7" ht="17.25" customHeight="1" x14ac:dyDescent="0.25">
      <c r="A11" s="2298" t="s">
        <v>1934</v>
      </c>
      <c r="B11" s="2299"/>
      <c r="C11" s="2299"/>
      <c r="D11" s="2299"/>
      <c r="E11" s="2299"/>
      <c r="F11" s="2299"/>
      <c r="G11" s="2300"/>
    </row>
    <row r="12" spans="1:7" ht="15" customHeight="1" x14ac:dyDescent="0.25">
      <c r="A12" s="1534" t="s">
        <v>1825</v>
      </c>
      <c r="B12" s="1535"/>
      <c r="C12" s="1535"/>
      <c r="D12" s="1535"/>
      <c r="E12" s="1535"/>
      <c r="F12" s="1535"/>
      <c r="G12" s="1536"/>
    </row>
    <row r="13" spans="1:7" ht="32.25" customHeight="1" x14ac:dyDescent="0.25">
      <c r="A13" s="2289" t="s">
        <v>1976</v>
      </c>
      <c r="B13" s="2290"/>
      <c r="C13" s="2290"/>
      <c r="D13" s="2290"/>
      <c r="E13" s="2290"/>
      <c r="F13" s="2290"/>
      <c r="G13" s="2291"/>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60" t="s">
        <v>2133</v>
      </c>
      <c r="B17" s="1935" t="s">
        <v>2084</v>
      </c>
      <c r="C17" s="1936" t="s">
        <v>2085</v>
      </c>
      <c r="D17" s="1841">
        <v>25151</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151</v>
      </c>
      <c r="H17" s="1644"/>
    </row>
    <row r="18" spans="1:8" x14ac:dyDescent="0.25">
      <c r="A18" s="1960" t="s">
        <v>2134</v>
      </c>
      <c r="B18" s="1935" t="s">
        <v>2086</v>
      </c>
      <c r="C18" s="1936" t="s">
        <v>2087</v>
      </c>
      <c r="D18" s="1841">
        <v>26412</v>
      </c>
      <c r="E18" s="1537">
        <f t="shared" ref="E18:E140" si="2">IF(D18&lt;=25000,D18,IF(D18&gt;25000,25000,0))</f>
        <v>25000</v>
      </c>
      <c r="F18" s="1929">
        <f t="shared" si="1"/>
        <v>25000</v>
      </c>
      <c r="G18" s="1790">
        <f t="shared" ref="G18:G140" si="3">IF(F18=0,0,D18-F18)</f>
        <v>1412</v>
      </c>
    </row>
    <row r="19" spans="1:8" x14ac:dyDescent="0.25">
      <c r="A19" s="1960" t="s">
        <v>2130</v>
      </c>
      <c r="B19" s="1959" t="s">
        <v>1824</v>
      </c>
      <c r="C19" s="1936" t="s">
        <v>2088</v>
      </c>
      <c r="D19" s="1841">
        <v>174075</v>
      </c>
      <c r="E19" s="1537">
        <f t="shared" si="2"/>
        <v>25000</v>
      </c>
      <c r="F19" s="1929">
        <f t="shared" si="1"/>
        <v>25000</v>
      </c>
      <c r="G19" s="1790">
        <f t="shared" si="3"/>
        <v>149075</v>
      </c>
    </row>
    <row r="20" spans="1:8" x14ac:dyDescent="0.25">
      <c r="A20" s="1960" t="s">
        <v>2131</v>
      </c>
      <c r="B20" s="1959" t="s">
        <v>2128</v>
      </c>
      <c r="C20" s="1961" t="s">
        <v>2099</v>
      </c>
      <c r="D20" s="1841">
        <v>33054</v>
      </c>
      <c r="E20" s="1537">
        <f t="shared" si="2"/>
        <v>25000</v>
      </c>
      <c r="F20" s="1929">
        <f t="shared" si="1"/>
        <v>25000</v>
      </c>
      <c r="G20" s="1790">
        <f t="shared" si="3"/>
        <v>8054</v>
      </c>
    </row>
    <row r="21" spans="1:8" x14ac:dyDescent="0.25">
      <c r="A21" s="1960" t="s">
        <v>2135</v>
      </c>
      <c r="B21" s="1935" t="s">
        <v>2089</v>
      </c>
      <c r="C21" s="1936" t="s">
        <v>2090</v>
      </c>
      <c r="D21" s="1841">
        <v>200296</v>
      </c>
      <c r="E21" s="1537">
        <f t="shared" si="2"/>
        <v>25000</v>
      </c>
      <c r="F21" s="1929">
        <f t="shared" si="1"/>
        <v>25000</v>
      </c>
      <c r="G21" s="1790">
        <f t="shared" si="3"/>
        <v>175296</v>
      </c>
    </row>
    <row r="22" spans="1:8" x14ac:dyDescent="0.25">
      <c r="A22" s="1960" t="s">
        <v>2136</v>
      </c>
      <c r="B22" s="1935" t="s">
        <v>2091</v>
      </c>
      <c r="C22" s="1936" t="s">
        <v>2092</v>
      </c>
      <c r="D22" s="1841">
        <v>32863</v>
      </c>
      <c r="E22" s="1537">
        <f t="shared" si="2"/>
        <v>25000</v>
      </c>
      <c r="F22" s="1929">
        <f t="shared" si="1"/>
        <v>25000</v>
      </c>
      <c r="G22" s="1790">
        <f t="shared" si="3"/>
        <v>7863</v>
      </c>
    </row>
    <row r="23" spans="1:8" x14ac:dyDescent="0.25">
      <c r="A23" s="1960" t="s">
        <v>2130</v>
      </c>
      <c r="B23" s="1959" t="s">
        <v>1824</v>
      </c>
      <c r="C23" s="1936" t="s">
        <v>2093</v>
      </c>
      <c r="D23" s="1841">
        <v>27674</v>
      </c>
      <c r="E23" s="1537">
        <f t="shared" si="2"/>
        <v>25000</v>
      </c>
      <c r="F23" s="1929">
        <f t="shared" si="1"/>
        <v>25000</v>
      </c>
      <c r="G23" s="1790">
        <f t="shared" si="3"/>
        <v>2674</v>
      </c>
    </row>
    <row r="24" spans="1:8" x14ac:dyDescent="0.25">
      <c r="A24" s="1960" t="s">
        <v>2134</v>
      </c>
      <c r="B24" s="1935" t="s">
        <v>2086</v>
      </c>
      <c r="C24" s="1936" t="s">
        <v>2094</v>
      </c>
      <c r="D24" s="1841">
        <v>95545</v>
      </c>
      <c r="E24" s="1537">
        <f t="shared" si="2"/>
        <v>25000</v>
      </c>
      <c r="F24" s="1929">
        <f t="shared" si="1"/>
        <v>25000</v>
      </c>
      <c r="G24" s="1790">
        <f t="shared" si="3"/>
        <v>70545</v>
      </c>
    </row>
    <row r="25" spans="1:8" x14ac:dyDescent="0.25">
      <c r="A25" s="1960" t="s">
        <v>2132</v>
      </c>
      <c r="B25" s="1959" t="s">
        <v>2126</v>
      </c>
      <c r="C25" s="1936" t="s">
        <v>2095</v>
      </c>
      <c r="D25" s="1841">
        <v>25047</v>
      </c>
      <c r="E25" s="1537">
        <f t="shared" si="2"/>
        <v>25000</v>
      </c>
      <c r="F25" s="1929">
        <f t="shared" si="1"/>
        <v>25000</v>
      </c>
      <c r="G25" s="1790">
        <f t="shared" si="3"/>
        <v>47</v>
      </c>
    </row>
    <row r="26" spans="1:8" x14ac:dyDescent="0.25">
      <c r="A26" s="1960" t="s">
        <v>2137</v>
      </c>
      <c r="B26" s="1959" t="s">
        <v>2127</v>
      </c>
      <c r="C26" s="1961" t="s">
        <v>2098</v>
      </c>
      <c r="D26" s="1841">
        <v>145993</v>
      </c>
      <c r="E26" s="1537">
        <f t="shared" si="2"/>
        <v>25000</v>
      </c>
      <c r="F26" s="1929">
        <f t="shared" si="1"/>
        <v>25000</v>
      </c>
      <c r="G26" s="1790">
        <f t="shared" si="3"/>
        <v>120993</v>
      </c>
    </row>
    <row r="27" spans="1:8" x14ac:dyDescent="0.25">
      <c r="A27" s="1962" t="s">
        <v>2145</v>
      </c>
      <c r="B27" s="1959" t="s">
        <v>2129</v>
      </c>
      <c r="C27" s="1936" t="s">
        <v>2096</v>
      </c>
      <c r="D27" s="1841">
        <v>40500</v>
      </c>
      <c r="E27" s="1537">
        <f t="shared" si="2"/>
        <v>25000</v>
      </c>
      <c r="F27" s="1929">
        <f t="shared" si="1"/>
        <v>25000</v>
      </c>
      <c r="G27" s="1790">
        <f t="shared" si="3"/>
        <v>15500</v>
      </c>
    </row>
    <row r="28" spans="1:8" x14ac:dyDescent="0.25">
      <c r="A28" s="1960" t="s">
        <v>2135</v>
      </c>
      <c r="B28" s="1935" t="s">
        <v>2089</v>
      </c>
      <c r="C28" s="1936" t="s">
        <v>2097</v>
      </c>
      <c r="D28" s="1841">
        <v>46846</v>
      </c>
      <c r="E28" s="1537">
        <f t="shared" si="2"/>
        <v>25000</v>
      </c>
      <c r="F28" s="1929">
        <f t="shared" si="1"/>
        <v>25000</v>
      </c>
      <c r="G28" s="1790">
        <f t="shared" si="3"/>
        <v>21846</v>
      </c>
    </row>
    <row r="29" spans="1:8" x14ac:dyDescent="0.25">
      <c r="A29" s="1934"/>
      <c r="B29" s="1935"/>
      <c r="C29" s="1936"/>
      <c r="D29" s="1841"/>
      <c r="E29" s="1537">
        <f t="shared" si="2"/>
        <v>0</v>
      </c>
      <c r="F29" s="1929">
        <f t="shared" si="1"/>
        <v>0</v>
      </c>
      <c r="G29" s="1790">
        <f t="shared" si="3"/>
        <v>0</v>
      </c>
    </row>
    <row r="30" spans="1:8" x14ac:dyDescent="0.25">
      <c r="A30" s="1960"/>
      <c r="B30" s="1959"/>
      <c r="C30" s="1961"/>
      <c r="D30" s="1841"/>
      <c r="E30" s="1537">
        <f t="shared" si="2"/>
        <v>0</v>
      </c>
      <c r="F30" s="1929">
        <f t="shared" si="1"/>
        <v>0</v>
      </c>
      <c r="G30" s="1790">
        <f t="shared" si="3"/>
        <v>0</v>
      </c>
    </row>
    <row r="31" spans="1:8" x14ac:dyDescent="0.25">
      <c r="A31" s="1960"/>
      <c r="B31" s="1959"/>
      <c r="C31" s="196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873456</v>
      </c>
      <c r="E141" s="1538">
        <f t="shared" si="0"/>
        <v>25000</v>
      </c>
      <c r="F141" s="1930">
        <f>SUM(F17:F140)</f>
        <v>300000</v>
      </c>
      <c r="G141" s="1792">
        <f>SUM(G17:G140)</f>
        <v>573456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4" t="s">
        <v>1679</v>
      </c>
      <c r="B5" s="2305"/>
      <c r="C5" s="2305"/>
      <c r="D5" s="2305"/>
      <c r="E5" s="2305"/>
      <c r="F5" s="2305"/>
      <c r="G5" s="2306"/>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133856</v>
      </c>
      <c r="F10" s="971"/>
      <c r="G10" s="972"/>
      <c r="H10" s="162"/>
      <c r="I10" s="162"/>
    </row>
    <row r="11" spans="1:9" s="665" customFormat="1" ht="22.5" customHeight="1" x14ac:dyDescent="0.2">
      <c r="A11" s="2309" t="s">
        <v>1977</v>
      </c>
      <c r="B11" s="2310"/>
      <c r="C11" s="2310"/>
      <c r="D11" s="2311"/>
      <c r="E11" s="974">
        <v>25692</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3690328</v>
      </c>
      <c r="F19" s="1796"/>
      <c r="G19" s="1798">
        <f>'Expenditures 15-22'!K33-SUM('Expenditures 15-22'!G33,'Expenditures 15-22'!I33)+'Expenditures 15-22'!D229</f>
        <v>3690328</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82283</v>
      </c>
      <c r="F21" s="1799"/>
      <c r="G21" s="1802">
        <f>'Expenditures 15-22'!K42-SUM('Expenditures 15-22'!G42,'Expenditures 15-22'!I42)+'Expenditures 15-22'!K120-SUM('Expenditures 15-22'!G120,'Expenditures 15-22'!I120)+'Expenditures 15-22'!K180-SUM('Expenditures 15-22'!G180,'Expenditures 15-22'!I180)+'Expenditures 15-22'!D238</f>
        <v>82283</v>
      </c>
      <c r="H21" s="984"/>
      <c r="I21" s="162"/>
    </row>
    <row r="22" spans="1:9" s="665" customFormat="1" ht="12" customHeight="1" x14ac:dyDescent="0.2">
      <c r="A22" s="991" t="s">
        <v>564</v>
      </c>
      <c r="B22" s="992"/>
      <c r="C22" s="990">
        <v>2200</v>
      </c>
      <c r="D22" s="1799"/>
      <c r="E22" s="1801">
        <f>'Expenditures 15-22'!K47-SUM('Expenditures 15-22'!G47,'Expenditures 15-22'!I47)+'Expenditures 15-22'!D243</f>
        <v>55289</v>
      </c>
      <c r="F22" s="1799"/>
      <c r="G22" s="1802">
        <f>'Expenditures 15-22'!K47-SUM('Expenditures 15-22'!G47,'Expenditures 15-22'!I47)+'Expenditures 15-22'!D243</f>
        <v>55289</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402038</v>
      </c>
      <c r="F23" s="1799"/>
      <c r="G23" s="1801">
        <f>'Expenditures 15-22'!K53-SUM('Expenditures 15-22'!G53,'Expenditures 15-22'!I53)+'Expenditures 15-22'!D257+'Expenditures 15-22'!K330-SUM('Expenditures 15-22'!G330,'Expenditures 15-22'!I330)</f>
        <v>402038</v>
      </c>
      <c r="H23" s="984"/>
      <c r="I23" s="162"/>
    </row>
    <row r="24" spans="1:9" s="665" customFormat="1" ht="12" customHeight="1" x14ac:dyDescent="0.2">
      <c r="A24" s="991" t="s">
        <v>566</v>
      </c>
      <c r="B24" s="992"/>
      <c r="C24" s="990">
        <v>2400</v>
      </c>
      <c r="D24" s="1799"/>
      <c r="E24" s="1801">
        <f>'Expenditures 15-22'!K57-SUM('Expenditures 15-22'!G57,'Expenditures 15-22'!I57)+'Expenditures 15-22'!D261</f>
        <v>306699</v>
      </c>
      <c r="F24" s="1799"/>
      <c r="G24" s="1802">
        <f>'Expenditures 15-22'!K57-SUM('Expenditures 15-22'!G57,'Expenditures 15-22'!I57)+'Expenditures 15-22'!D261</f>
        <v>306699</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87325</v>
      </c>
      <c r="E27" s="1801">
        <f>E8</f>
        <v>0</v>
      </c>
      <c r="F27" s="1801">
        <f>'Expenditures 15-22'!K60-SUM('Expenditures 15-22'!G60,'Expenditures 15-22'!I60)+'Expenditures 15-22'!D264-E8</f>
        <v>87325</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418155</v>
      </c>
      <c r="F28" s="1803">
        <f>'Expenditures 15-22'!K61-SUM('Expenditures 15-22'!G61,'Expenditures 15-22'!I61)+'Expenditures 15-22'!K124-SUM('Expenditures 15-22'!G124,'Expenditures 15-22'!I124)+'Expenditures 15-22'!D266-E9</f>
        <v>418155</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378454</v>
      </c>
      <c r="F29" s="1799"/>
      <c r="G29" s="1802">
        <f>'Expenditures 15-22'!K62-SUM('Expenditures 15-22'!G62,'Expenditures 15-22'!I62)+'Expenditures 15-22'!K125-SUM('Expenditures 15-22'!G125,'Expenditures 15-22'!I125)+'Expenditures 15-22'!K182-SUM('Expenditures 15-22'!G182,'Expenditures 15-22'!I182)+'Expenditures 15-22'!D267</f>
        <v>378454</v>
      </c>
      <c r="H29" s="982"/>
    </row>
    <row r="30" spans="1:9" ht="12" customHeight="1" x14ac:dyDescent="0.2">
      <c r="A30" s="991" t="s">
        <v>100</v>
      </c>
      <c r="B30" s="994"/>
      <c r="C30" s="990">
        <v>2560</v>
      </c>
      <c r="D30" s="1799"/>
      <c r="E30" s="1801">
        <f>'Expenditures 15-22'!K63-SUM('Expenditures 15-22'!G63,'Expenditures 15-22'!I63)+'Expenditures 15-22'!D268-E10</f>
        <v>227071</v>
      </c>
      <c r="F30" s="1799"/>
      <c r="G30" s="1801">
        <f>'Expenditures 15-22'!K63-SUM('Expenditures 15-22'!G63,'Expenditures 15-22'!I63)+'Expenditures 15-22'!D268-E10</f>
        <v>227071</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2496</v>
      </c>
      <c r="F39" s="1799"/>
      <c r="G39" s="1801">
        <f>'Expenditures 15-22'!K75-SUM('Expenditures 15-22'!G75,'Expenditures 15-22'!I75)+'Expenditures 15-22'!K130-SUM('Expenditures 15-22'!G130,'Expenditures 15-22'!I130)+'Expenditures 15-22'!K185-SUM('Expenditures 15-22'!G185,'Expenditures 15-22'!I185)+'Expenditures 15-22'!D280</f>
        <v>2496</v>
      </c>
    </row>
    <row r="40" spans="1:7" ht="12" customHeight="1" x14ac:dyDescent="0.2">
      <c r="A40" s="987" t="s">
        <v>1823</v>
      </c>
      <c r="B40" s="988"/>
      <c r="C40" s="990"/>
      <c r="D40" s="1799"/>
      <c r="E40" s="1803">
        <f>-'Contracts Paid in CY 29'!G141</f>
        <v>-573456</v>
      </c>
      <c r="F40" s="1799"/>
      <c r="G40" s="1803">
        <f>-'Contracts Paid in CY 29'!G141</f>
        <v>-573456</v>
      </c>
    </row>
    <row r="41" spans="1:7" ht="12" customHeight="1" x14ac:dyDescent="0.2">
      <c r="A41" s="995" t="s">
        <v>156</v>
      </c>
      <c r="B41" s="996"/>
      <c r="C41" s="997"/>
      <c r="D41" s="1803">
        <f>SUM(D19:D39)</f>
        <v>87325</v>
      </c>
      <c r="E41" s="1803">
        <f>SUM(E19:E40)</f>
        <v>4989357</v>
      </c>
      <c r="F41" s="1803">
        <f>SUM(F19:F39)</f>
        <v>505480</v>
      </c>
      <c r="G41" s="1803">
        <f>SUM(G19:G40)</f>
        <v>4571202</v>
      </c>
    </row>
    <row r="42" spans="1:7" x14ac:dyDescent="0.2">
      <c r="A42" s="984"/>
      <c r="B42" s="162"/>
      <c r="C42" s="998"/>
      <c r="D42" s="2307" t="s">
        <v>522</v>
      </c>
      <c r="E42" s="2308"/>
      <c r="F42" s="999" t="s">
        <v>523</v>
      </c>
      <c r="G42" s="1000"/>
    </row>
    <row r="43" spans="1:7" ht="12" customHeight="1" x14ac:dyDescent="0.2">
      <c r="A43" s="984"/>
      <c r="B43" s="162"/>
      <c r="C43" s="998"/>
      <c r="D43" s="1804" t="s">
        <v>473</v>
      </c>
      <c r="E43" s="1805">
        <f>D41</f>
        <v>87325</v>
      </c>
      <c r="F43" s="1804" t="s">
        <v>473</v>
      </c>
      <c r="G43" s="1805">
        <f>F41</f>
        <v>505480</v>
      </c>
    </row>
    <row r="44" spans="1:7" ht="12" customHeight="1" x14ac:dyDescent="0.2">
      <c r="A44" s="984"/>
      <c r="B44" s="162"/>
      <c r="C44" s="998"/>
      <c r="D44" s="1804" t="s">
        <v>474</v>
      </c>
      <c r="E44" s="1805">
        <f>E41</f>
        <v>4989357</v>
      </c>
      <c r="F44" s="1804" t="s">
        <v>474</v>
      </c>
      <c r="G44" s="1805">
        <f>G41</f>
        <v>4571202</v>
      </c>
    </row>
    <row r="45" spans="1:7" ht="12" customHeight="1" x14ac:dyDescent="0.2">
      <c r="A45" s="984"/>
      <c r="B45" s="162"/>
      <c r="C45" s="162"/>
      <c r="D45" s="1806" t="s">
        <v>1006</v>
      </c>
      <c r="E45" s="1807">
        <f>(E43/E44)</f>
        <v>1.7502255300632926E-2</v>
      </c>
      <c r="F45" s="1806" t="s">
        <v>1006</v>
      </c>
      <c r="G45" s="1807">
        <f>(G43/G44)</f>
        <v>0.11057923058311578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6" t="s">
        <v>1379</v>
      </c>
      <c r="B1" s="2326"/>
      <c r="C1" s="2326"/>
      <c r="D1" s="2326"/>
      <c r="E1" s="2326"/>
      <c r="F1" s="2326"/>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27" t="s">
        <v>1546</v>
      </c>
      <c r="B5" s="2328"/>
      <c r="C5" s="2329"/>
      <c r="D5" s="2329"/>
      <c r="E5" s="2329"/>
      <c r="F5" s="2329"/>
    </row>
    <row r="6" spans="1:10" ht="12" customHeight="1" x14ac:dyDescent="0.25">
      <c r="A6" s="1847"/>
      <c r="B6" s="1848"/>
      <c r="C6" s="2330" t="str">
        <f>COVER!A17</f>
        <v>Creve Coeur SD 76</v>
      </c>
      <c r="D6" s="2330"/>
      <c r="E6" s="2330"/>
      <c r="F6" s="1849"/>
    </row>
    <row r="7" spans="1:10" ht="11.25" customHeight="1" thickBot="1" x14ac:dyDescent="0.3">
      <c r="A7" s="1847"/>
      <c r="B7" s="1848"/>
      <c r="C7" s="2331">
        <f>COVER!A13</f>
        <v>53090076002</v>
      </c>
      <c r="D7" s="2331"/>
      <c r="E7" s="2331"/>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2083</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5</v>
      </c>
      <c r="I34" s="1875">
        <f>SUM(I11:I32)</f>
        <v>5</v>
      </c>
      <c r="J34" s="1875">
        <f>SUM(J11:J32)</f>
        <v>0</v>
      </c>
      <c r="K34" s="1875">
        <f>SUM(H34:J34)</f>
        <v>10</v>
      </c>
    </row>
    <row r="35" spans="1:11" ht="12" customHeight="1" x14ac:dyDescent="0.2">
      <c r="A35" s="1868" t="s">
        <v>1392</v>
      </c>
      <c r="B35" s="1869"/>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70"/>
      <c r="B39" s="1870"/>
      <c r="C39" s="1870"/>
      <c r="D39" s="1870"/>
      <c r="E39" s="1870"/>
      <c r="F39" s="1870"/>
    </row>
    <row r="40" spans="1:11" s="1867" customFormat="1" ht="12" customHeight="1" x14ac:dyDescent="0.25">
      <c r="A40" s="1871" t="s">
        <v>1391</v>
      </c>
      <c r="B40" s="1872"/>
      <c r="C40" s="2321"/>
      <c r="D40" s="2321"/>
      <c r="E40" s="2321"/>
      <c r="F40" s="2322"/>
      <c r="H40" s="1876"/>
      <c r="I40" s="1876"/>
      <c r="J40" s="1876"/>
      <c r="K40" s="1876"/>
    </row>
    <row r="41" spans="1:11" s="1867" customFormat="1" ht="12" customHeight="1" x14ac:dyDescent="0.25">
      <c r="A41" s="2323"/>
      <c r="B41" s="2324"/>
      <c r="C41" s="2324"/>
      <c r="D41" s="2324"/>
      <c r="E41" s="2324"/>
      <c r="F41" s="2325"/>
      <c r="H41" s="1876"/>
      <c r="I41" s="1876"/>
      <c r="J41" s="1876"/>
      <c r="K41" s="1876"/>
    </row>
    <row r="42" spans="1:11" s="1867" customFormat="1" ht="12" customHeight="1" x14ac:dyDescent="0.25">
      <c r="A42" s="2323"/>
      <c r="B42" s="2324"/>
      <c r="C42" s="2324"/>
      <c r="D42" s="2324"/>
      <c r="E42" s="2324"/>
      <c r="F42" s="2325"/>
      <c r="H42" s="1876"/>
      <c r="I42" s="1876"/>
      <c r="J42" s="1876"/>
      <c r="K42" s="1876"/>
    </row>
    <row r="43" spans="1:11" s="1867" customFormat="1" ht="15" x14ac:dyDescent="0.25">
      <c r="A43" s="2312"/>
      <c r="B43" s="2313"/>
      <c r="C43" s="2313"/>
      <c r="D43" s="2313"/>
      <c r="E43" s="2313"/>
      <c r="F43" s="2314"/>
      <c r="H43" s="1876"/>
      <c r="I43" s="1876"/>
      <c r="J43" s="1876"/>
      <c r="K43" s="1876"/>
    </row>
    <row r="44" spans="1:11" s="1867" customFormat="1" ht="12" hidden="1" customHeight="1" x14ac:dyDescent="0.25">
      <c r="A44" s="2312"/>
      <c r="B44" s="2313"/>
      <c r="C44" s="2313"/>
      <c r="D44" s="2313"/>
      <c r="E44" s="2313"/>
      <c r="F44" s="2314"/>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39" t="str">
        <f>COVER!A17</f>
        <v>Creve Coeur SD 76</v>
      </c>
      <c r="J6" s="2340"/>
      <c r="Q6" s="1661"/>
    </row>
    <row r="7" spans="1:17" x14ac:dyDescent="0.2">
      <c r="A7" s="2341" t="s">
        <v>869</v>
      </c>
      <c r="B7" s="2342"/>
      <c r="C7" s="2342"/>
      <c r="D7" s="2342"/>
      <c r="E7" s="2343"/>
      <c r="F7" s="1014"/>
      <c r="G7" s="1006"/>
      <c r="H7" s="1013" t="s">
        <v>372</v>
      </c>
      <c r="I7" s="2344">
        <f>COVER!A13</f>
        <v>53090076002</v>
      </c>
      <c r="J7" s="2344"/>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5" t="s">
        <v>481</v>
      </c>
      <c r="B11" s="2346"/>
      <c r="C11" s="2347"/>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188554</v>
      </c>
      <c r="F12" s="1036"/>
      <c r="G12" s="1808">
        <f t="shared" ref="G12:G18" si="0">SUM(E12:F12)</f>
        <v>188554</v>
      </c>
      <c r="H12" s="1037">
        <v>197832</v>
      </c>
      <c r="I12" s="1036"/>
      <c r="J12" s="1808">
        <f t="shared" ref="J12:J18" si="1">SUM(H12:I12)</f>
        <v>197832</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48" t="s">
        <v>7</v>
      </c>
      <c r="C18" s="2349"/>
      <c r="D18" s="2350"/>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188554</v>
      </c>
      <c r="F19" s="1810">
        <f t="shared" si="2"/>
        <v>0</v>
      </c>
      <c r="G19" s="1810">
        <f t="shared" si="2"/>
        <v>188554</v>
      </c>
      <c r="H19" s="1810">
        <f t="shared" si="2"/>
        <v>197832</v>
      </c>
      <c r="I19" s="1810">
        <f t="shared" si="2"/>
        <v>0</v>
      </c>
      <c r="J19" s="1810">
        <f t="shared" si="2"/>
        <v>197832</v>
      </c>
    </row>
    <row r="20" spans="1:10" ht="13.5" thickTop="1" x14ac:dyDescent="0.2">
      <c r="A20" s="1032">
        <v>9</v>
      </c>
      <c r="B20" s="2351" t="s">
        <v>1981</v>
      </c>
      <c r="C20" s="2351"/>
      <c r="D20" s="2352"/>
      <c r="E20" s="1043"/>
      <c r="F20" s="1043"/>
      <c r="G20" s="1043"/>
      <c r="H20" s="1043"/>
      <c r="I20" s="1043"/>
      <c r="J20" s="1811">
        <f>IF(AND(G19&gt;0,J19&gt;0),(((J19-G19)/G19)),"Enter Budget Data")</f>
        <v>4.9206062984609181E-2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7"/>
      <c r="D26" s="2357"/>
      <c r="E26" s="1047"/>
      <c r="F26" s="2356"/>
      <c r="G26" s="2356"/>
    </row>
    <row r="27" spans="1:10" x14ac:dyDescent="0.2">
      <c r="B27" s="1044"/>
      <c r="C27" s="1048" t="s">
        <v>1033</v>
      </c>
      <c r="D27" s="1049"/>
      <c r="E27" s="1050"/>
      <c r="F27" s="2353" t="s">
        <v>1509</v>
      </c>
      <c r="G27" s="2353"/>
    </row>
    <row r="28" spans="1:10" ht="28.5" customHeight="1" x14ac:dyDescent="0.2">
      <c r="B28" s="1044"/>
      <c r="C28" s="2355"/>
      <c r="D28" s="2355"/>
      <c r="E28" s="1051"/>
      <c r="F28" s="2355"/>
      <c r="G28" s="2355"/>
    </row>
    <row r="29" spans="1:10" x14ac:dyDescent="0.2">
      <c r="B29" s="1044"/>
      <c r="C29" s="1052" t="s">
        <v>1561</v>
      </c>
      <c r="E29" s="1053"/>
      <c r="F29" s="2354" t="s">
        <v>1510</v>
      </c>
      <c r="G29" s="2354"/>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6" t="s">
        <v>132</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59"/>
    </row>
    <row r="36" spans="1:10" ht="13.5" customHeight="1" x14ac:dyDescent="0.2">
      <c r="B36" s="1058"/>
      <c r="C36" s="2338" t="s">
        <v>1983</v>
      </c>
      <c r="D36" s="2337"/>
      <c r="E36" s="2337"/>
      <c r="F36" s="2337"/>
      <c r="G36" s="2337"/>
      <c r="H36" s="2337"/>
      <c r="I36" s="2337"/>
      <c r="J36" s="1060"/>
    </row>
    <row r="37" spans="1:10" ht="22.5" customHeight="1" x14ac:dyDescent="0.2">
      <c r="C37" s="2337"/>
      <c r="D37" s="2337"/>
      <c r="E37" s="2337"/>
      <c r="F37" s="2337"/>
      <c r="G37" s="2337"/>
      <c r="H37" s="2337"/>
      <c r="I37" s="2337"/>
      <c r="J37" s="1060"/>
    </row>
    <row r="38" spans="1:10" ht="7.5" customHeight="1" x14ac:dyDescent="0.2">
      <c r="C38" s="1059"/>
      <c r="D38" s="1061"/>
      <c r="E38" s="1062"/>
      <c r="F38" s="1063"/>
      <c r="G38" s="1062"/>
    </row>
    <row r="39" spans="1:10" ht="13.5" customHeight="1" x14ac:dyDescent="0.2">
      <c r="B39" s="1058"/>
      <c r="C39" s="2334" t="s">
        <v>882</v>
      </c>
      <c r="D39" s="2335"/>
      <c r="E39" s="2335"/>
      <c r="F39" s="2335"/>
      <c r="G39" s="2335"/>
      <c r="H39" s="2335"/>
      <c r="I39" s="2335"/>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2138</v>
      </c>
    </row>
    <row r="6" spans="1:2" x14ac:dyDescent="0.2">
      <c r="A6" s="1065"/>
      <c r="B6" s="329" t="s">
        <v>2139</v>
      </c>
    </row>
    <row r="7" spans="1:2" x14ac:dyDescent="0.2">
      <c r="A7" s="1065"/>
      <c r="B7" s="329" t="s">
        <v>2140</v>
      </c>
    </row>
    <row r="8" spans="1:2" x14ac:dyDescent="0.2">
      <c r="A8" s="1065">
        <v>2</v>
      </c>
      <c r="B8" s="329" t="s">
        <v>2141</v>
      </c>
    </row>
    <row r="9" spans="1:2" x14ac:dyDescent="0.2">
      <c r="A9" s="1065">
        <v>3</v>
      </c>
      <c r="B9" s="329" t="s">
        <v>2142</v>
      </c>
    </row>
    <row r="10" spans="1:2" x14ac:dyDescent="0.2">
      <c r="A10" s="1065">
        <v>4</v>
      </c>
      <c r="B10" s="329" t="s">
        <v>2143</v>
      </c>
    </row>
    <row r="11" spans="1:2" x14ac:dyDescent="0.2">
      <c r="A11" s="1066">
        <v>5</v>
      </c>
      <c r="B11" s="329" t="s">
        <v>2144</v>
      </c>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row>
    <row r="66" spans="1:2" x14ac:dyDescent="0.2">
      <c r="A66" s="1066"/>
      <c r="B66" s="258" t="str">
        <f>COVER!A17</f>
        <v>Creve Coeur SD 76</v>
      </c>
    </row>
    <row r="67" spans="1:2" x14ac:dyDescent="0.2">
      <c r="B67" s="1067">
        <f>COVER!A13</f>
        <v>53090076002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8" t="s">
        <v>1685</v>
      </c>
      <c r="B18" s="235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1057275</xdr:colOff>
                <xdr:row>1</xdr:row>
                <xdr:rowOff>0</xdr:rowOff>
              </from>
              <to>
                <xdr:col>1</xdr:col>
                <xdr:colOff>1971675</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1690</v>
      </c>
      <c r="B1" s="2360"/>
      <c r="C1" s="2360"/>
      <c r="D1" s="2360"/>
      <c r="E1" s="2360"/>
      <c r="F1" s="2361"/>
    </row>
    <row r="2" spans="1:8" ht="45" customHeight="1" x14ac:dyDescent="0.2">
      <c r="A2" s="2369" t="s">
        <v>1987</v>
      </c>
      <c r="B2" s="2370"/>
      <c r="C2" s="2370"/>
      <c r="D2" s="2370"/>
      <c r="E2" s="2370"/>
      <c r="F2" s="2371"/>
      <c r="G2" s="1071"/>
      <c r="H2" s="1071"/>
    </row>
    <row r="3" spans="1:8" ht="57" customHeight="1" x14ac:dyDescent="0.2">
      <c r="A3" s="2372" t="s">
        <v>1686</v>
      </c>
      <c r="B3" s="2373"/>
      <c r="C3" s="2373"/>
      <c r="D3" s="2373"/>
      <c r="E3" s="2373"/>
      <c r="F3" s="2374"/>
      <c r="G3" s="1071"/>
      <c r="H3" s="1071"/>
    </row>
    <row r="4" spans="1:8" ht="14.25" customHeight="1" x14ac:dyDescent="0.2">
      <c r="A4" s="2378" t="s">
        <v>1988</v>
      </c>
      <c r="B4" s="2379"/>
      <c r="C4" s="2379"/>
      <c r="D4" s="2379"/>
      <c r="E4" s="2379"/>
      <c r="F4" s="2380"/>
      <c r="G4" s="1071"/>
      <c r="H4" s="1071"/>
    </row>
    <row r="5" spans="1:8" ht="14.25" customHeight="1" x14ac:dyDescent="0.2">
      <c r="A5" s="2381" t="s">
        <v>1984</v>
      </c>
      <c r="B5" s="2382"/>
      <c r="C5" s="2382"/>
      <c r="D5" s="2382"/>
      <c r="E5" s="2382"/>
      <c r="F5" s="2383"/>
      <c r="G5" s="1071"/>
      <c r="H5" s="1071"/>
    </row>
    <row r="6" spans="1:8" s="1072" customFormat="1" ht="41.25" customHeight="1" x14ac:dyDescent="0.2">
      <c r="A6" s="2375" t="s">
        <v>1691</v>
      </c>
      <c r="B6" s="2376"/>
      <c r="C6" s="2376"/>
      <c r="D6" s="2376"/>
      <c r="E6" s="2376"/>
      <c r="F6" s="2377"/>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5633230</v>
      </c>
      <c r="C8" s="1812">
        <f>'Acct Summary 7-8'!D8</f>
        <v>139232</v>
      </c>
      <c r="D8" s="1812">
        <f>'Acct Summary 7-8'!F8</f>
        <v>391906</v>
      </c>
      <c r="E8" s="1812">
        <f>'Acct Summary 7-8'!I8</f>
        <v>39411</v>
      </c>
      <c r="F8" s="1812">
        <f>SUM(B8:E8)</f>
        <v>6203779</v>
      </c>
    </row>
    <row r="9" spans="1:8" s="1076" customFormat="1" ht="14.25" customHeight="1" thickBot="1" x14ac:dyDescent="0.25">
      <c r="A9" s="1075" t="s">
        <v>1369</v>
      </c>
      <c r="B9" s="1813">
        <f>'Acct Summary 7-8'!C17</f>
        <v>5325925</v>
      </c>
      <c r="C9" s="1813">
        <f>'Acct Summary 7-8'!D17</f>
        <v>261057</v>
      </c>
      <c r="D9" s="1813">
        <f>'Acct Summary 7-8'!F17</f>
        <v>367654</v>
      </c>
      <c r="E9" s="1812"/>
      <c r="F9" s="1812">
        <f>SUM(B9:E9)</f>
        <v>5954636</v>
      </c>
    </row>
    <row r="10" spans="1:8" s="1076" customFormat="1" ht="14.25" thickTop="1" thickBot="1" x14ac:dyDescent="0.25">
      <c r="A10" s="1077" t="s">
        <v>1370</v>
      </c>
      <c r="B10" s="1814">
        <f>(B8-B9)</f>
        <v>307305</v>
      </c>
      <c r="C10" s="1814">
        <f>(C8-C9)</f>
        <v>-121825</v>
      </c>
      <c r="D10" s="1814">
        <f>(D8-D9)</f>
        <v>24252</v>
      </c>
      <c r="E10" s="1813">
        <f>(E8-E9)</f>
        <v>39411</v>
      </c>
      <c r="F10" s="1815">
        <f>SUM(F8-F9)</f>
        <v>249143</v>
      </c>
    </row>
    <row r="11" spans="1:8" s="1076" customFormat="1" ht="14.25" thickTop="1" thickBot="1" x14ac:dyDescent="0.25">
      <c r="A11" s="1078" t="s">
        <v>1985</v>
      </c>
      <c r="B11" s="1816">
        <f>'Acct Summary 7-8'!C81</f>
        <v>4257313</v>
      </c>
      <c r="C11" s="1816">
        <f>'Acct Summary 7-8'!D81</f>
        <v>875690</v>
      </c>
      <c r="D11" s="1816">
        <f>'Acct Summary 7-8'!F81</f>
        <v>115108</v>
      </c>
      <c r="E11" s="1816">
        <f>'Acct Summary 7-8'!I81</f>
        <v>863201</v>
      </c>
      <c r="F11" s="1817">
        <f>SUM(B11:E11)</f>
        <v>6111312</v>
      </c>
    </row>
    <row r="12" spans="1:8" ht="16.5" customHeight="1" thickTop="1" x14ac:dyDescent="0.2">
      <c r="A12" s="1079"/>
      <c r="B12" s="1080"/>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1"/>
      <c r="B13" s="1082"/>
      <c r="C13" s="2363"/>
      <c r="D13" s="2364"/>
      <c r="E13" s="2364"/>
      <c r="F13" s="2365"/>
      <c r="H13" s="1071"/>
    </row>
    <row r="14" spans="1:8" ht="19.5" customHeight="1" x14ac:dyDescent="0.2">
      <c r="A14" s="1081"/>
      <c r="B14" s="1082"/>
      <c r="C14" s="2363"/>
      <c r="D14" s="2364"/>
      <c r="E14" s="2364"/>
      <c r="F14" s="2365"/>
      <c r="H14" s="1071"/>
    </row>
    <row r="15" spans="1:8" ht="17.25" customHeight="1" x14ac:dyDescent="0.2">
      <c r="A15" s="1081"/>
      <c r="B15" s="1082"/>
      <c r="C15" s="2366"/>
      <c r="D15" s="2367"/>
      <c r="E15" s="2367"/>
      <c r="F15" s="2368"/>
      <c r="H15" s="1071"/>
    </row>
    <row r="16" spans="1:8" s="310" customFormat="1" ht="51.75" hidden="1" customHeight="1" x14ac:dyDescent="0.2">
      <c r="A16" s="2362" t="s">
        <v>1687</v>
      </c>
      <c r="B16" s="2362"/>
      <c r="C16" s="2362"/>
      <c r="D16" s="2362"/>
      <c r="E16" s="2362"/>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84" t="s">
        <v>665</v>
      </c>
      <c r="B3" s="2385"/>
      <c r="C3" s="2385"/>
      <c r="D3" s="2386"/>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5" t="s">
        <v>1504</v>
      </c>
      <c r="D7" s="2396"/>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7" t="s">
        <v>1008</v>
      </c>
      <c r="B15" s="2388"/>
      <c r="C15" s="2388"/>
      <c r="D15" s="2389"/>
    </row>
    <row r="16" spans="1:4" s="665" customFormat="1" ht="24" customHeight="1" x14ac:dyDescent="0.2">
      <c r="A16" s="2390" t="s">
        <v>663</v>
      </c>
      <c r="B16" s="2391"/>
      <c r="C16" s="2391"/>
      <c r="D16" s="2392"/>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9" t="s">
        <v>314</v>
      </c>
      <c r="D21" s="2400"/>
    </row>
    <row r="22" spans="1:10" ht="12.75" x14ac:dyDescent="0.2">
      <c r="A22" s="1136"/>
      <c r="B22" s="1137">
        <v>2</v>
      </c>
      <c r="C22" s="2397" t="s">
        <v>1524</v>
      </c>
      <c r="D22" s="2398"/>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01" t="s">
        <v>536</v>
      </c>
      <c r="D43" s="2402"/>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3" t="s">
        <v>784</v>
      </c>
      <c r="D56" s="2394"/>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93" t="s">
        <v>1696</v>
      </c>
      <c r="D70" s="2394"/>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53090076002</v>
      </c>
    </row>
    <row r="3" spans="1:2" x14ac:dyDescent="0.2">
      <c r="A3" t="s">
        <v>956</v>
      </c>
      <c r="B3" s="138" t="str">
        <f>COVER!A15</f>
        <v>Tazewell</v>
      </c>
    </row>
    <row r="4" spans="1:2" x14ac:dyDescent="0.2">
      <c r="A4" t="s">
        <v>1007</v>
      </c>
      <c r="B4" s="138" t="str">
        <f>COVER!A17</f>
        <v>Creve Coeur SD 76</v>
      </c>
    </row>
    <row r="5" spans="1:2" x14ac:dyDescent="0.2">
      <c r="A5" t="s">
        <v>704</v>
      </c>
      <c r="B5" s="138" t="str">
        <f>COVER!A38</f>
        <v>Tony Whiston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35855</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4260909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3596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3596</v>
      </c>
      <c r="C91" s="2" t="s">
        <v>573</v>
      </c>
      <c r="D91" s="2" t="str">
        <f t="shared" si="0"/>
        <v>Error?</v>
      </c>
    </row>
    <row r="92" spans="1:4" x14ac:dyDescent="0.2">
      <c r="A92" s="5">
        <v>31</v>
      </c>
      <c r="B92" s="138">
        <f>'Assets-Liab 5-6'!C39</f>
        <v>4248212</v>
      </c>
      <c r="D92" s="2" t="str">
        <f t="shared" si="0"/>
        <v>Error?</v>
      </c>
    </row>
    <row r="93" spans="1:4" x14ac:dyDescent="0.2">
      <c r="A93" s="5">
        <v>32</v>
      </c>
      <c r="B93" s="138">
        <f>'Assets-Liab 5-6'!C41</f>
        <v>4260909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875690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875690</v>
      </c>
      <c r="D123" s="2" t="str">
        <f t="shared" si="0"/>
        <v>Error?</v>
      </c>
    </row>
    <row r="124" spans="1:4" x14ac:dyDescent="0.2">
      <c r="A124" s="5">
        <v>63</v>
      </c>
      <c r="B124" s="138">
        <f>'Assets-Liab 5-6'!D41</f>
        <v>875690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143388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143388</v>
      </c>
      <c r="D140" s="2" t="str">
        <f t="shared" si="1"/>
        <v>Error?</v>
      </c>
    </row>
    <row r="141" spans="1:4" x14ac:dyDescent="0.2">
      <c r="A141" s="5">
        <v>80</v>
      </c>
      <c r="B141" s="138">
        <f>'Assets-Liab 5-6'!E41</f>
        <v>143388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115108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115108</v>
      </c>
      <c r="D170" s="2" t="str">
        <f t="shared" si="1"/>
        <v>Error?</v>
      </c>
    </row>
    <row r="171" spans="1:4" x14ac:dyDescent="0.2">
      <c r="A171" s="5">
        <v>110</v>
      </c>
      <c r="B171" s="138">
        <f>'Assets-Liab 5-6'!F41</f>
        <v>115108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459393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243656</v>
      </c>
      <c r="D189" s="2" t="str">
        <f t="shared" si="1"/>
        <v>Error?</v>
      </c>
    </row>
    <row r="190" spans="1:4" x14ac:dyDescent="0.2">
      <c r="A190" s="5">
        <v>129</v>
      </c>
      <c r="B190" s="138">
        <f>'Assets-Liab 5-6'!G41</f>
        <v>459393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119341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119341</v>
      </c>
      <c r="D212" s="2" t="str">
        <f t="shared" si="2"/>
        <v>Error?</v>
      </c>
    </row>
    <row r="213" spans="1:4" x14ac:dyDescent="0.2">
      <c r="A213" s="12">
        <v>152</v>
      </c>
      <c r="B213" s="138">
        <f>'Assets-Liab 5-6'!H41</f>
        <v>119341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37985</v>
      </c>
      <c r="D273" s="2" t="str">
        <f t="shared" si="3"/>
        <v>Error?</v>
      </c>
    </row>
    <row r="274" spans="1:4" x14ac:dyDescent="0.2">
      <c r="A274" s="5">
        <v>213</v>
      </c>
      <c r="B274" s="138">
        <f>'Assets-Liab 5-6'!M17</f>
        <v>6480030</v>
      </c>
      <c r="D274" s="2" t="str">
        <f t="shared" si="3"/>
        <v>Error?</v>
      </c>
    </row>
    <row r="275" spans="1:4" x14ac:dyDescent="0.2">
      <c r="A275" s="5">
        <v>214</v>
      </c>
      <c r="B275" s="138">
        <f>'Assets-Liab 5-6'!M18</f>
        <v>213906</v>
      </c>
      <c r="D275" s="2" t="str">
        <f t="shared" si="3"/>
        <v>Error?</v>
      </c>
    </row>
    <row r="276" spans="1:4" x14ac:dyDescent="0.2">
      <c r="A276" s="5">
        <v>215</v>
      </c>
      <c r="B276" s="138">
        <f>'Assets-Liab 5-6'!M19</f>
        <v>484327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7216248</v>
      </c>
      <c r="C279" s="2" t="s">
        <v>573</v>
      </c>
      <c r="D279" s="2" t="str">
        <f t="shared" si="3"/>
        <v>Error?</v>
      </c>
    </row>
    <row r="280" spans="1:4" x14ac:dyDescent="0.2">
      <c r="A280" s="5">
        <v>219</v>
      </c>
      <c r="B280" s="138">
        <f>'Assets-Liab 5-6'!M40</f>
        <v>7216248</v>
      </c>
      <c r="D280" s="2" t="str">
        <f t="shared" si="3"/>
        <v>Error?</v>
      </c>
    </row>
    <row r="281" spans="1:4" x14ac:dyDescent="0.2">
      <c r="A281" s="5">
        <v>220</v>
      </c>
      <c r="B281" s="138">
        <f>'Assets-Liab 5-6'!M41</f>
        <v>7216248</v>
      </c>
      <c r="C281" s="2" t="s">
        <v>573</v>
      </c>
      <c r="D281" s="2" t="str">
        <f t="shared" si="3"/>
        <v>Error?</v>
      </c>
    </row>
    <row r="282" spans="1:4" x14ac:dyDescent="0.2">
      <c r="A282" s="5">
        <v>221</v>
      </c>
      <c r="B282" s="138">
        <f>'Assets-Liab 5-6'!N21</f>
        <v>143388</v>
      </c>
      <c r="D282" s="2" t="str">
        <f t="shared" si="3"/>
        <v>Error?</v>
      </c>
    </row>
    <row r="283" spans="1:4" x14ac:dyDescent="0.2">
      <c r="A283" s="5">
        <v>222</v>
      </c>
      <c r="B283" s="138">
        <f>'Assets-Liab 5-6'!N22</f>
        <v>468612</v>
      </c>
      <c r="D283" s="2" t="str">
        <f t="shared" si="3"/>
        <v>Error?</v>
      </c>
    </row>
    <row r="284" spans="1:4" x14ac:dyDescent="0.2">
      <c r="A284" s="5">
        <v>223</v>
      </c>
      <c r="B284" s="138">
        <f>'Assets-Liab 5-6'!N23</f>
        <v>612000</v>
      </c>
      <c r="C284" s="2" t="s">
        <v>573</v>
      </c>
      <c r="D284" s="2" t="str">
        <f t="shared" si="3"/>
        <v>Error?</v>
      </c>
    </row>
    <row r="285" spans="1:4" x14ac:dyDescent="0.2">
      <c r="A285" s="5">
        <v>224</v>
      </c>
      <c r="B285" s="138">
        <f>'Assets-Liab 5-6'!N36</f>
        <v>612000</v>
      </c>
      <c r="D285" s="2" t="str">
        <f t="shared" si="3"/>
        <v>Error?</v>
      </c>
    </row>
    <row r="286" spans="1:4" x14ac:dyDescent="0.2">
      <c r="A286" s="10">
        <v>225</v>
      </c>
      <c r="D286" s="2" t="str">
        <f t="shared" si="3"/>
        <v>OK</v>
      </c>
    </row>
    <row r="287" spans="1:4" x14ac:dyDescent="0.2">
      <c r="A287" s="5">
        <v>226</v>
      </c>
      <c r="B287" s="138">
        <f>'Assets-Liab 5-6'!N37</f>
        <v>612000</v>
      </c>
      <c r="C287" s="2" t="s">
        <v>573</v>
      </c>
      <c r="D287" s="2" t="str">
        <f t="shared" si="3"/>
        <v>Error?</v>
      </c>
    </row>
    <row r="288" spans="1:4" x14ac:dyDescent="0.2">
      <c r="A288" s="5">
        <v>227</v>
      </c>
      <c r="B288" s="138">
        <f>'Assets-Liab 5-6'!N41</f>
        <v>612000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1540862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31584</v>
      </c>
      <c r="D718" s="2" t="str">
        <f t="shared" si="10"/>
        <v>Error?</v>
      </c>
    </row>
    <row r="719" spans="1:4" x14ac:dyDescent="0.2">
      <c r="A719" s="5">
        <v>658</v>
      </c>
      <c r="B719" s="138">
        <f>'Expenditures 15-22'!C15</f>
        <v>19890</v>
      </c>
      <c r="D719" s="2" t="str">
        <f t="shared" si="10"/>
        <v>Error?</v>
      </c>
    </row>
    <row r="720" spans="1:4" x14ac:dyDescent="0.2">
      <c r="A720" s="5">
        <v>659</v>
      </c>
      <c r="B720" s="138">
        <f>'Expenditures 15-22'!C33</f>
        <v>2476910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17750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17750</v>
      </c>
      <c r="C727" s="2" t="s">
        <v>573</v>
      </c>
      <c r="D727" s="2" t="str">
        <f t="shared" si="10"/>
        <v>Error?</v>
      </c>
    </row>
    <row r="728" spans="1:4" x14ac:dyDescent="0.2">
      <c r="A728" s="5">
        <v>667</v>
      </c>
      <c r="B728" s="138">
        <f>'Expenditures 15-22'!C44</f>
        <v>2563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2563</v>
      </c>
      <c r="C731" s="2" t="s">
        <v>573</v>
      </c>
      <c r="D731" s="2" t="str">
        <f t="shared" si="10"/>
        <v>Error?</v>
      </c>
    </row>
    <row r="732" spans="1:4" x14ac:dyDescent="0.2">
      <c r="A732" s="5">
        <v>671</v>
      </c>
      <c r="B732" s="138">
        <f>'Expenditures 15-22'!C49</f>
        <v>2750</v>
      </c>
      <c r="D732" s="2" t="str">
        <f t="shared" si="10"/>
        <v>Error?</v>
      </c>
    </row>
    <row r="733" spans="1:4" x14ac:dyDescent="0.2">
      <c r="A733" s="5">
        <v>672</v>
      </c>
      <c r="B733" s="138">
        <f>'Expenditures 15-22'!C50</f>
        <v>150651</v>
      </c>
      <c r="D733" s="2" t="str">
        <f t="shared" si="10"/>
        <v>Error?</v>
      </c>
    </row>
    <row r="734" spans="1:4" x14ac:dyDescent="0.2">
      <c r="A734" s="5">
        <v>673</v>
      </c>
      <c r="B734" s="138">
        <f>'Expenditures 15-22'!C53</f>
        <v>153401</v>
      </c>
      <c r="C734" s="2" t="s">
        <v>573</v>
      </c>
      <c r="D734" s="2" t="str">
        <f t="shared" si="10"/>
        <v>Error?</v>
      </c>
    </row>
    <row r="735" spans="1:4" x14ac:dyDescent="0.2">
      <c r="A735" s="5">
        <v>674</v>
      </c>
      <c r="B735" s="138">
        <f>'Expenditures 15-22'!C55</f>
        <v>247364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247364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57877</v>
      </c>
      <c r="D739" s="2" t="str">
        <f t="shared" si="10"/>
        <v>Error?</v>
      </c>
    </row>
    <row r="740" spans="1:4" x14ac:dyDescent="0.2">
      <c r="A740" s="5">
        <v>679</v>
      </c>
      <c r="B740" s="138">
        <f>'Expenditures 15-22'!C61</f>
        <v>192167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165658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415702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836780</v>
      </c>
      <c r="C755" s="2" t="s">
        <v>573</v>
      </c>
      <c r="D755" s="2" t="str">
        <f t="shared" si="10"/>
        <v>Error?</v>
      </c>
    </row>
    <row r="756" spans="1:4" x14ac:dyDescent="0.2">
      <c r="A756" s="5">
        <v>695</v>
      </c>
      <c r="B756" s="138">
        <f>'Expenditures 15-22'!C75</f>
        <v>1085</v>
      </c>
      <c r="D756" s="2" t="str">
        <f t="shared" si="10"/>
        <v>Error?</v>
      </c>
    </row>
    <row r="757" spans="1:4" x14ac:dyDescent="0.2">
      <c r="A757" s="5">
        <v>696</v>
      </c>
      <c r="B757" s="138">
        <f>'Expenditures 15-22'!C114</f>
        <v>3314775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492420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2757</v>
      </c>
      <c r="D776" s="2" t="str">
        <f t="shared" si="11"/>
        <v>Error?</v>
      </c>
    </row>
    <row r="777" spans="1:4" x14ac:dyDescent="0.2">
      <c r="A777" s="5">
        <v>716</v>
      </c>
      <c r="B777" s="138">
        <f>'Expenditures 15-22'!D15</f>
        <v>3046</v>
      </c>
      <c r="D777" s="2" t="str">
        <f t="shared" si="11"/>
        <v>Error?</v>
      </c>
    </row>
    <row r="778" spans="1:4" x14ac:dyDescent="0.2">
      <c r="A778" s="5">
        <v>717</v>
      </c>
      <c r="B778" s="138">
        <f>'Expenditures 15-22'!D33</f>
        <v>722039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3738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3738</v>
      </c>
      <c r="C785" s="2" t="s">
        <v>573</v>
      </c>
      <c r="D785" s="2" t="str">
        <f t="shared" si="11"/>
        <v>Error?</v>
      </c>
    </row>
    <row r="786" spans="1:4" x14ac:dyDescent="0.2">
      <c r="A786" s="5">
        <v>725</v>
      </c>
      <c r="B786" s="138">
        <f>'Expenditures 15-22'!D44</f>
        <v>181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27281</v>
      </c>
      <c r="D791" s="2" t="str">
        <f t="shared" si="11"/>
        <v>Error?</v>
      </c>
    </row>
    <row r="792" spans="1:4" x14ac:dyDescent="0.2">
      <c r="A792" s="5">
        <v>731</v>
      </c>
      <c r="B792" s="138">
        <f>'Expenditures 15-22'!D53</f>
        <v>27281</v>
      </c>
      <c r="C792" s="2" t="s">
        <v>573</v>
      </c>
      <c r="D792" s="2" t="str">
        <f t="shared" si="11"/>
        <v>Error?</v>
      </c>
    </row>
    <row r="793" spans="1:4" x14ac:dyDescent="0.2">
      <c r="A793" s="5">
        <v>732</v>
      </c>
      <c r="B793" s="138">
        <f>'Expenditures 15-22'!D55</f>
        <v>39243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39243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15429</v>
      </c>
      <c r="D797" s="2" t="str">
        <f t="shared" si="11"/>
        <v>Error?</v>
      </c>
    </row>
    <row r="798" spans="1:4" x14ac:dyDescent="0.2">
      <c r="A798" s="5">
        <v>737</v>
      </c>
      <c r="B798" s="138">
        <f>'Expenditures 15-22'!D61</f>
        <v>18122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12155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45706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116149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838188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98851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3880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110424</v>
      </c>
      <c r="C836" s="2" t="s">
        <v>573</v>
      </c>
      <c r="D836" s="2" t="str">
        <f t="shared" si="12"/>
        <v>Error?</v>
      </c>
    </row>
    <row r="837" spans="1:4" x14ac:dyDescent="0.2">
      <c r="A837" s="5">
        <v>776</v>
      </c>
      <c r="B837" s="138">
        <f>'Expenditures 15-22'!E36</f>
        <v>6180</v>
      </c>
      <c r="D837" s="2" t="str">
        <f t="shared" si="12"/>
        <v>Error?</v>
      </c>
    </row>
    <row r="838" spans="1:4" x14ac:dyDescent="0.2">
      <c r="A838" s="5">
        <v>777</v>
      </c>
      <c r="B838" s="138">
        <f>'Expenditures 15-22'!E37</f>
        <v>45000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257</v>
      </c>
      <c r="D842" s="2" t="str">
        <f t="shared" si="12"/>
        <v>Error?</v>
      </c>
    </row>
    <row r="843" spans="1:4" x14ac:dyDescent="0.2">
      <c r="A843" s="5">
        <v>782</v>
      </c>
      <c r="B843" s="138">
        <f>'Expenditures 15-22'!E42</f>
        <v>51437</v>
      </c>
      <c r="C843" s="2" t="s">
        <v>573</v>
      </c>
      <c r="D843" s="2" t="str">
        <f t="shared" si="12"/>
        <v>Error?</v>
      </c>
    </row>
    <row r="844" spans="1:4" x14ac:dyDescent="0.2">
      <c r="A844" s="5">
        <v>783</v>
      </c>
      <c r="B844" s="138">
        <f>'Expenditures 15-22'!E44</f>
        <v>42245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8563</v>
      </c>
      <c r="D846" s="2" t="str">
        <f t="shared" si="12"/>
        <v>Error?</v>
      </c>
    </row>
    <row r="847" spans="1:4" x14ac:dyDescent="0.2">
      <c r="A847" s="5">
        <v>786</v>
      </c>
      <c r="B847" s="138">
        <f>'Expenditures 15-22'!E47</f>
        <v>50808</v>
      </c>
      <c r="C847" s="2" t="s">
        <v>573</v>
      </c>
      <c r="D847" s="2" t="str">
        <f t="shared" si="12"/>
        <v>Error?</v>
      </c>
    </row>
    <row r="848" spans="1:4" x14ac:dyDescent="0.2">
      <c r="A848" s="5">
        <v>787</v>
      </c>
      <c r="B848" s="138">
        <f>'Expenditures 15-22'!E49</f>
        <v>40452</v>
      </c>
      <c r="D848" s="2" t="str">
        <f t="shared" si="12"/>
        <v>Error?</v>
      </c>
    </row>
    <row r="849" spans="1:4" x14ac:dyDescent="0.2">
      <c r="A849" s="5">
        <v>788</v>
      </c>
      <c r="B849" s="138">
        <f>'Expenditures 15-22'!E50</f>
        <v>3918</v>
      </c>
      <c r="D849" s="2" t="str">
        <f t="shared" si="12"/>
        <v>Error?</v>
      </c>
    </row>
    <row r="850" spans="1:4" x14ac:dyDescent="0.2">
      <c r="A850" s="5">
        <v>789</v>
      </c>
      <c r="B850" s="138">
        <f>'Expenditures 15-22'!E53</f>
        <v>44370</v>
      </c>
      <c r="C850" s="2" t="s">
        <v>573</v>
      </c>
      <c r="D850" s="2" t="str">
        <f t="shared" si="12"/>
        <v>Error?</v>
      </c>
    </row>
    <row r="851" spans="1:4" x14ac:dyDescent="0.2">
      <c r="A851" s="5">
        <v>790</v>
      </c>
      <c r="B851" s="138">
        <f>'Expenditures 15-22'!E55</f>
        <v>2236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2236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4770</v>
      </c>
      <c r="D855" s="2" t="str">
        <f t="shared" si="12"/>
        <v>Error?</v>
      </c>
    </row>
    <row r="856" spans="1:4" x14ac:dyDescent="0.2">
      <c r="A856" s="5">
        <v>795</v>
      </c>
      <c r="B856" s="138">
        <f>'Expenditures 15-22'!E61</f>
        <v>4015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7366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16151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165002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437037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73497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1307</v>
      </c>
      <c r="D892" s="2" t="str">
        <f t="shared" si="12"/>
        <v>Error?</v>
      </c>
    </row>
    <row r="893" spans="1:4" x14ac:dyDescent="0.2">
      <c r="A893" s="5">
        <v>832</v>
      </c>
      <c r="B893" s="138">
        <f>'Expenditures 15-22'!F15</f>
        <v>4900</v>
      </c>
      <c r="D893" s="2" t="str">
        <f t="shared" si="12"/>
        <v>Error?</v>
      </c>
    </row>
    <row r="894" spans="1:4" x14ac:dyDescent="0.2">
      <c r="A894" s="5">
        <v>833</v>
      </c>
      <c r="B894" s="138">
        <f>'Expenditures 15-22'!F33</f>
        <v>92415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1942</v>
      </c>
      <c r="D899" s="2" t="str">
        <f t="shared" si="13"/>
        <v>Error?</v>
      </c>
    </row>
    <row r="900" spans="1:4" x14ac:dyDescent="0.2">
      <c r="A900" s="5">
        <v>839</v>
      </c>
      <c r="B900" s="138">
        <f>'Expenditures 15-22'!F41</f>
        <v>4146</v>
      </c>
      <c r="D900" s="2" t="str">
        <f t="shared" si="13"/>
        <v>Error?</v>
      </c>
    </row>
    <row r="901" spans="1:4" x14ac:dyDescent="0.2">
      <c r="A901" s="5">
        <v>840</v>
      </c>
      <c r="B901" s="138">
        <f>'Expenditures 15-22'!F42</f>
        <v>6611</v>
      </c>
      <c r="C901" s="2" t="s">
        <v>573</v>
      </c>
      <c r="D901" s="2" t="str">
        <f t="shared" si="13"/>
        <v>Error?</v>
      </c>
    </row>
    <row r="902" spans="1:4" x14ac:dyDescent="0.2">
      <c r="A902" s="5">
        <v>841</v>
      </c>
      <c r="B902" s="138">
        <f>'Expenditures 15-22'!F44</f>
        <v>444</v>
      </c>
      <c r="D902" s="2" t="str">
        <f t="shared" si="13"/>
        <v>Error?</v>
      </c>
    </row>
    <row r="903" spans="1:4" x14ac:dyDescent="0.2">
      <c r="A903" s="5">
        <v>842</v>
      </c>
      <c r="B903" s="138">
        <f>'Expenditures 15-22'!F45</f>
        <v>1256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1700</v>
      </c>
      <c r="C905" s="2" t="s">
        <v>573</v>
      </c>
      <c r="D905" s="2" t="str">
        <f t="shared" si="13"/>
        <v>Error?</v>
      </c>
    </row>
    <row r="906" spans="1:4" x14ac:dyDescent="0.2">
      <c r="A906" s="5">
        <v>845</v>
      </c>
      <c r="B906" s="138">
        <f>'Expenditures 15-22'!F49</f>
        <v>1913</v>
      </c>
      <c r="D906" s="2" t="str">
        <f t="shared" si="13"/>
        <v>Error?</v>
      </c>
    </row>
    <row r="907" spans="1:4" x14ac:dyDescent="0.2">
      <c r="A907" s="5">
        <v>846</v>
      </c>
      <c r="B907" s="138">
        <f>'Expenditures 15-22'!F50</f>
        <v>2345</v>
      </c>
      <c r="D907" s="2" t="str">
        <f t="shared" si="13"/>
        <v>Error?</v>
      </c>
    </row>
    <row r="908" spans="1:4" x14ac:dyDescent="0.2">
      <c r="A908" s="5">
        <v>847</v>
      </c>
      <c r="B908" s="138">
        <f>'Expenditures 15-22'!F53</f>
        <v>4258</v>
      </c>
      <c r="C908" s="2" t="s">
        <v>573</v>
      </c>
      <c r="D908" s="2" t="str">
        <f t="shared" si="13"/>
        <v>Error?</v>
      </c>
    </row>
    <row r="909" spans="1:4" x14ac:dyDescent="0.2">
      <c r="A909" s="5">
        <v>848</v>
      </c>
      <c r="B909" s="138">
        <f>'Expenditures 15-22'!F55</f>
        <v>2834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2834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66792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149265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216057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231460</v>
      </c>
      <c r="C929" s="2" t="s">
        <v>573</v>
      </c>
      <c r="D929" s="2" t="str">
        <f t="shared" si="13"/>
        <v>Error?</v>
      </c>
    </row>
    <row r="930" spans="1:4" x14ac:dyDescent="0.2">
      <c r="A930" s="5">
        <v>869</v>
      </c>
      <c r="B930" s="138">
        <f>'Expenditures 15-22'!F75</f>
        <v>1237</v>
      </c>
      <c r="D930" s="2" t="str">
        <f t="shared" si="13"/>
        <v>Error?</v>
      </c>
    </row>
    <row r="931" spans="1:4" x14ac:dyDescent="0.2">
      <c r="A931" s="5">
        <v>870</v>
      </c>
      <c r="B931" s="138">
        <f>'Expenditures 15-22'!F114</f>
        <v>325112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18888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20276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2316</v>
      </c>
      <c r="D965" s="2" t="str">
        <f t="shared" si="14"/>
        <v>Error?</v>
      </c>
    </row>
    <row r="966" spans="1:4" x14ac:dyDescent="0.2">
      <c r="A966" s="5">
        <v>905</v>
      </c>
      <c r="B966" s="138">
        <f>'Expenditures 15-22'!G53</f>
        <v>2316</v>
      </c>
      <c r="C966" s="2" t="s">
        <v>573</v>
      </c>
      <c r="D966" s="2" t="str">
        <f t="shared" si="14"/>
        <v>Error?</v>
      </c>
    </row>
    <row r="967" spans="1:4" x14ac:dyDescent="0.2">
      <c r="A967" s="5">
        <v>906</v>
      </c>
      <c r="B967" s="138">
        <f>'Expenditures 15-22'!G55</f>
        <v>4632</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4632</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677</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16585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17262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24210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44486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679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221493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3276</v>
      </c>
      <c r="D1022" s="2" t="str">
        <f t="shared" si="14"/>
        <v>Error?</v>
      </c>
    </row>
    <row r="1023" spans="1:4" x14ac:dyDescent="0.2">
      <c r="A1023" s="5">
        <v>962</v>
      </c>
      <c r="B1023" s="138">
        <f>'Expenditures 15-22'!H50</f>
        <v>2043</v>
      </c>
      <c r="D1023" s="2" t="str">
        <f t="shared" ref="D1023:D1086" si="15">IF(ISBLANK(B1023),"OK",IF(A1023-B1023=0,"OK","Error?"))</f>
        <v>Error?</v>
      </c>
    </row>
    <row r="1024" spans="1:4" x14ac:dyDescent="0.2">
      <c r="A1024" s="5">
        <v>963</v>
      </c>
      <c r="B1024" s="138">
        <f>'Expenditures 15-22'!H53</f>
        <v>5319</v>
      </c>
      <c r="C1024" s="2" t="s">
        <v>573</v>
      </c>
      <c r="D1024" s="2" t="str">
        <f t="shared" si="15"/>
        <v>Error?</v>
      </c>
    </row>
    <row r="1025" spans="1:4" x14ac:dyDescent="0.2">
      <c r="A1025" s="5">
        <v>964</v>
      </c>
      <c r="B1025" s="138">
        <f>'Expenditures 15-22'!H55</f>
        <v>780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780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6144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138690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366327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2225197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40131</v>
      </c>
      <c r="C1106" s="2" t="s">
        <v>573</v>
      </c>
      <c r="D1106" s="2" t="str">
        <f t="shared" si="16"/>
        <v>Error?</v>
      </c>
    </row>
    <row r="1107" spans="1:4" x14ac:dyDescent="0.2">
      <c r="A1107" s="5">
        <v>1046</v>
      </c>
      <c r="B1107" s="138">
        <f>'Expenditures 15-22'!K15</f>
        <v>27836</v>
      </c>
      <c r="C1107" s="2" t="s">
        <v>573</v>
      </c>
      <c r="D1107" s="2" t="str">
        <f t="shared" si="16"/>
        <v>Error?</v>
      </c>
    </row>
    <row r="1108" spans="1:4" x14ac:dyDescent="0.2">
      <c r="A1108" s="5">
        <v>1047</v>
      </c>
      <c r="B1108" s="138">
        <f>'Expenditures 15-22'!K33</f>
        <v>3643557</v>
      </c>
      <c r="C1108" s="2" t="s">
        <v>573</v>
      </c>
      <c r="D1108" s="2" t="str">
        <f t="shared" si="16"/>
        <v>Error?</v>
      </c>
    </row>
    <row r="1109" spans="1:4" x14ac:dyDescent="0.2">
      <c r="A1109" s="5">
        <v>1048</v>
      </c>
      <c r="B1109" s="138">
        <f>'Expenditures 15-22'!K36</f>
        <v>6180</v>
      </c>
      <c r="C1109" s="2" t="s">
        <v>573</v>
      </c>
      <c r="D1109" s="2" t="str">
        <f t="shared" si="16"/>
        <v>Error?</v>
      </c>
    </row>
    <row r="1110" spans="1:4" x14ac:dyDescent="0.2">
      <c r="A1110" s="5">
        <v>1049</v>
      </c>
      <c r="B1110" s="138">
        <f>'Expenditures 15-22'!K37</f>
        <v>45000</v>
      </c>
      <c r="C1110" s="2" t="s">
        <v>573</v>
      </c>
      <c r="D1110" s="2" t="str">
        <f t="shared" si="16"/>
        <v>Error?</v>
      </c>
    </row>
    <row r="1111" spans="1:4" x14ac:dyDescent="0.2">
      <c r="A1111" s="5">
        <v>1050</v>
      </c>
      <c r="B1111" s="138">
        <f>'Expenditures 15-22'!K38</f>
        <v>22011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1942</v>
      </c>
      <c r="C1113" s="2" t="s">
        <v>573</v>
      </c>
      <c r="D1113" s="2" t="str">
        <f t="shared" si="16"/>
        <v>Error?</v>
      </c>
    </row>
    <row r="1114" spans="1:4" x14ac:dyDescent="0.2">
      <c r="A1114" s="5">
        <v>1053</v>
      </c>
      <c r="B1114" s="138">
        <f>'Expenditures 15-22'!K41</f>
        <v>4403</v>
      </c>
      <c r="C1114" s="2" t="s">
        <v>573</v>
      </c>
      <c r="D1114" s="2" t="str">
        <f t="shared" si="16"/>
        <v>Error?</v>
      </c>
    </row>
    <row r="1115" spans="1:4" x14ac:dyDescent="0.2">
      <c r="A1115" s="5">
        <v>1054</v>
      </c>
      <c r="B1115" s="138">
        <f>'Expenditures 15-22'!K42</f>
        <v>79536</v>
      </c>
      <c r="C1115" s="2" t="s">
        <v>573</v>
      </c>
      <c r="D1115" s="2" t="str">
        <f t="shared" si="16"/>
        <v>Error?</v>
      </c>
    </row>
    <row r="1116" spans="1:4" x14ac:dyDescent="0.2">
      <c r="A1116" s="5">
        <v>1055</v>
      </c>
      <c r="B1116" s="138">
        <f>'Expenditures 15-22'!K44</f>
        <v>45433</v>
      </c>
      <c r="C1116" s="2" t="s">
        <v>573</v>
      </c>
      <c r="D1116" s="2" t="str">
        <f t="shared" si="16"/>
        <v>Error?</v>
      </c>
    </row>
    <row r="1117" spans="1:4" x14ac:dyDescent="0.2">
      <c r="A1117" s="5">
        <v>1056</v>
      </c>
      <c r="B1117" s="138">
        <f>'Expenditures 15-22'!K45</f>
        <v>1256</v>
      </c>
      <c r="C1117" s="2" t="s">
        <v>573</v>
      </c>
      <c r="D1117" s="2" t="str">
        <f t="shared" si="16"/>
        <v>Error?</v>
      </c>
    </row>
    <row r="1118" spans="1:4" x14ac:dyDescent="0.2">
      <c r="A1118" s="5">
        <v>1057</v>
      </c>
      <c r="B1118" s="138">
        <f>'Expenditures 15-22'!K46</f>
        <v>8563</v>
      </c>
      <c r="C1118" s="2" t="s">
        <v>573</v>
      </c>
      <c r="D1118" s="2" t="str">
        <f t="shared" si="16"/>
        <v>Error?</v>
      </c>
    </row>
    <row r="1119" spans="1:4" x14ac:dyDescent="0.2">
      <c r="A1119" s="5">
        <v>1058</v>
      </c>
      <c r="B1119" s="138">
        <f>'Expenditures 15-22'!K47</f>
        <v>55252</v>
      </c>
      <c r="C1119" s="2" t="s">
        <v>573</v>
      </c>
      <c r="D1119" s="2" t="str">
        <f t="shared" si="16"/>
        <v>Error?</v>
      </c>
    </row>
    <row r="1120" spans="1:4" x14ac:dyDescent="0.2">
      <c r="A1120" s="5">
        <v>1059</v>
      </c>
      <c r="B1120" s="138">
        <f>'Expenditures 15-22'!K49</f>
        <v>48391</v>
      </c>
      <c r="C1120" s="2" t="s">
        <v>573</v>
      </c>
      <c r="D1120" s="2" t="str">
        <f t="shared" si="16"/>
        <v>Error?</v>
      </c>
    </row>
    <row r="1121" spans="1:4" x14ac:dyDescent="0.2">
      <c r="A1121" s="5">
        <v>1060</v>
      </c>
      <c r="B1121" s="138">
        <f>'Expenditures 15-22'!K50</f>
        <v>188554</v>
      </c>
      <c r="C1121" s="2" t="s">
        <v>573</v>
      </c>
      <c r="D1121" s="2" t="str">
        <f t="shared" si="16"/>
        <v>Error?</v>
      </c>
    </row>
    <row r="1122" spans="1:4" x14ac:dyDescent="0.2">
      <c r="A1122" s="5">
        <v>1061</v>
      </c>
      <c r="B1122" s="138">
        <f>'Expenditures 15-22'!K53</f>
        <v>236945</v>
      </c>
      <c r="C1122" s="2" t="s">
        <v>573</v>
      </c>
      <c r="D1122" s="2" t="str">
        <f t="shared" si="16"/>
        <v>Error?</v>
      </c>
    </row>
    <row r="1123" spans="1:4" x14ac:dyDescent="0.2">
      <c r="A1123" s="5">
        <v>1062</v>
      </c>
      <c r="B1123" s="138">
        <f>'Expenditures 15-22'!K55</f>
        <v>297089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297089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78753</v>
      </c>
      <c r="C1127" s="2" t="s">
        <v>573</v>
      </c>
      <c r="D1127" s="2" t="str">
        <f t="shared" si="16"/>
        <v>Error?</v>
      </c>
    </row>
    <row r="1128" spans="1:4" x14ac:dyDescent="0.2">
      <c r="A1128" s="5">
        <v>1067</v>
      </c>
      <c r="B1128" s="138">
        <f>'Expenditures 15-22'!K61</f>
        <v>281096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351074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710923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1379745</v>
      </c>
      <c r="C1143" s="2" t="s">
        <v>573</v>
      </c>
      <c r="D1143" s="2" t="str">
        <f t="shared" si="16"/>
        <v>Error?</v>
      </c>
    </row>
    <row r="1144" spans="1:4" x14ac:dyDescent="0.2">
      <c r="A1144" s="5">
        <v>1083</v>
      </c>
      <c r="B1144" s="138">
        <f>'Expenditures 15-22'!K75</f>
        <v>2322</v>
      </c>
      <c r="C1144" s="2" t="s">
        <v>573</v>
      </c>
      <c r="D1144" s="2" t="str">
        <f t="shared" si="16"/>
        <v>Error?</v>
      </c>
    </row>
    <row r="1145" spans="1:4" x14ac:dyDescent="0.2">
      <c r="A1145" s="5">
        <v>1084</v>
      </c>
      <c r="B1145" s="138">
        <f>'Expenditures 15-22'!K102</f>
        <v>300301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5325925</v>
      </c>
      <c r="C1152" s="2" t="s">
        <v>573</v>
      </c>
      <c r="D1152" s="2" t="str">
        <f t="shared" si="17"/>
        <v>Error?</v>
      </c>
    </row>
    <row r="1153" spans="1:4" x14ac:dyDescent="0.2">
      <c r="A1153" s="5">
        <v>1092</v>
      </c>
      <c r="B1153" s="138">
        <f>'Expenditures 15-22'!K115</f>
        <v>307305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61880</v>
      </c>
      <c r="D1237" s="2" t="str">
        <f t="shared" si="18"/>
        <v>Error?</v>
      </c>
    </row>
    <row r="1238" spans="1:4" x14ac:dyDescent="0.2">
      <c r="A1238" s="10">
        <v>1177</v>
      </c>
      <c r="D1238" s="2" t="str">
        <f t="shared" si="18"/>
        <v>OK</v>
      </c>
    </row>
    <row r="1239" spans="1:4" x14ac:dyDescent="0.2">
      <c r="A1239" s="5">
        <v>1178</v>
      </c>
      <c r="B1239" s="138">
        <f>'Expenditures 15-22'!E127</f>
        <v>61880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61880</v>
      </c>
      <c r="C1241" s="2" t="s">
        <v>573</v>
      </c>
      <c r="D1241" s="2" t="str">
        <f t="shared" si="18"/>
        <v>Error?</v>
      </c>
    </row>
    <row r="1242" spans="1:4" x14ac:dyDescent="0.2">
      <c r="A1242" s="5">
        <v>1181</v>
      </c>
      <c r="B1242" s="138">
        <f>'Expenditures 15-22'!E151</f>
        <v>61880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44944</v>
      </c>
      <c r="D1245" s="2" t="str">
        <f t="shared" si="18"/>
        <v>Error?</v>
      </c>
    </row>
    <row r="1246" spans="1:4" x14ac:dyDescent="0.2">
      <c r="A1246" s="10">
        <v>1185</v>
      </c>
      <c r="D1246" s="2" t="str">
        <f t="shared" si="18"/>
        <v>OK</v>
      </c>
    </row>
    <row r="1247" spans="1:4" x14ac:dyDescent="0.2">
      <c r="A1247" s="5">
        <v>1186</v>
      </c>
      <c r="B1247" s="138">
        <f>'Expenditures 15-22'!F127</f>
        <v>44944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44944</v>
      </c>
      <c r="C1249" s="2" t="s">
        <v>573</v>
      </c>
      <c r="D1249" s="2" t="str">
        <f t="shared" si="18"/>
        <v>Error?</v>
      </c>
    </row>
    <row r="1250" spans="1:4" x14ac:dyDescent="0.2">
      <c r="A1250" s="5">
        <v>1189</v>
      </c>
      <c r="B1250" s="138">
        <f>'Expenditures 15-22'!F151</f>
        <v>44944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154233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154233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154233</v>
      </c>
      <c r="C1258" s="2" t="s">
        <v>573</v>
      </c>
      <c r="D1258" s="2" t="str">
        <f t="shared" si="18"/>
        <v>Error?</v>
      </c>
    </row>
    <row r="1259" spans="1:4" x14ac:dyDescent="0.2">
      <c r="A1259" s="5">
        <v>1198</v>
      </c>
      <c r="B1259" s="138">
        <f>'Expenditures 15-22'!G151</f>
        <v>154233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261057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261057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261057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261057</v>
      </c>
      <c r="C1288" s="2" t="s">
        <v>573</v>
      </c>
      <c r="D1288" s="2" t="str">
        <f t="shared" si="19"/>
        <v>Error?</v>
      </c>
    </row>
    <row r="1289" spans="1:4" x14ac:dyDescent="0.2">
      <c r="A1289" s="5">
        <v>1228</v>
      </c>
      <c r="B1289" s="138">
        <f>'Expenditures 15-22'!K152</f>
        <v>-121825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350</v>
      </c>
      <c r="D1307" s="2" t="str">
        <f t="shared" si="19"/>
        <v>Error?</v>
      </c>
    </row>
    <row r="1308" spans="1:4" x14ac:dyDescent="0.2">
      <c r="A1308" s="5">
        <v>1247</v>
      </c>
      <c r="B1308" s="138">
        <f>'Expenditures 15-22'!E172</f>
        <v>350</v>
      </c>
      <c r="C1308" s="2" t="s">
        <v>573</v>
      </c>
      <c r="D1308" s="2" t="str">
        <f t="shared" si="19"/>
        <v>Error?</v>
      </c>
    </row>
    <row r="1309" spans="1:4" x14ac:dyDescent="0.2">
      <c r="A1309" s="5">
        <v>1248</v>
      </c>
      <c r="B1309" s="138">
        <f>'Expenditures 15-22'!E174</f>
        <v>350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16673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211673</v>
      </c>
      <c r="C1317" s="2" t="s">
        <v>573</v>
      </c>
      <c r="D1317" s="2" t="str">
        <f t="shared" si="19"/>
        <v>Error?</v>
      </c>
    </row>
    <row r="1318" spans="1:4" x14ac:dyDescent="0.2">
      <c r="A1318" s="5">
        <v>1257</v>
      </c>
      <c r="B1318" s="138">
        <f>'Expenditures 15-22'!H174</f>
        <v>211673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16673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195000</v>
      </c>
      <c r="C1329" s="2" t="s">
        <v>573</v>
      </c>
      <c r="D1329" s="2" t="str">
        <f t="shared" si="19"/>
        <v>Error?</v>
      </c>
    </row>
    <row r="1330" spans="1:4" x14ac:dyDescent="0.2">
      <c r="A1330" s="5">
        <v>1269</v>
      </c>
      <c r="B1330" s="138">
        <f>'Expenditures 15-22'!K171</f>
        <v>350</v>
      </c>
      <c r="C1330" s="2" t="s">
        <v>573</v>
      </c>
      <c r="D1330" s="2" t="str">
        <f t="shared" si="19"/>
        <v>Error?</v>
      </c>
    </row>
    <row r="1331" spans="1:4" x14ac:dyDescent="0.2">
      <c r="A1331" s="5">
        <v>1270</v>
      </c>
      <c r="B1331" s="138">
        <f>'Expenditures 15-22'!K172</f>
        <v>212023</v>
      </c>
      <c r="C1331" s="2" t="s">
        <v>573</v>
      </c>
      <c r="D1331" s="2" t="str">
        <f t="shared" si="19"/>
        <v>Error?</v>
      </c>
    </row>
    <row r="1332" spans="1:4" x14ac:dyDescent="0.2">
      <c r="A1332" s="5">
        <v>1271</v>
      </c>
      <c r="B1332" s="138">
        <f>'Expenditures 15-22'!K174</f>
        <v>212023</v>
      </c>
      <c r="C1332" s="2" t="s">
        <v>573</v>
      </c>
      <c r="D1332" s="2" t="str">
        <f t="shared" si="19"/>
        <v>Error?</v>
      </c>
    </row>
    <row r="1333" spans="1:4" x14ac:dyDescent="0.2">
      <c r="A1333" s="5">
        <v>1272</v>
      </c>
      <c r="B1333" s="138">
        <f>'Expenditures 15-22'!K175</f>
        <v>7527</v>
      </c>
      <c r="C1333" s="2" t="s">
        <v>573</v>
      </c>
      <c r="D1333" s="2" t="str">
        <f t="shared" si="19"/>
        <v>Error?</v>
      </c>
    </row>
    <row r="1334" spans="1:4" x14ac:dyDescent="0.2">
      <c r="A1334" s="10">
        <v>1273</v>
      </c>
      <c r="D1334" s="2" t="str">
        <f t="shared" si="19"/>
        <v>OK</v>
      </c>
    </row>
    <row r="1335" spans="1:4" x14ac:dyDescent="0.2">
      <c r="A1335" s="5">
        <v>1274</v>
      </c>
      <c r="B1335" s="138">
        <f>'Expenditures 15-22'!C182</f>
        <v>121586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121586</v>
      </c>
      <c r="C1339" s="2" t="s">
        <v>573</v>
      </c>
      <c r="D1339" s="2" t="str">
        <f t="shared" si="19"/>
        <v>Error?</v>
      </c>
    </row>
    <row r="1340" spans="1:4" x14ac:dyDescent="0.2">
      <c r="A1340" s="5">
        <v>1279</v>
      </c>
      <c r="B1340" s="138">
        <f>'Expenditures 15-22'!C210</f>
        <v>121586</v>
      </c>
      <c r="C1340" s="2" t="s">
        <v>573</v>
      </c>
      <c r="D1340" s="2" t="str">
        <f t="shared" si="19"/>
        <v>Error?</v>
      </c>
    </row>
    <row r="1341" spans="1:4" x14ac:dyDescent="0.2">
      <c r="A1341" s="5">
        <v>1280</v>
      </c>
      <c r="B1341" s="138">
        <f>'Expenditures 15-22'!D182</f>
        <v>6341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6341</v>
      </c>
      <c r="C1345" s="2" t="s">
        <v>573</v>
      </c>
      <c r="D1345" s="2" t="str">
        <f t="shared" si="20"/>
        <v>Error?</v>
      </c>
    </row>
    <row r="1346" spans="1:4" x14ac:dyDescent="0.2">
      <c r="A1346" s="5">
        <v>1285</v>
      </c>
      <c r="B1346" s="138">
        <f>'Expenditures 15-22'!D210</f>
        <v>6341</v>
      </c>
      <c r="C1346" s="2" t="s">
        <v>573</v>
      </c>
      <c r="D1346" s="2" t="str">
        <f t="shared" si="20"/>
        <v>Error?</v>
      </c>
    </row>
    <row r="1347" spans="1:4" x14ac:dyDescent="0.2">
      <c r="A1347" s="5">
        <v>1286</v>
      </c>
      <c r="B1347" s="138">
        <f>'Expenditures 15-22'!E182</f>
        <v>229090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229090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229090</v>
      </c>
      <c r="C1353" s="2" t="s">
        <v>573</v>
      </c>
      <c r="D1353" s="2" t="str">
        <f t="shared" si="20"/>
        <v>Error?</v>
      </c>
    </row>
    <row r="1354" spans="1:4" x14ac:dyDescent="0.2">
      <c r="A1354" s="5">
        <v>1293</v>
      </c>
      <c r="B1354" s="138">
        <f>'Expenditures 15-22'!F182</f>
        <v>10572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10572</v>
      </c>
      <c r="C1358" s="2" t="s">
        <v>573</v>
      </c>
      <c r="D1358" s="2" t="str">
        <f t="shared" si="20"/>
        <v>Error?</v>
      </c>
    </row>
    <row r="1359" spans="1:4" x14ac:dyDescent="0.2">
      <c r="A1359" s="5">
        <v>1298</v>
      </c>
      <c r="B1359" s="138">
        <f>'Expenditures 15-22'!F210</f>
        <v>10572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65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65</v>
      </c>
      <c r="C1376" s="2" t="s">
        <v>573</v>
      </c>
      <c r="D1376" s="2" t="str">
        <f t="shared" si="20"/>
        <v>Error?</v>
      </c>
    </row>
    <row r="1377" spans="1:4" x14ac:dyDescent="0.2">
      <c r="A1377" s="5">
        <v>1316</v>
      </c>
      <c r="B1377" s="138">
        <f>'Expenditures 15-22'!K182</f>
        <v>367654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367654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367654</v>
      </c>
      <c r="C1388" s="2" t="s">
        <v>573</v>
      </c>
      <c r="D1388" s="2" t="str">
        <f t="shared" si="20"/>
        <v>Error?</v>
      </c>
    </row>
    <row r="1389" spans="1:4" x14ac:dyDescent="0.2">
      <c r="A1389" s="5">
        <v>1328</v>
      </c>
      <c r="B1389" s="138">
        <f>'Expenditures 15-22'!K211</f>
        <v>24252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1121</v>
      </c>
      <c r="D1408" s="2" t="str">
        <f t="shared" si="21"/>
        <v>Error?</v>
      </c>
    </row>
    <row r="1409" spans="1:4" x14ac:dyDescent="0.2">
      <c r="A1409" s="5">
        <v>1348</v>
      </c>
      <c r="B1409" s="138">
        <f>'Expenditures 15-22'!D224</f>
        <v>299</v>
      </c>
      <c r="D1409" s="2" t="str">
        <f t="shared" si="21"/>
        <v>Error?</v>
      </c>
    </row>
    <row r="1410" spans="1:4" x14ac:dyDescent="0.2">
      <c r="A1410" s="5">
        <v>1349</v>
      </c>
      <c r="B1410" s="138">
        <f>'Expenditures 15-22'!D229</f>
        <v>67047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2747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2747</v>
      </c>
      <c r="C1417" s="2" t="s">
        <v>573</v>
      </c>
      <c r="D1417" s="2" t="str">
        <f t="shared" si="21"/>
        <v>Error?</v>
      </c>
    </row>
    <row r="1418" spans="1:4" x14ac:dyDescent="0.2">
      <c r="A1418" s="5">
        <v>1357</v>
      </c>
      <c r="B1418" s="138">
        <f>'Expenditures 15-22'!D240</f>
        <v>37</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v>
      </c>
      <c r="C1421" s="2" t="s">
        <v>573</v>
      </c>
      <c r="D1421" s="2" t="str">
        <f t="shared" si="21"/>
        <v>Error?</v>
      </c>
    </row>
    <row r="1422" spans="1:4" x14ac:dyDescent="0.2">
      <c r="A1422" s="5">
        <v>1361</v>
      </c>
      <c r="B1422" s="138">
        <f>'Expenditures 15-22'!D245</f>
        <v>210</v>
      </c>
      <c r="D1422" s="2" t="str">
        <f t="shared" si="21"/>
        <v>Error?</v>
      </c>
    </row>
    <row r="1423" spans="1:4" x14ac:dyDescent="0.2">
      <c r="A1423" s="5">
        <v>1362</v>
      </c>
      <c r="B1423" s="138">
        <f>'Expenditures 15-22'!D246</f>
        <v>7001</v>
      </c>
      <c r="D1423" s="2" t="str">
        <f t="shared" si="21"/>
        <v>Error?</v>
      </c>
    </row>
    <row r="1424" spans="1:4" x14ac:dyDescent="0.2">
      <c r="A1424" s="5">
        <v>1363</v>
      </c>
      <c r="B1424" s="138">
        <f>'Expenditures 15-22'!D257</f>
        <v>9073</v>
      </c>
      <c r="C1424" s="2" t="s">
        <v>573</v>
      </c>
      <c r="D1424" s="2" t="str">
        <f t="shared" si="21"/>
        <v>Error?</v>
      </c>
    </row>
    <row r="1425" spans="1:4" x14ac:dyDescent="0.2">
      <c r="A1425" s="5">
        <v>1364</v>
      </c>
      <c r="B1425" s="138">
        <f>'Expenditures 15-22'!D259</f>
        <v>14242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14242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9249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30235</v>
      </c>
      <c r="D1431" s="2" t="str">
        <f t="shared" si="21"/>
        <v>Error?</v>
      </c>
    </row>
    <row r="1432" spans="1:4" x14ac:dyDescent="0.2">
      <c r="A1432" s="5">
        <v>1371</v>
      </c>
      <c r="B1432" s="138">
        <f>'Expenditures 15-22'!D267</f>
        <v>10800</v>
      </c>
      <c r="D1432" s="2" t="str">
        <f t="shared" si="21"/>
        <v>Error?</v>
      </c>
    </row>
    <row r="1433" spans="1:4" x14ac:dyDescent="0.2">
      <c r="A1433" s="5">
        <v>1372</v>
      </c>
      <c r="B1433" s="138">
        <f>'Expenditures 15-22'!D268</f>
        <v>26438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76722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102821</v>
      </c>
      <c r="C1446" s="2" t="s">
        <v>573</v>
      </c>
      <c r="D1446" s="2" t="str">
        <f t="shared" si="21"/>
        <v>Error?</v>
      </c>
    </row>
    <row r="1447" spans="1:4" x14ac:dyDescent="0.2">
      <c r="A1447" s="5">
        <v>1386</v>
      </c>
      <c r="B1447" s="138">
        <f>'Expenditures 15-22'!D280</f>
        <v>174</v>
      </c>
      <c r="D1447" s="2" t="str">
        <f t="shared" si="21"/>
        <v>Error?</v>
      </c>
    </row>
    <row r="1448" spans="1:4" x14ac:dyDescent="0.2">
      <c r="A1448" s="5">
        <v>1387</v>
      </c>
      <c r="B1448" s="138">
        <f>'Expenditures 15-22'!D295</f>
        <v>170042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1121</v>
      </c>
      <c r="C1472" s="2" t="s">
        <v>573</v>
      </c>
      <c r="D1472" s="2" t="str">
        <f t="shared" si="22"/>
        <v>Error?</v>
      </c>
    </row>
    <row r="1473" spans="1:4" x14ac:dyDescent="0.2">
      <c r="A1473" s="5">
        <v>1412</v>
      </c>
      <c r="B1473" s="138">
        <f>'Expenditures 15-22'!K224</f>
        <v>299</v>
      </c>
      <c r="C1473" s="2" t="s">
        <v>573</v>
      </c>
      <c r="D1473" s="2" t="str">
        <f t="shared" si="22"/>
        <v>Error?</v>
      </c>
    </row>
    <row r="1474" spans="1:4" x14ac:dyDescent="0.2">
      <c r="A1474" s="5">
        <v>1413</v>
      </c>
      <c r="B1474" s="138">
        <f>'Expenditures 15-22'!K229</f>
        <v>67047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2747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2747</v>
      </c>
      <c r="C1481" s="2" t="s">
        <v>573</v>
      </c>
      <c r="D1481" s="2" t="str">
        <f t="shared" si="22"/>
        <v>Error?</v>
      </c>
    </row>
    <row r="1482" spans="1:4" x14ac:dyDescent="0.2">
      <c r="A1482" s="5">
        <v>1421</v>
      </c>
      <c r="B1482" s="138">
        <f>'Expenditures 15-22'!K240</f>
        <v>37</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37</v>
      </c>
      <c r="C1485" s="2" t="s">
        <v>573</v>
      </c>
      <c r="D1485" s="2" t="str">
        <f t="shared" si="22"/>
        <v>Error?</v>
      </c>
    </row>
    <row r="1486" spans="1:4" x14ac:dyDescent="0.2">
      <c r="A1486" s="5">
        <v>1425</v>
      </c>
      <c r="B1486" s="138">
        <f>'Expenditures 15-22'!K245</f>
        <v>210</v>
      </c>
      <c r="C1486" s="2" t="s">
        <v>573</v>
      </c>
      <c r="D1486" s="2" t="str">
        <f t="shared" si="22"/>
        <v>Error?</v>
      </c>
    </row>
    <row r="1487" spans="1:4" x14ac:dyDescent="0.2">
      <c r="A1487" s="5">
        <v>1426</v>
      </c>
      <c r="B1487" s="138">
        <f>'Expenditures 15-22'!K246</f>
        <v>7001</v>
      </c>
      <c r="C1487" s="2" t="s">
        <v>573</v>
      </c>
      <c r="D1487" s="2" t="str">
        <f t="shared" si="22"/>
        <v>Error?</v>
      </c>
    </row>
    <row r="1488" spans="1:4" x14ac:dyDescent="0.2">
      <c r="A1488" s="5">
        <v>1427</v>
      </c>
      <c r="B1488" s="138">
        <f>'Expenditures 15-22'!K257</f>
        <v>9073</v>
      </c>
      <c r="C1488" s="2" t="s">
        <v>573</v>
      </c>
      <c r="D1488" s="2" t="str">
        <f t="shared" si="22"/>
        <v>Error?</v>
      </c>
    </row>
    <row r="1489" spans="1:4" x14ac:dyDescent="0.2">
      <c r="A1489" s="5">
        <v>1428</v>
      </c>
      <c r="B1489" s="138">
        <f>'Expenditures 15-22'!K259</f>
        <v>14242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14242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9249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30235</v>
      </c>
      <c r="C1495" s="2" t="s">
        <v>573</v>
      </c>
      <c r="D1495" s="2" t="str">
        <f t="shared" si="22"/>
        <v>Error?</v>
      </c>
    </row>
    <row r="1496" spans="1:4" x14ac:dyDescent="0.2">
      <c r="A1496" s="5">
        <v>1435</v>
      </c>
      <c r="B1496" s="138">
        <f>'Expenditures 15-22'!K267</f>
        <v>10800</v>
      </c>
      <c r="C1496" s="2" t="s">
        <v>573</v>
      </c>
      <c r="D1496" s="2" t="str">
        <f t="shared" si="22"/>
        <v>Error?</v>
      </c>
    </row>
    <row r="1497" spans="1:4" x14ac:dyDescent="0.2">
      <c r="A1497" s="5">
        <v>1436</v>
      </c>
      <c r="B1497" s="138">
        <f>'Expenditures 15-22'!K268</f>
        <v>26438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76722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102821</v>
      </c>
      <c r="C1510" s="2" t="s">
        <v>573</v>
      </c>
      <c r="D1510" s="2" t="str">
        <f t="shared" si="22"/>
        <v>Error?</v>
      </c>
    </row>
    <row r="1511" spans="1:4" x14ac:dyDescent="0.2">
      <c r="A1511" s="5">
        <v>1450</v>
      </c>
      <c r="B1511" s="138">
        <f>'Expenditures 15-22'!K280</f>
        <v>174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170042</v>
      </c>
      <c r="C1517" s="2" t="s">
        <v>573</v>
      </c>
      <c r="D1517" s="2" t="str">
        <f t="shared" si="22"/>
        <v>Error?</v>
      </c>
    </row>
    <row r="1518" spans="1:4" x14ac:dyDescent="0.2">
      <c r="A1518" s="5">
        <v>1457</v>
      </c>
      <c r="B1518" s="138">
        <f>'Expenditures 15-22'!K296</f>
        <v>22474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1616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3950008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4257313</v>
      </c>
      <c r="C1630" s="2" t="s">
        <v>573</v>
      </c>
      <c r="D1630" s="2" t="str">
        <f t="shared" si="24"/>
        <v>Error?</v>
      </c>
    </row>
    <row r="1631" spans="1:4" x14ac:dyDescent="0.2">
      <c r="A1631" s="5">
        <v>1570</v>
      </c>
      <c r="B1631" s="138">
        <f>'Acct Summary 7-8'!D79</f>
        <v>997515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875690</v>
      </c>
      <c r="C1644" s="2" t="s">
        <v>573</v>
      </c>
      <c r="D1644" s="2" t="str">
        <f t="shared" si="24"/>
        <v>Error?</v>
      </c>
    </row>
    <row r="1645" spans="1:4" x14ac:dyDescent="0.2">
      <c r="A1645" s="5">
        <v>1584</v>
      </c>
      <c r="B1645" s="138">
        <f>'Acct Summary 7-8'!E79</f>
        <v>135861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143388</v>
      </c>
      <c r="C1658" s="2" t="s">
        <v>573</v>
      </c>
      <c r="D1658" s="2" t="str">
        <f t="shared" si="24"/>
        <v>Error?</v>
      </c>
    </row>
    <row r="1659" spans="1:4" x14ac:dyDescent="0.2">
      <c r="A1659" s="5">
        <v>1598</v>
      </c>
      <c r="B1659" s="138">
        <f>'Acct Summary 7-8'!F79</f>
        <v>90856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115108</v>
      </c>
      <c r="C1672" s="2" t="s">
        <v>573</v>
      </c>
      <c r="D1672" s="2" t="str">
        <f t="shared" si="25"/>
        <v>Error?</v>
      </c>
    </row>
    <row r="1673" spans="1:4" x14ac:dyDescent="0.2">
      <c r="A1673" s="5">
        <v>1612</v>
      </c>
      <c r="B1673" s="138">
        <f>'Acct Summary 7-8'!G79</f>
        <v>436919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459393</v>
      </c>
      <c r="C1686" s="2" t="s">
        <v>573</v>
      </c>
      <c r="D1686" s="2" t="str">
        <f t="shared" si="25"/>
        <v>Error?</v>
      </c>
    </row>
    <row r="1687" spans="1:4" x14ac:dyDescent="0.2">
      <c r="A1687" s="5">
        <v>1626</v>
      </c>
      <c r="B1687" s="138">
        <f>'Acct Summary 7-8'!H79</f>
        <v>117725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119341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848149</v>
      </c>
      <c r="C1744" s="2" t="s">
        <v>573</v>
      </c>
      <c r="D1744" s="2" t="str">
        <f t="shared" si="26"/>
        <v>Error?</v>
      </c>
    </row>
    <row r="1745" spans="1:5" x14ac:dyDescent="0.2">
      <c r="A1745" s="5">
        <v>1684</v>
      </c>
      <c r="B1745" s="138">
        <f>'Tax Sched 23'!B5</f>
        <v>125241</v>
      </c>
      <c r="C1745" s="2" t="s">
        <v>573</v>
      </c>
      <c r="D1745" s="2" t="str">
        <f t="shared" si="26"/>
        <v>Error?</v>
      </c>
    </row>
    <row r="1746" spans="1:5" x14ac:dyDescent="0.2">
      <c r="A1746" s="5">
        <v>1685</v>
      </c>
      <c r="B1746" s="138">
        <f>'Tax Sched 23'!B6</f>
        <v>216192</v>
      </c>
      <c r="C1746" s="2" t="s">
        <v>573</v>
      </c>
      <c r="D1746" s="2" t="str">
        <f t="shared" si="26"/>
        <v>Error?</v>
      </c>
    </row>
    <row r="1747" spans="1:5" x14ac:dyDescent="0.2">
      <c r="A1747" s="5">
        <v>1686</v>
      </c>
      <c r="B1747" s="138">
        <f>'Tax Sched 23'!B7</f>
        <v>117989</v>
      </c>
      <c r="C1747" s="2" t="s">
        <v>573</v>
      </c>
      <c r="D1747" s="2" t="str">
        <f t="shared" si="26"/>
        <v>Error?</v>
      </c>
    </row>
    <row r="1748" spans="1:5" x14ac:dyDescent="0.2">
      <c r="A1748" s="5">
        <v>1687</v>
      </c>
      <c r="B1748" s="138">
        <f>'Tax Sched 23'!B8</f>
        <v>74044</v>
      </c>
      <c r="C1748" s="2" t="s">
        <v>573</v>
      </c>
      <c r="D1748" s="2" t="str">
        <f t="shared" si="26"/>
        <v>Error?</v>
      </c>
    </row>
    <row r="1749" spans="1:5" x14ac:dyDescent="0.2">
      <c r="A1749" s="5">
        <v>1688</v>
      </c>
      <c r="B1749" s="138">
        <f>'Tax Sched 23'!B10</f>
        <v>27717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192282</v>
      </c>
      <c r="C1752" s="2" t="s">
        <v>573</v>
      </c>
      <c r="D1752" s="2" t="str">
        <f t="shared" si="26"/>
        <v>Error?</v>
      </c>
    </row>
    <row r="1753" spans="1:5" x14ac:dyDescent="0.2">
      <c r="A1753" s="5">
        <v>1692</v>
      </c>
      <c r="B1753" s="138">
        <f>'Tax Sched 23'!B12</f>
        <v>24759</v>
      </c>
      <c r="C1753" s="2" t="s">
        <v>573</v>
      </c>
      <c r="D1753" s="2" t="str">
        <f t="shared" si="26"/>
        <v>Error?</v>
      </c>
    </row>
    <row r="1754" spans="1:5" x14ac:dyDescent="0.2">
      <c r="A1754" s="5">
        <v>1693</v>
      </c>
      <c r="B1754" s="138">
        <f>'Tax Sched 23'!B14</f>
        <v>9954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1745057</v>
      </c>
      <c r="C1759" s="2" t="s">
        <v>573</v>
      </c>
      <c r="D1759" s="2" t="str">
        <f t="shared" si="26"/>
        <v>Error?</v>
      </c>
    </row>
    <row r="1760" spans="1:5" x14ac:dyDescent="0.2">
      <c r="A1760" s="5">
        <v>1699</v>
      </c>
      <c r="B1760" s="138">
        <f>'Tax Sched 23'!D4</f>
        <v>848149</v>
      </c>
      <c r="C1760" s="2" t="s">
        <v>573</v>
      </c>
      <c r="D1760" s="2" t="str">
        <f t="shared" si="26"/>
        <v>Error?</v>
      </c>
    </row>
    <row r="1761" spans="1:5" x14ac:dyDescent="0.2">
      <c r="A1761" s="5">
        <v>1700</v>
      </c>
      <c r="B1761" s="138">
        <f>'Tax Sched 23'!D5</f>
        <v>125241</v>
      </c>
      <c r="C1761" s="2" t="s">
        <v>573</v>
      </c>
      <c r="D1761" s="2" t="str">
        <f t="shared" si="26"/>
        <v>Error?</v>
      </c>
    </row>
    <row r="1762" spans="1:5" s="8" customFormat="1" x14ac:dyDescent="0.2">
      <c r="A1762" s="5">
        <v>1701</v>
      </c>
      <c r="B1762" s="138">
        <f>'Tax Sched 23'!D6</f>
        <v>216192</v>
      </c>
      <c r="C1762" s="2" t="s">
        <v>573</v>
      </c>
      <c r="D1762" s="2" t="str">
        <f t="shared" si="26"/>
        <v>Error?</v>
      </c>
      <c r="E1762" s="9"/>
    </row>
    <row r="1763" spans="1:5" x14ac:dyDescent="0.2">
      <c r="A1763" s="5">
        <v>1702</v>
      </c>
      <c r="B1763" s="138">
        <f>'Tax Sched 23'!D7</f>
        <v>117989</v>
      </c>
      <c r="C1763" s="2" t="s">
        <v>573</v>
      </c>
      <c r="D1763" s="2" t="str">
        <f t="shared" si="26"/>
        <v>Error?</v>
      </c>
    </row>
    <row r="1764" spans="1:5" x14ac:dyDescent="0.2">
      <c r="A1764" s="5">
        <v>1703</v>
      </c>
      <c r="B1764" s="138">
        <f>'Tax Sched 23'!D8</f>
        <v>74044</v>
      </c>
      <c r="C1764" s="2" t="s">
        <v>573</v>
      </c>
      <c r="D1764" s="2" t="str">
        <f t="shared" si="26"/>
        <v>Error?</v>
      </c>
    </row>
    <row r="1765" spans="1:5" x14ac:dyDescent="0.2">
      <c r="A1765" s="5">
        <v>1704</v>
      </c>
      <c r="B1765" s="138">
        <f>'Tax Sched 23'!D10</f>
        <v>27717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192282</v>
      </c>
      <c r="C1768" s="2" t="s">
        <v>573</v>
      </c>
      <c r="D1768" s="2" t="str">
        <f t="shared" si="26"/>
        <v>Error?</v>
      </c>
    </row>
    <row r="1769" spans="1:5" x14ac:dyDescent="0.2">
      <c r="A1769" s="5">
        <v>1708</v>
      </c>
      <c r="B1769" s="138">
        <f>'Tax Sched 23'!D12</f>
        <v>24759</v>
      </c>
      <c r="C1769" s="2" t="s">
        <v>573</v>
      </c>
      <c r="D1769" s="2" t="str">
        <f t="shared" si="26"/>
        <v>Error?</v>
      </c>
    </row>
    <row r="1770" spans="1:5" x14ac:dyDescent="0.2">
      <c r="A1770" s="5">
        <v>1709</v>
      </c>
      <c r="B1770" s="138">
        <f>'Tax Sched 23'!D14</f>
        <v>9954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1745057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860163</v>
      </c>
      <c r="C1792" s="2" t="s">
        <v>573</v>
      </c>
      <c r="D1792" s="2" t="str">
        <f t="shared" si="27"/>
        <v>Error?</v>
      </c>
    </row>
    <row r="1793" spans="1:4" x14ac:dyDescent="0.2">
      <c r="A1793" s="5">
        <v>1732</v>
      </c>
      <c r="B1793" s="138">
        <f>'Tax Sched 23'!F5</f>
        <v>123358</v>
      </c>
      <c r="C1793" s="2" t="s">
        <v>573</v>
      </c>
      <c r="D1793" s="2" t="str">
        <f t="shared" si="27"/>
        <v>Error?</v>
      </c>
    </row>
    <row r="1794" spans="1:4" x14ac:dyDescent="0.2">
      <c r="A1794" s="5">
        <v>1733</v>
      </c>
      <c r="B1794" s="138">
        <f>'Tax Sched 23'!F6</f>
        <v>213155</v>
      </c>
      <c r="C1794" s="2" t="s">
        <v>573</v>
      </c>
      <c r="D1794" s="2" t="str">
        <f t="shared" si="27"/>
        <v>Error?</v>
      </c>
    </row>
    <row r="1795" spans="1:4" x14ac:dyDescent="0.2">
      <c r="A1795" s="5">
        <v>1734</v>
      </c>
      <c r="B1795" s="138">
        <f>'Tax Sched 23'!F7</f>
        <v>121748</v>
      </c>
      <c r="C1795" s="2" t="s">
        <v>573</v>
      </c>
      <c r="D1795" s="2" t="str">
        <f t="shared" si="27"/>
        <v>Error?</v>
      </c>
    </row>
    <row r="1796" spans="1:4" x14ac:dyDescent="0.2">
      <c r="A1796" s="5">
        <v>1735</v>
      </c>
      <c r="B1796" s="138">
        <f>'Tax Sched 23'!F8</f>
        <v>73047</v>
      </c>
      <c r="C1796" s="2" t="s">
        <v>573</v>
      </c>
      <c r="D1796" s="2" t="str">
        <f t="shared" si="27"/>
        <v>Error?</v>
      </c>
    </row>
    <row r="1797" spans="1:4" x14ac:dyDescent="0.2">
      <c r="A1797" s="5">
        <v>1736</v>
      </c>
      <c r="B1797" s="138">
        <f>'Tax Sched 23'!F10</f>
        <v>27302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194789</v>
      </c>
      <c r="C1800" s="2" t="s">
        <v>573</v>
      </c>
      <c r="D1800" s="2" t="str">
        <f t="shared" si="27"/>
        <v>Error?</v>
      </c>
    </row>
    <row r="1801" spans="1:4" x14ac:dyDescent="0.2">
      <c r="A1801" s="5">
        <v>1740</v>
      </c>
      <c r="B1801" s="138">
        <f>'Tax Sched 23'!F12</f>
        <v>24389</v>
      </c>
      <c r="C1801" s="2" t="s">
        <v>573</v>
      </c>
      <c r="D1801" s="2" t="str">
        <f t="shared" si="27"/>
        <v>Error?</v>
      </c>
    </row>
    <row r="1802" spans="1:4" x14ac:dyDescent="0.2">
      <c r="A1802" s="5">
        <v>1741</v>
      </c>
      <c r="B1802" s="138">
        <f>'Tax Sched 23'!F14</f>
        <v>9810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1759771</v>
      </c>
      <c r="C1807" s="2" t="s">
        <v>573</v>
      </c>
      <c r="D1807" s="2" t="str">
        <f t="shared" si="27"/>
        <v>Error?</v>
      </c>
    </row>
    <row r="1808" spans="1:4" x14ac:dyDescent="0.2">
      <c r="A1808" s="5">
        <v>1747</v>
      </c>
      <c r="B1808" s="138">
        <f>'Tax Sched 23'!E4</f>
        <v>860163</v>
      </c>
      <c r="D1808" s="2" t="str">
        <f t="shared" si="27"/>
        <v>Error?</v>
      </c>
    </row>
    <row r="1809" spans="1:4" x14ac:dyDescent="0.2">
      <c r="A1809" s="5">
        <v>1748</v>
      </c>
      <c r="B1809" s="138">
        <f>'Tax Sched 23'!E5</f>
        <v>123358</v>
      </c>
      <c r="D1809" s="2" t="str">
        <f t="shared" si="27"/>
        <v>Error?</v>
      </c>
    </row>
    <row r="1810" spans="1:4" x14ac:dyDescent="0.2">
      <c r="A1810" s="5">
        <v>1749</v>
      </c>
      <c r="B1810" s="138">
        <f>'Tax Sched 23'!E6</f>
        <v>213155</v>
      </c>
      <c r="D1810" s="2" t="str">
        <f t="shared" si="27"/>
        <v>Error?</v>
      </c>
    </row>
    <row r="1811" spans="1:4" x14ac:dyDescent="0.2">
      <c r="A1811" s="5">
        <v>1750</v>
      </c>
      <c r="B1811" s="138">
        <f>'Tax Sched 23'!E7</f>
        <v>121748</v>
      </c>
      <c r="D1811" s="2" t="str">
        <f t="shared" si="27"/>
        <v>Error?</v>
      </c>
    </row>
    <row r="1812" spans="1:4" x14ac:dyDescent="0.2">
      <c r="A1812" s="5">
        <v>1751</v>
      </c>
      <c r="B1812" s="138">
        <f>'Tax Sched 23'!E8</f>
        <v>73047</v>
      </c>
      <c r="D1812" s="2" t="str">
        <f t="shared" si="27"/>
        <v>Error?</v>
      </c>
    </row>
    <row r="1813" spans="1:4" x14ac:dyDescent="0.2">
      <c r="A1813" s="5">
        <v>1752</v>
      </c>
      <c r="B1813" s="138">
        <f>'Tax Sched 23'!E10</f>
        <v>27302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194789</v>
      </c>
      <c r="D1816" s="2" t="str">
        <f t="shared" si="27"/>
        <v>Error?</v>
      </c>
    </row>
    <row r="1817" spans="1:4" x14ac:dyDescent="0.2">
      <c r="A1817" s="5">
        <v>1756</v>
      </c>
      <c r="B1817" s="138">
        <f>'Tax Sched 23'!E12</f>
        <v>24389</v>
      </c>
      <c r="D1817" s="2" t="str">
        <f t="shared" si="27"/>
        <v>Error?</v>
      </c>
    </row>
    <row r="1818" spans="1:4" x14ac:dyDescent="0.2">
      <c r="A1818" s="5">
        <v>1757</v>
      </c>
      <c r="B1818" s="138">
        <f>'Tax Sched 23'!E14</f>
        <v>9810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1759771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807000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9954</v>
      </c>
      <c r="D1972" s="2" t="str">
        <f t="shared" si="29"/>
        <v>Error?</v>
      </c>
    </row>
    <row r="1973" spans="1:5" x14ac:dyDescent="0.2">
      <c r="A1973" s="5">
        <v>1912</v>
      </c>
      <c r="B1973" s="138">
        <f>'Rest Tax Levies-Tort Im 25'!H6</f>
        <v>15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9969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9969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37985</v>
      </c>
      <c r="D2008" s="2" t="str">
        <f t="shared" si="30"/>
        <v>Error?</v>
      </c>
    </row>
    <row r="2009" spans="1:4" x14ac:dyDescent="0.2">
      <c r="A2009" s="5">
        <v>1948</v>
      </c>
      <c r="B2009" s="138">
        <f>'Cap Outlay Deprec 26'!C8</f>
        <v>6430036</v>
      </c>
      <c r="D2009" s="2" t="str">
        <f t="shared" si="30"/>
        <v>Error?</v>
      </c>
    </row>
    <row r="2010" spans="1:4" x14ac:dyDescent="0.2">
      <c r="A2010" s="5">
        <v>1949</v>
      </c>
      <c r="B2010" s="138">
        <f>'Cap Outlay Deprec 26'!C10</f>
        <v>115334</v>
      </c>
      <c r="D2010" s="2" t="str">
        <f t="shared" si="30"/>
        <v>Error?</v>
      </c>
    </row>
    <row r="2011" spans="1:4" x14ac:dyDescent="0.2">
      <c r="A2011" s="5">
        <v>1950</v>
      </c>
      <c r="B2011" s="138">
        <f>'Cap Outlay Deprec 26'!C12</f>
        <v>218851</v>
      </c>
      <c r="D2011" s="2" t="str">
        <f t="shared" si="30"/>
        <v>Error?</v>
      </c>
    </row>
    <row r="2012" spans="1:4" x14ac:dyDescent="0.2">
      <c r="A2012" s="5">
        <v>1951</v>
      </c>
      <c r="B2012" s="138">
        <f>'Cap Outlay Deprec 26'!C13</f>
        <v>211646</v>
      </c>
      <c r="D2012" s="2" t="str">
        <f t="shared" si="30"/>
        <v>Error?</v>
      </c>
    </row>
    <row r="2013" spans="1:4" x14ac:dyDescent="0.2">
      <c r="A2013" s="5">
        <v>1952</v>
      </c>
      <c r="B2013" s="138">
        <f>'Cap Outlay Deprec 26'!C16</f>
        <v>7017679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49994</v>
      </c>
      <c r="D2015" s="2" t="str">
        <f t="shared" si="30"/>
        <v>Error?</v>
      </c>
    </row>
    <row r="2016" spans="1:4" x14ac:dyDescent="0.2">
      <c r="A2016" s="5">
        <v>1955</v>
      </c>
      <c r="B2016" s="138">
        <f>'Cap Outlay Deprec 26'!D10</f>
        <v>98572</v>
      </c>
      <c r="D2016" s="2" t="str">
        <f t="shared" si="30"/>
        <v>Error?</v>
      </c>
    </row>
    <row r="2017" spans="1:4" x14ac:dyDescent="0.2">
      <c r="A2017" s="5">
        <v>1956</v>
      </c>
      <c r="B2017" s="138">
        <f>'Cap Outlay Deprec 26'!D12</f>
        <v>52765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201331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2762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2762</v>
      </c>
      <c r="C2025" s="2" t="s">
        <v>573</v>
      </c>
      <c r="D2025" s="2" t="str">
        <f t="shared" si="30"/>
        <v>Error?</v>
      </c>
    </row>
    <row r="2026" spans="1:4" x14ac:dyDescent="0.2">
      <c r="A2026" s="5">
        <v>1965</v>
      </c>
      <c r="B2026" s="138">
        <f>'Cap Outlay Deprec 26'!F5</f>
        <v>37985</v>
      </c>
      <c r="C2026" s="2" t="s">
        <v>573</v>
      </c>
      <c r="D2026" s="2" t="str">
        <f t="shared" si="30"/>
        <v>Error?</v>
      </c>
    </row>
    <row r="2027" spans="1:4" x14ac:dyDescent="0.2">
      <c r="A2027" s="5">
        <v>1966</v>
      </c>
      <c r="B2027" s="138">
        <f>'Cap Outlay Deprec 26'!F8</f>
        <v>6480030</v>
      </c>
      <c r="C2027" s="2" t="s">
        <v>573</v>
      </c>
      <c r="D2027" s="2" t="str">
        <f t="shared" si="30"/>
        <v>Error?</v>
      </c>
    </row>
    <row r="2028" spans="1:4" x14ac:dyDescent="0.2">
      <c r="A2028" s="5">
        <v>1967</v>
      </c>
      <c r="B2028" s="138">
        <f>'Cap Outlay Deprec 26'!F10</f>
        <v>213906</v>
      </c>
      <c r="C2028" s="2" t="s">
        <v>573</v>
      </c>
      <c r="D2028" s="2" t="str">
        <f t="shared" si="30"/>
        <v>Error?</v>
      </c>
    </row>
    <row r="2029" spans="1:4" x14ac:dyDescent="0.2">
      <c r="A2029" s="5">
        <v>1968</v>
      </c>
      <c r="B2029" s="138">
        <f>'Cap Outlay Deprec 26'!F12</f>
        <v>268854</v>
      </c>
      <c r="C2029" s="2" t="s">
        <v>573</v>
      </c>
      <c r="D2029" s="2" t="str">
        <f t="shared" si="30"/>
        <v>Error?</v>
      </c>
    </row>
    <row r="2030" spans="1:4" x14ac:dyDescent="0.2">
      <c r="A2030" s="5">
        <v>1969</v>
      </c>
      <c r="B2030" s="138">
        <f>'Cap Outlay Deprec 26'!F13</f>
        <v>211646</v>
      </c>
      <c r="C2030" s="2" t="s">
        <v>573</v>
      </c>
      <c r="D2030" s="2" t="str">
        <f t="shared" si="30"/>
        <v>Error?</v>
      </c>
    </row>
    <row r="2031" spans="1:4" x14ac:dyDescent="0.2">
      <c r="A2031" s="5">
        <v>1970</v>
      </c>
      <c r="B2031" s="138">
        <f>'Cap Outlay Deprec 26'!F16</f>
        <v>7216248</v>
      </c>
      <c r="C2031" s="2" t="s">
        <v>573</v>
      </c>
      <c r="D2031" s="2" t="str">
        <f t="shared" si="30"/>
        <v>Error?</v>
      </c>
    </row>
    <row r="2032" spans="1:4" x14ac:dyDescent="0.2">
      <c r="A2032" s="10">
        <v>1971</v>
      </c>
      <c r="D2032" s="2" t="str">
        <f t="shared" si="30"/>
        <v>OK</v>
      </c>
    </row>
    <row r="2033" spans="1:4" x14ac:dyDescent="0.2">
      <c r="A2033" s="5">
        <v>1972</v>
      </c>
      <c r="B2033" s="138">
        <f>'Cap Outlay Deprec 26'!H8</f>
        <v>3126745</v>
      </c>
      <c r="D2033" s="2" t="str">
        <f t="shared" si="30"/>
        <v>Error?</v>
      </c>
    </row>
    <row r="2034" spans="1:4" x14ac:dyDescent="0.2">
      <c r="A2034" s="5">
        <v>1973</v>
      </c>
      <c r="B2034" s="138">
        <f>'Cap Outlay Deprec 26'!H10</f>
        <v>38620</v>
      </c>
      <c r="D2034" s="2" t="str">
        <f t="shared" si="30"/>
        <v>Error?</v>
      </c>
    </row>
    <row r="2035" spans="1:4" x14ac:dyDescent="0.2">
      <c r="A2035" s="5">
        <v>1974</v>
      </c>
      <c r="B2035" s="138">
        <f>'Cap Outlay Deprec 26'!H12</f>
        <v>78285</v>
      </c>
      <c r="D2035" s="2" t="str">
        <f t="shared" si="30"/>
        <v>Error?</v>
      </c>
    </row>
    <row r="2036" spans="1:4" x14ac:dyDescent="0.2">
      <c r="A2036" s="5">
        <v>1975</v>
      </c>
      <c r="B2036" s="138">
        <f>'Cap Outlay Deprec 26'!H13</f>
        <v>211491</v>
      </c>
      <c r="D2036" s="2" t="str">
        <f t="shared" si="30"/>
        <v>Error?</v>
      </c>
    </row>
    <row r="2037" spans="1:4" x14ac:dyDescent="0.2">
      <c r="A2037" s="5">
        <v>1976</v>
      </c>
      <c r="B2037" s="138">
        <f>'Cap Outlay Deprec 26'!H16</f>
        <v>3458968</v>
      </c>
      <c r="C2037" s="2" t="s">
        <v>573</v>
      </c>
      <c r="D2037" s="2" t="str">
        <f t="shared" si="30"/>
        <v>Error?</v>
      </c>
    </row>
    <row r="2038" spans="1:4" x14ac:dyDescent="0.2">
      <c r="A2038" s="10">
        <v>1977</v>
      </c>
      <c r="D2038" s="2" t="str">
        <f t="shared" si="30"/>
        <v>OK</v>
      </c>
    </row>
    <row r="2039" spans="1:4" x14ac:dyDescent="0.2">
      <c r="A2039" s="5">
        <v>1978</v>
      </c>
      <c r="B2039" s="138">
        <f>'Cap Outlay Deprec 26'!I8</f>
        <v>111499</v>
      </c>
      <c r="D2039" s="2" t="str">
        <f t="shared" si="30"/>
        <v>Error?</v>
      </c>
    </row>
    <row r="2040" spans="1:4" x14ac:dyDescent="0.2">
      <c r="A2040" s="5">
        <v>1979</v>
      </c>
      <c r="B2040" s="138">
        <f>'Cap Outlay Deprec 26'!I10</f>
        <v>10586</v>
      </c>
      <c r="D2040" s="2" t="str">
        <f t="shared" si="30"/>
        <v>Error?</v>
      </c>
    </row>
    <row r="2041" spans="1:4" x14ac:dyDescent="0.2">
      <c r="A2041" s="5">
        <v>1980</v>
      </c>
      <c r="B2041" s="138">
        <f>'Cap Outlay Deprec 26'!I12</f>
        <v>26885</v>
      </c>
      <c r="D2041" s="2" t="str">
        <f t="shared" si="30"/>
        <v>Error?</v>
      </c>
    </row>
    <row r="2042" spans="1:4" x14ac:dyDescent="0.2">
      <c r="A2042" s="5">
        <v>1981</v>
      </c>
      <c r="B2042" s="138">
        <f>'Cap Outlay Deprec 26'!I13</f>
        <v>155</v>
      </c>
      <c r="D2042" s="2" t="str">
        <f t="shared" si="30"/>
        <v>Error?</v>
      </c>
    </row>
    <row r="2043" spans="1:4" x14ac:dyDescent="0.2">
      <c r="A2043" s="5">
        <v>1982</v>
      </c>
      <c r="B2043" s="138">
        <f>'Cap Outlay Deprec 26'!I16</f>
        <v>149125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2762</v>
      </c>
      <c r="C2049" s="2" t="s">
        <v>573</v>
      </c>
      <c r="D2049" s="2" t="str">
        <f t="shared" si="31"/>
        <v>Error?</v>
      </c>
    </row>
    <row r="2050" spans="1:4" x14ac:dyDescent="0.2">
      <c r="A2050" s="10">
        <v>1989</v>
      </c>
      <c r="D2050" s="2" t="str">
        <f t="shared" si="31"/>
        <v>OK</v>
      </c>
    </row>
    <row r="2051" spans="1:4" x14ac:dyDescent="0.2">
      <c r="A2051" s="5">
        <v>1990</v>
      </c>
      <c r="B2051" s="138">
        <f>'Cap Outlay Deprec 26'!K8</f>
        <v>3238244</v>
      </c>
      <c r="C2051" s="2" t="s">
        <v>573</v>
      </c>
      <c r="D2051" s="2" t="str">
        <f t="shared" si="31"/>
        <v>Error?</v>
      </c>
    </row>
    <row r="2052" spans="1:4" x14ac:dyDescent="0.2">
      <c r="A2052" s="5">
        <v>1991</v>
      </c>
      <c r="B2052" s="138">
        <f>'Cap Outlay Deprec 26'!K10</f>
        <v>49206</v>
      </c>
      <c r="C2052" s="2" t="s">
        <v>573</v>
      </c>
      <c r="D2052" s="2" t="str">
        <f t="shared" si="31"/>
        <v>Error?</v>
      </c>
    </row>
    <row r="2053" spans="1:4" x14ac:dyDescent="0.2">
      <c r="A2053" s="5">
        <v>1992</v>
      </c>
      <c r="B2053" s="138">
        <f>'Cap Outlay Deprec 26'!K12</f>
        <v>102408</v>
      </c>
      <c r="C2053" s="2" t="s">
        <v>573</v>
      </c>
      <c r="D2053" s="2" t="str">
        <f t="shared" si="31"/>
        <v>Error?</v>
      </c>
    </row>
    <row r="2054" spans="1:4" x14ac:dyDescent="0.2">
      <c r="A2054" s="5">
        <v>1993</v>
      </c>
      <c r="B2054" s="138">
        <f>'Cap Outlay Deprec 26'!K13</f>
        <v>211646</v>
      </c>
      <c r="C2054" s="2" t="s">
        <v>573</v>
      </c>
      <c r="D2054" s="2" t="str">
        <f t="shared" si="31"/>
        <v>Error?</v>
      </c>
    </row>
    <row r="2055" spans="1:4" x14ac:dyDescent="0.2">
      <c r="A2055" s="5">
        <v>1994</v>
      </c>
      <c r="B2055" s="138">
        <f>'Cap Outlay Deprec 26'!K16</f>
        <v>3605331</v>
      </c>
      <c r="C2055" s="2" t="s">
        <v>573</v>
      </c>
      <c r="D2055" s="2" t="str">
        <f t="shared" si="31"/>
        <v>Error?</v>
      </c>
    </row>
    <row r="2056" spans="1:4" x14ac:dyDescent="0.2">
      <c r="A2056" s="5">
        <v>1995</v>
      </c>
      <c r="B2056" s="138">
        <f>'Cap Outlay Deprec 26'!L5</f>
        <v>37985</v>
      </c>
      <c r="C2056" s="2" t="s">
        <v>573</v>
      </c>
      <c r="D2056" s="2" t="str">
        <f t="shared" si="31"/>
        <v>Error?</v>
      </c>
    </row>
    <row r="2057" spans="1:4" x14ac:dyDescent="0.2">
      <c r="A2057" s="5">
        <v>1996</v>
      </c>
      <c r="B2057" s="138">
        <f>'Cap Outlay Deprec 26'!L8</f>
        <v>3241786</v>
      </c>
      <c r="C2057" s="2" t="s">
        <v>573</v>
      </c>
      <c r="D2057" s="2" t="str">
        <f t="shared" si="31"/>
        <v>Error?</v>
      </c>
    </row>
    <row r="2058" spans="1:4" x14ac:dyDescent="0.2">
      <c r="A2058" s="5">
        <v>1997</v>
      </c>
      <c r="B2058" s="138">
        <f>'Cap Outlay Deprec 26'!L10</f>
        <v>164700</v>
      </c>
      <c r="C2058" s="2" t="s">
        <v>573</v>
      </c>
      <c r="D2058" s="2" t="str">
        <f t="shared" si="31"/>
        <v>Error?</v>
      </c>
    </row>
    <row r="2059" spans="1:4" x14ac:dyDescent="0.2">
      <c r="A2059" s="5">
        <v>1998</v>
      </c>
      <c r="B2059" s="138">
        <f>'Cap Outlay Deprec 26'!L12</f>
        <v>166446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3610917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161611</v>
      </c>
      <c r="C2088" s="2" t="s">
        <v>573</v>
      </c>
      <c r="D2088" s="2" t="str">
        <f t="shared" si="31"/>
        <v>Error?</v>
      </c>
    </row>
    <row r="2089" spans="1:4" x14ac:dyDescent="0.2">
      <c r="A2089" s="5">
        <v>2028</v>
      </c>
      <c r="B2089" s="138">
        <f>'Expenditures 15-22'!K92</f>
        <v>138690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9101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215737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1117753</v>
      </c>
      <c r="C2551" s="2" t="s">
        <v>573</v>
      </c>
      <c r="D2551" s="2" t="str">
        <f t="shared" si="38"/>
        <v>Error?</v>
      </c>
    </row>
    <row r="2552" spans="1:4" x14ac:dyDescent="0.2">
      <c r="A2552" s="10">
        <v>2491</v>
      </c>
      <c r="D2552" s="2" t="str">
        <f t="shared" si="38"/>
        <v>OK</v>
      </c>
    </row>
    <row r="2553" spans="1:4" x14ac:dyDescent="0.2">
      <c r="A2553" s="5">
        <v>2492</v>
      </c>
      <c r="B2553" s="138">
        <f>'Acct Summary 7-8'!C6</f>
        <v>3780912</v>
      </c>
      <c r="C2553" s="2" t="s">
        <v>573</v>
      </c>
      <c r="D2553" s="2" t="str">
        <f t="shared" si="38"/>
        <v>Error?</v>
      </c>
    </row>
    <row r="2554" spans="1:4" x14ac:dyDescent="0.2">
      <c r="A2554" s="5">
        <v>2493</v>
      </c>
      <c r="B2554" s="138">
        <f>'Acct Summary 7-8'!C7</f>
        <v>734565</v>
      </c>
      <c r="C2554" s="2" t="s">
        <v>573</v>
      </c>
      <c r="D2554" s="2" t="str">
        <f t="shared" si="38"/>
        <v>Error?</v>
      </c>
    </row>
    <row r="2555" spans="1:4" x14ac:dyDescent="0.2">
      <c r="A2555" s="5">
        <v>2494</v>
      </c>
      <c r="B2555" s="138">
        <f>'Acct Summary 7-8'!C8</f>
        <v>5633230</v>
      </c>
      <c r="C2555" s="2" t="s">
        <v>573</v>
      </c>
      <c r="D2555" s="2" t="str">
        <f t="shared" si="38"/>
        <v>Error?</v>
      </c>
    </row>
    <row r="2556" spans="1:4" x14ac:dyDescent="0.2">
      <c r="A2556" s="5">
        <v>2495</v>
      </c>
      <c r="B2556" s="138">
        <f>'Acct Summary 7-8'!C12</f>
        <v>3643557</v>
      </c>
      <c r="C2556" s="2" t="s">
        <v>573</v>
      </c>
      <c r="D2556" s="2" t="str">
        <f t="shared" si="38"/>
        <v>Error?</v>
      </c>
    </row>
    <row r="2557" spans="1:4" x14ac:dyDescent="0.2">
      <c r="A2557" s="5">
        <v>2496</v>
      </c>
      <c r="B2557" s="138">
        <f>'Acct Summary 7-8'!C13</f>
        <v>1379745</v>
      </c>
      <c r="C2557" s="2" t="s">
        <v>573</v>
      </c>
      <c r="D2557" s="2" t="str">
        <f t="shared" si="38"/>
        <v>Error?</v>
      </c>
    </row>
    <row r="2558" spans="1:4" x14ac:dyDescent="0.2">
      <c r="A2558" s="5">
        <v>2497</v>
      </c>
      <c r="B2558" s="138">
        <f>'Acct Summary 7-8'!C14</f>
        <v>2322</v>
      </c>
      <c r="C2558" s="2" t="s">
        <v>573</v>
      </c>
      <c r="D2558" s="2" t="str">
        <f t="shared" si="38"/>
        <v>Error?</v>
      </c>
    </row>
    <row r="2559" spans="1:4" x14ac:dyDescent="0.2">
      <c r="A2559" s="5">
        <v>2498</v>
      </c>
      <c r="B2559" s="138">
        <f>'Acct Summary 7-8'!C15</f>
        <v>300301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5325925</v>
      </c>
      <c r="C2561" s="2" t="s">
        <v>573</v>
      </c>
      <c r="D2561" s="2" t="str">
        <f t="shared" si="39"/>
        <v>Error?</v>
      </c>
    </row>
    <row r="2562" spans="1:4" x14ac:dyDescent="0.2">
      <c r="A2562" s="5">
        <v>2501</v>
      </c>
      <c r="B2562" s="138">
        <f>'Acct Summary 7-8'!C20</f>
        <v>307305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139232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139232</v>
      </c>
      <c r="C2568" s="2" t="s">
        <v>573</v>
      </c>
      <c r="D2568" s="2" t="str">
        <f t="shared" si="39"/>
        <v>Error?</v>
      </c>
    </row>
    <row r="2569" spans="1:4" x14ac:dyDescent="0.2">
      <c r="A2569" s="5">
        <v>2508</v>
      </c>
      <c r="B2569" s="138">
        <f>'Acct Summary 7-8'!D13</f>
        <v>261057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261057</v>
      </c>
      <c r="C2573" s="2" t="s">
        <v>573</v>
      </c>
      <c r="D2573" s="2" t="str">
        <f t="shared" si="39"/>
        <v>Error?</v>
      </c>
    </row>
    <row r="2574" spans="1:4" x14ac:dyDescent="0.2">
      <c r="A2574" s="5">
        <v>2513</v>
      </c>
      <c r="B2574" s="138">
        <f>'Acct Summary 7-8'!D20</f>
        <v>-121825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120086</v>
      </c>
      <c r="C2591" s="2" t="s">
        <v>573</v>
      </c>
      <c r="D2591" s="2" t="str">
        <f t="shared" si="39"/>
        <v>Error?</v>
      </c>
    </row>
    <row r="2592" spans="1:4" x14ac:dyDescent="0.2">
      <c r="A2592" s="10">
        <v>2531</v>
      </c>
      <c r="D2592" s="2" t="str">
        <f t="shared" si="39"/>
        <v>OK</v>
      </c>
    </row>
    <row r="2593" spans="1:4" x14ac:dyDescent="0.2">
      <c r="A2593" s="5">
        <v>2532</v>
      </c>
      <c r="B2593" s="138">
        <f>'Acct Summary 7-8'!F6</f>
        <v>271820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391906</v>
      </c>
      <c r="C2595" s="2" t="s">
        <v>573</v>
      </c>
      <c r="D2595" s="2" t="str">
        <f t="shared" si="39"/>
        <v>Error?</v>
      </c>
    </row>
    <row r="2596" spans="1:4" x14ac:dyDescent="0.2">
      <c r="A2596" s="5">
        <v>2535</v>
      </c>
      <c r="B2596" s="138">
        <f>'Acct Summary 7-8'!F13</f>
        <v>367654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367654</v>
      </c>
      <c r="C2600" s="2" t="s">
        <v>573</v>
      </c>
      <c r="D2600" s="2" t="str">
        <f t="shared" si="39"/>
        <v>Error?</v>
      </c>
    </row>
    <row r="2601" spans="1:4" x14ac:dyDescent="0.2">
      <c r="A2601" s="5">
        <v>2540</v>
      </c>
      <c r="B2601" s="138">
        <f>'Acct Summary 7-8'!F20</f>
        <v>24252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192516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192516</v>
      </c>
      <c r="C2606" s="2" t="s">
        <v>573</v>
      </c>
      <c r="D2606" s="2" t="str">
        <f t="shared" si="39"/>
        <v>Error?</v>
      </c>
    </row>
    <row r="2607" spans="1:4" x14ac:dyDescent="0.2">
      <c r="A2607" s="5">
        <v>2546</v>
      </c>
      <c r="B2607" s="138">
        <f>'Acct Summary 7-8'!G12</f>
        <v>67047</v>
      </c>
      <c r="C2607" s="2" t="s">
        <v>573</v>
      </c>
      <c r="D2607" s="2" t="str">
        <f t="shared" si="39"/>
        <v>Error?</v>
      </c>
    </row>
    <row r="2608" spans="1:4" x14ac:dyDescent="0.2">
      <c r="A2608" s="5">
        <v>2547</v>
      </c>
      <c r="B2608" s="138">
        <f>'Acct Summary 7-8'!G13</f>
        <v>102821</v>
      </c>
      <c r="C2608" s="2" t="s">
        <v>573</v>
      </c>
      <c r="D2608" s="2" t="str">
        <f t="shared" si="39"/>
        <v>Error?</v>
      </c>
    </row>
    <row r="2609" spans="1:4" x14ac:dyDescent="0.2">
      <c r="A2609" s="5">
        <v>2548</v>
      </c>
      <c r="B2609" s="138">
        <f>'Acct Summary 7-8'!G14</f>
        <v>174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170042</v>
      </c>
      <c r="C2612" s="2" t="s">
        <v>573</v>
      </c>
      <c r="D2612" s="2" t="str">
        <f t="shared" si="39"/>
        <v>Error?</v>
      </c>
    </row>
    <row r="2613" spans="1:4" x14ac:dyDescent="0.2">
      <c r="A2613" s="5">
        <v>2552</v>
      </c>
      <c r="B2613" s="138">
        <f>'Acct Summary 7-8'!G20</f>
        <v>22474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219550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219550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212023</v>
      </c>
      <c r="C2634" s="2" t="s">
        <v>573</v>
      </c>
      <c r="D2634" s="2" t="str">
        <f t="shared" si="40"/>
        <v>Error?</v>
      </c>
    </row>
    <row r="2635" spans="1:4" x14ac:dyDescent="0.2">
      <c r="A2635" s="5">
        <v>2574</v>
      </c>
      <c r="B2635" s="138">
        <f>'Acct Summary 7-8'!E17</f>
        <v>212023</v>
      </c>
      <c r="C2635" s="2" t="s">
        <v>573</v>
      </c>
      <c r="D2635" s="2" t="str">
        <f t="shared" si="40"/>
        <v>Error?</v>
      </c>
    </row>
    <row r="2636" spans="1:4" x14ac:dyDescent="0.2">
      <c r="A2636" s="5">
        <v>2575</v>
      </c>
      <c r="B2636" s="138">
        <f>'Acct Summary 7-8'!E20</f>
        <v>7527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1616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1616</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1616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161611</v>
      </c>
      <c r="C2789" s="2" t="s">
        <v>573</v>
      </c>
      <c r="D2789" s="2" t="str">
        <f t="shared" si="42"/>
        <v>Error?</v>
      </c>
    </row>
    <row r="2790" spans="1:4" x14ac:dyDescent="0.2">
      <c r="A2790" s="5">
        <v>2729</v>
      </c>
      <c r="B2790" s="138">
        <f>'Expenditures 15-22'!E102</f>
        <v>161611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863201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57994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863201</v>
      </c>
      <c r="D2912" s="2" t="str">
        <f t="shared" si="44"/>
        <v>Error?</v>
      </c>
    </row>
    <row r="2913" spans="1:4" x14ac:dyDescent="0.2">
      <c r="A2913" s="5">
        <v>2852</v>
      </c>
      <c r="B2913" s="138">
        <f>'Assets-Liab 5-6'!I41</f>
        <v>863201</v>
      </c>
      <c r="C2913" s="2" t="s">
        <v>573</v>
      </c>
      <c r="D2913" s="2" t="str">
        <f t="shared" si="44"/>
        <v>Error?</v>
      </c>
    </row>
    <row r="2914" spans="1:4" x14ac:dyDescent="0.2">
      <c r="A2914" s="5">
        <v>2853</v>
      </c>
      <c r="B2914" s="138">
        <f>'Assets-Liab 5-6'!L33</f>
        <v>44526</v>
      </c>
      <c r="D2914" s="2" t="str">
        <f t="shared" si="44"/>
        <v>Error?</v>
      </c>
    </row>
    <row r="2915" spans="1:4" x14ac:dyDescent="0.2">
      <c r="A2915" s="10">
        <v>2854</v>
      </c>
      <c r="D2915" s="2" t="str">
        <f t="shared" si="44"/>
        <v>OK</v>
      </c>
    </row>
    <row r="2916" spans="1:4" x14ac:dyDescent="0.2">
      <c r="A2916" s="5">
        <v>2855</v>
      </c>
      <c r="B2916" s="138">
        <f>'Assets-Liab 5-6'!L34</f>
        <v>44526</v>
      </c>
      <c r="C2916" s="2" t="s">
        <v>573</v>
      </c>
      <c r="D2916" s="2" t="str">
        <f t="shared" si="44"/>
        <v>Error?</v>
      </c>
    </row>
    <row r="2917" spans="1:4" x14ac:dyDescent="0.2">
      <c r="A2917" s="5">
        <v>2856</v>
      </c>
      <c r="B2917" s="138">
        <f>'Assets-Liab 5-6'!L41</f>
        <v>57994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161611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161611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195176</v>
      </c>
      <c r="D3055" s="2" t="str">
        <f t="shared" si="46"/>
        <v>Error?</v>
      </c>
    </row>
    <row r="3056" spans="1:4" x14ac:dyDescent="0.2">
      <c r="A3056" s="5">
        <v>2995</v>
      </c>
      <c r="B3056" s="138">
        <f>'Expenditures 15-22'!D10</f>
        <v>51121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5239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251536</v>
      </c>
      <c r="C3062" s="2" t="s">
        <v>573</v>
      </c>
      <c r="D3062" s="2" t="str">
        <f t="shared" si="46"/>
        <v>Error?</v>
      </c>
    </row>
    <row r="3063" spans="1:4" x14ac:dyDescent="0.2">
      <c r="A3063" s="10">
        <v>3002</v>
      </c>
      <c r="D3063" s="2" t="str">
        <f t="shared" si="46"/>
        <v>OK</v>
      </c>
    </row>
    <row r="3064" spans="1:4" x14ac:dyDescent="0.2">
      <c r="A3064" s="5">
        <v>3003</v>
      </c>
      <c r="B3064" s="138">
        <f>'Expenditures 15-22'!D219</f>
        <v>11601</v>
      </c>
      <c r="D3064" s="2" t="str">
        <f t="shared" si="46"/>
        <v>Error?</v>
      </c>
    </row>
    <row r="3065" spans="1:4" x14ac:dyDescent="0.2">
      <c r="A3065" s="5">
        <v>3004</v>
      </c>
      <c r="B3065" s="138">
        <f>'Expenditures 15-22'!K219</f>
        <v>11601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13468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39411</v>
      </c>
      <c r="C3225" s="2" t="s">
        <v>573</v>
      </c>
      <c r="D3225" s="2" t="str">
        <f t="shared" si="49"/>
        <v>Error?</v>
      </c>
    </row>
    <row r="3226" spans="1:4" x14ac:dyDescent="0.2">
      <c r="A3226" s="5">
        <v>3165</v>
      </c>
      <c r="B3226" s="138">
        <f>'Acct Summary 7-8'!I8</f>
        <v>39411</v>
      </c>
      <c r="C3226" s="2" t="s">
        <v>573</v>
      </c>
      <c r="D3226" s="2" t="str">
        <f t="shared" si="49"/>
        <v>Error?</v>
      </c>
    </row>
    <row r="3227" spans="1:4" x14ac:dyDescent="0.2">
      <c r="A3227" s="5">
        <v>3166</v>
      </c>
      <c r="B3227" s="138">
        <f>'Acct Summary 7-8'!I20</f>
        <v>39411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307305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-121825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24252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22474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7527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1616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39411</v>
      </c>
      <c r="C3320" s="2" t="s">
        <v>573</v>
      </c>
      <c r="D3320" s="2" t="str">
        <f t="shared" si="50"/>
        <v>Error?</v>
      </c>
    </row>
    <row r="3321" spans="1:4" x14ac:dyDescent="0.2">
      <c r="A3321" s="5">
        <v>3260</v>
      </c>
      <c r="B3321" s="138">
        <f>'Acct Summary 7-8'!I79</f>
        <v>823790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863201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631053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158064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7693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7337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1388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805535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28029</v>
      </c>
      <c r="D3387" s="2" t="str">
        <f t="shared" si="51"/>
        <v>Error?</v>
      </c>
    </row>
    <row r="3388" spans="1:4" x14ac:dyDescent="0.2">
      <c r="A3388" s="5">
        <v>3327</v>
      </c>
      <c r="B3388" s="138">
        <f>'Expenditures 15-22'!D217</f>
        <v>23714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28029</v>
      </c>
      <c r="C3390" s="2" t="s">
        <v>573</v>
      </c>
      <c r="D3390" s="2" t="str">
        <f t="shared" si="51"/>
        <v>Error?</v>
      </c>
    </row>
    <row r="3391" spans="1:4" x14ac:dyDescent="0.2">
      <c r="A3391" s="5">
        <v>3330</v>
      </c>
      <c r="B3391" s="138">
        <f>'Expenditures 15-22'!K217</f>
        <v>23714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4260909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875690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143388</v>
      </c>
      <c r="D3417" s="2" t="str">
        <f t="shared" si="52"/>
        <v>Error?</v>
      </c>
    </row>
    <row r="3418" spans="1:4" x14ac:dyDescent="0.2">
      <c r="A3418" s="10">
        <v>3357</v>
      </c>
      <c r="D3418" s="2" t="str">
        <f t="shared" si="52"/>
        <v>OK</v>
      </c>
    </row>
    <row r="3419" spans="1:4" x14ac:dyDescent="0.2">
      <c r="A3419" s="5">
        <v>3358</v>
      </c>
      <c r="B3419" s="138">
        <f>'Assets-Liab 5-6'!F4</f>
        <v>115108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459393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119341</v>
      </c>
      <c r="D3425" s="2" t="str">
        <f t="shared" si="52"/>
        <v>Error?</v>
      </c>
    </row>
    <row r="3426" spans="1:4" x14ac:dyDescent="0.2">
      <c r="A3426" s="10">
        <v>3365</v>
      </c>
      <c r="D3426" s="2" t="str">
        <f t="shared" si="52"/>
        <v>OK</v>
      </c>
    </row>
    <row r="3427" spans="1:4" x14ac:dyDescent="0.2">
      <c r="A3427" s="5">
        <v>3366</v>
      </c>
      <c r="B3427" s="138">
        <f>'Assets-Liab 5-6'!I4</f>
        <v>863201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57994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103622</v>
      </c>
      <c r="C3446" s="2" t="s">
        <v>573</v>
      </c>
      <c r="D3446" s="2" t="str">
        <f t="shared" si="52"/>
        <v>Error?</v>
      </c>
    </row>
    <row r="3447" spans="1:4" x14ac:dyDescent="0.2">
      <c r="A3447" s="5">
        <v>3386</v>
      </c>
      <c r="B3447" s="138">
        <f>'Tax Sched 23'!D16</f>
        <v>103622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102266</v>
      </c>
      <c r="C3449" s="2" t="s">
        <v>573</v>
      </c>
      <c r="D3449" s="2" t="str">
        <f t="shared" si="52"/>
        <v>Error?</v>
      </c>
    </row>
    <row r="3450" spans="1:4" x14ac:dyDescent="0.2">
      <c r="A3450" s="5">
        <v>3389</v>
      </c>
      <c r="B3450" s="138">
        <f>'Tax Sched 23'!E16</f>
        <v>102266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291799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291799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291799</v>
      </c>
      <c r="D3567" s="2" t="str">
        <f t="shared" si="54"/>
        <v>Error?</v>
      </c>
    </row>
    <row r="3568" spans="1:4" x14ac:dyDescent="0.2">
      <c r="A3568" s="5">
        <v>3507</v>
      </c>
      <c r="B3568" s="138">
        <f>'Assets-Liab 5-6'!K41</f>
        <v>291799</v>
      </c>
      <c r="C3568" s="2" t="s">
        <v>573</v>
      </c>
      <c r="D3568" s="2" t="str">
        <f t="shared" si="54"/>
        <v>Error?</v>
      </c>
    </row>
    <row r="3569" spans="1:4" x14ac:dyDescent="0.2">
      <c r="A3569" s="5">
        <v>3508</v>
      </c>
      <c r="B3569" s="138">
        <f>'Acct Summary 7-8'!K4</f>
        <v>28959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28959</v>
      </c>
      <c r="C3571" s="2" t="s">
        <v>573</v>
      </c>
      <c r="D3571" s="2" t="str">
        <f t="shared" si="54"/>
        <v>Error?</v>
      </c>
    </row>
    <row r="3572" spans="1:4" x14ac:dyDescent="0.2">
      <c r="A3572" s="5">
        <v>3511</v>
      </c>
      <c r="B3572" s="138">
        <f>'Acct Summary 7-8'!K13</f>
        <v>28860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28860</v>
      </c>
      <c r="C3575" s="2" t="s">
        <v>573</v>
      </c>
      <c r="D3575" s="2" t="str">
        <f t="shared" si="54"/>
        <v>Error?</v>
      </c>
    </row>
    <row r="3576" spans="1:4" x14ac:dyDescent="0.2">
      <c r="A3576" s="5">
        <v>3515</v>
      </c>
      <c r="B3576" s="138">
        <f>'Acct Summary 7-8'!K20</f>
        <v>99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99</v>
      </c>
      <c r="C3588" s="2" t="s">
        <v>573</v>
      </c>
      <c r="D3588" s="2" t="str">
        <f t="shared" si="55"/>
        <v>Error?</v>
      </c>
    </row>
    <row r="3589" spans="1:4" x14ac:dyDescent="0.2">
      <c r="A3589" s="5">
        <v>3528</v>
      </c>
      <c r="B3589" s="138">
        <f>'Acct Summary 7-8'!K79</f>
        <v>291700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291799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25761</v>
      </c>
      <c r="D3632" s="2" t="str">
        <f t="shared" si="55"/>
        <v>Error?</v>
      </c>
    </row>
    <row r="3633" spans="1:4" x14ac:dyDescent="0.2">
      <c r="A3633" s="5">
        <v>3572</v>
      </c>
      <c r="B3633" s="138">
        <f>'Expenditures 15-22'!E350</f>
        <v>25761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25761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487</v>
      </c>
      <c r="D3639" s="2" t="str">
        <f t="shared" si="55"/>
        <v>Error?</v>
      </c>
    </row>
    <row r="3640" spans="1:4" x14ac:dyDescent="0.2">
      <c r="A3640" s="5">
        <v>3579</v>
      </c>
      <c r="B3640" s="138">
        <f>'Expenditures 15-22'!F350</f>
        <v>487</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487</v>
      </c>
      <c r="C3642" s="2" t="s">
        <v>573</v>
      </c>
      <c r="D3642" s="2" t="str">
        <f t="shared" si="55"/>
        <v>Error?</v>
      </c>
    </row>
    <row r="3643" spans="1:4" x14ac:dyDescent="0.2">
      <c r="A3643" s="5">
        <v>3582</v>
      </c>
      <c r="B3643" s="138">
        <f>'Expenditures 15-22'!F367</f>
        <v>487</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2612</v>
      </c>
      <c r="D3646" s="2" t="str">
        <f t="shared" si="55"/>
        <v>Error?</v>
      </c>
    </row>
    <row r="3647" spans="1:4" x14ac:dyDescent="0.2">
      <c r="A3647" s="5">
        <v>3586</v>
      </c>
      <c r="B3647" s="138">
        <f>'Expenditures 15-22'!G350</f>
        <v>2612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2612</v>
      </c>
      <c r="C3649" s="2" t="s">
        <v>573</v>
      </c>
      <c r="D3649" s="2" t="str">
        <f t="shared" si="56"/>
        <v>Error?</v>
      </c>
    </row>
    <row r="3650" spans="1:4" x14ac:dyDescent="0.2">
      <c r="A3650" s="5">
        <v>3589</v>
      </c>
      <c r="B3650" s="138">
        <f>'Expenditures 15-22'!G367</f>
        <v>2612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28860</v>
      </c>
      <c r="C3669" s="2" t="s">
        <v>573</v>
      </c>
      <c r="D3669" s="2" t="str">
        <f t="shared" si="56"/>
        <v>Error?</v>
      </c>
    </row>
    <row r="3670" spans="1:4" x14ac:dyDescent="0.2">
      <c r="A3670" s="5">
        <v>3609</v>
      </c>
      <c r="B3670" s="138">
        <f>'Expenditures 15-22'!K350</f>
        <v>28860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28860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28860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5108</v>
      </c>
      <c r="C3725" s="2" t="s">
        <v>573</v>
      </c>
      <c r="D3725" s="2" t="str">
        <f t="shared" si="57"/>
        <v>Error?</v>
      </c>
    </row>
    <row r="3726" spans="1:4" x14ac:dyDescent="0.2">
      <c r="A3726" s="5">
        <v>3665</v>
      </c>
      <c r="B3726" s="138">
        <f>'Tax Sched 23'!D13</f>
        <v>5108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9744</v>
      </c>
      <c r="C3728" s="2" t="s">
        <v>573</v>
      </c>
      <c r="D3728" s="2" t="str">
        <f t="shared" si="57"/>
        <v>Error?</v>
      </c>
    </row>
    <row r="3729" spans="1:4" x14ac:dyDescent="0.2">
      <c r="A3729" s="5">
        <v>3668</v>
      </c>
      <c r="B3729" s="138">
        <f>'Tax Sched 23'!E13</f>
        <v>9744</v>
      </c>
      <c r="D3729" s="2" t="str">
        <f t="shared" si="57"/>
        <v>Error?</v>
      </c>
    </row>
    <row r="3730" spans="1:4" x14ac:dyDescent="0.2">
      <c r="A3730" s="5">
        <v>3669</v>
      </c>
      <c r="B3730" s="138">
        <f>'ICR Computation 30'!E10</f>
        <v>133856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1962905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7596135</v>
      </c>
      <c r="C4122" s="2" t="s">
        <v>573</v>
      </c>
      <c r="D4122" s="2" t="str">
        <f t="shared" si="63"/>
        <v>Error?</v>
      </c>
    </row>
    <row r="4123" spans="1:4" x14ac:dyDescent="0.2">
      <c r="A4123" s="5">
        <v>4062</v>
      </c>
      <c r="B4123" s="138">
        <f>'Acct Summary 7-8'!D10</f>
        <v>139232</v>
      </c>
      <c r="C4123" s="2" t="s">
        <v>573</v>
      </c>
      <c r="D4123" s="2" t="str">
        <f t="shared" si="63"/>
        <v>Error?</v>
      </c>
    </row>
    <row r="4124" spans="1:4" x14ac:dyDescent="0.2">
      <c r="A4124" s="5">
        <v>4063</v>
      </c>
      <c r="B4124" s="138">
        <f>'Acct Summary 7-8'!E10</f>
        <v>219550</v>
      </c>
      <c r="C4124" s="2" t="s">
        <v>573</v>
      </c>
      <c r="D4124" s="2" t="str">
        <f t="shared" si="63"/>
        <v>Error?</v>
      </c>
    </row>
    <row r="4125" spans="1:4" x14ac:dyDescent="0.2">
      <c r="A4125" s="5">
        <v>4064</v>
      </c>
      <c r="B4125" s="138">
        <f>'Acct Summary 7-8'!F10</f>
        <v>391906</v>
      </c>
      <c r="C4125" s="2" t="s">
        <v>573</v>
      </c>
      <c r="D4125" s="2" t="str">
        <f t="shared" si="63"/>
        <v>Error?</v>
      </c>
    </row>
    <row r="4126" spans="1:4" x14ac:dyDescent="0.2">
      <c r="A4126" s="5">
        <v>4065</v>
      </c>
      <c r="B4126" s="138">
        <f>'Acct Summary 7-8'!G10</f>
        <v>192516</v>
      </c>
      <c r="C4126" s="2" t="s">
        <v>573</v>
      </c>
      <c r="D4126" s="2" t="str">
        <f t="shared" si="63"/>
        <v>Error?</v>
      </c>
    </row>
    <row r="4127" spans="1:4" x14ac:dyDescent="0.2">
      <c r="A4127" s="5">
        <v>4066</v>
      </c>
      <c r="B4127" s="138">
        <f>'Acct Summary 7-8'!H10</f>
        <v>1616</v>
      </c>
      <c r="C4127" s="2" t="s">
        <v>573</v>
      </c>
      <c r="D4127" s="2" t="str">
        <f t="shared" si="63"/>
        <v>Error?</v>
      </c>
    </row>
    <row r="4128" spans="1:4" x14ac:dyDescent="0.2">
      <c r="A4128" s="5">
        <v>4067</v>
      </c>
      <c r="B4128" s="138">
        <f>'Acct Summary 7-8'!I10</f>
        <v>39411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28959</v>
      </c>
      <c r="C4130" s="2" t="s">
        <v>573</v>
      </c>
      <c r="D4130" s="2" t="str">
        <f t="shared" si="63"/>
        <v>Error?</v>
      </c>
    </row>
    <row r="4131" spans="1:4" x14ac:dyDescent="0.2">
      <c r="A4131" s="5">
        <v>4070</v>
      </c>
      <c r="B4131" s="138">
        <f>'Acct Summary 7-8'!C18</f>
        <v>1962905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7288830</v>
      </c>
      <c r="C4136" s="2" t="s">
        <v>573</v>
      </c>
      <c r="D4136" s="2" t="str">
        <f t="shared" si="63"/>
        <v>Error?</v>
      </c>
    </row>
    <row r="4137" spans="1:4" x14ac:dyDescent="0.2">
      <c r="A4137" s="5">
        <v>4076</v>
      </c>
      <c r="B4137" s="138">
        <f>'Acct Summary 7-8'!D19</f>
        <v>261057</v>
      </c>
      <c r="C4137" s="2" t="s">
        <v>573</v>
      </c>
      <c r="D4137" s="2" t="str">
        <f t="shared" si="63"/>
        <v>Error?</v>
      </c>
    </row>
    <row r="4138" spans="1:4" x14ac:dyDescent="0.2">
      <c r="A4138" s="5">
        <v>4077</v>
      </c>
      <c r="B4138" s="138">
        <f>'Acct Summary 7-8'!E19</f>
        <v>212023</v>
      </c>
      <c r="C4138" s="2" t="s">
        <v>573</v>
      </c>
      <c r="D4138" s="2" t="str">
        <f t="shared" si="63"/>
        <v>Error?</v>
      </c>
    </row>
    <row r="4139" spans="1:4" x14ac:dyDescent="0.2">
      <c r="A4139" s="5">
        <v>4078</v>
      </c>
      <c r="B4139" s="138">
        <f>'Acct Summary 7-8'!F19</f>
        <v>367654</v>
      </c>
      <c r="C4139" s="2" t="s">
        <v>573</v>
      </c>
      <c r="D4139" s="2" t="str">
        <f t="shared" si="63"/>
        <v>Error?</v>
      </c>
    </row>
    <row r="4140" spans="1:4" x14ac:dyDescent="0.2">
      <c r="A4140" s="5">
        <v>4079</v>
      </c>
      <c r="B4140" s="138">
        <f>'Acct Summary 7-8'!G19</f>
        <v>170042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28860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612000</v>
      </c>
      <c r="C4171" s="2" t="s">
        <v>573</v>
      </c>
      <c r="D4171" s="2" t="str">
        <f t="shared" si="64"/>
        <v>Error?</v>
      </c>
    </row>
    <row r="4172" spans="1:4" x14ac:dyDescent="0.2">
      <c r="A4172" s="5">
        <v>4111</v>
      </c>
      <c r="B4172" s="138">
        <f>'Short-Term Long-Term Debt 24'!J49</f>
        <v>468612</v>
      </c>
      <c r="C4172" s="2" t="s">
        <v>573</v>
      </c>
      <c r="D4172" s="2" t="str">
        <f t="shared" si="64"/>
        <v>Error?</v>
      </c>
    </row>
    <row r="4173" spans="1:4" x14ac:dyDescent="0.2">
      <c r="A4173" s="5">
        <v>4112</v>
      </c>
      <c r="B4173" s="138">
        <f>'Short-Term Long-Term Debt 24'!H49</f>
        <v>195000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1426.59</v>
      </c>
      <c r="C4265" s="2" t="s">
        <v>573</v>
      </c>
      <c r="D4265" s="2" t="str">
        <f t="shared" si="65"/>
        <v>Error?</v>
      </c>
      <c r="E4265" s="128"/>
    </row>
    <row r="4266" spans="1:5" x14ac:dyDescent="0.2">
      <c r="A4266" s="12">
        <v>4205</v>
      </c>
      <c r="B4266" s="138">
        <f>('FP Info 3'!F10)*100000</f>
        <v>204.58999999999997</v>
      </c>
      <c r="C4266" s="2" t="s">
        <v>573</v>
      </c>
      <c r="D4266" s="2" t="str">
        <f t="shared" si="65"/>
        <v>Error?</v>
      </c>
      <c r="E4266" s="128"/>
    </row>
    <row r="4267" spans="1:5" x14ac:dyDescent="0.2">
      <c r="A4267" s="12">
        <v>4206</v>
      </c>
      <c r="B4267" s="138">
        <f>('FP Info 3'!H10)*100000</f>
        <v>201.92000000000002</v>
      </c>
      <c r="C4267" s="2" t="s">
        <v>573</v>
      </c>
      <c r="D4267" s="2" t="str">
        <f t="shared" si="65"/>
        <v>Error?</v>
      </c>
      <c r="E4267" s="128"/>
    </row>
    <row r="4268" spans="1:5" x14ac:dyDescent="0.2">
      <c r="A4268" s="12">
        <v>4207</v>
      </c>
      <c r="B4268" s="138">
        <f>('FP Info 3'!J10)*100000</f>
        <v>1833</v>
      </c>
      <c r="C4268" s="2" t="s">
        <v>573</v>
      </c>
      <c r="D4268" s="2" t="str">
        <f t="shared" si="65"/>
        <v>Error?</v>
      </c>
    </row>
    <row r="4269" spans="1:5" x14ac:dyDescent="0.2">
      <c r="A4269" s="12">
        <v>4208</v>
      </c>
      <c r="B4269" s="138">
        <f>'FP Info 3'!J16</f>
        <v>6111312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10900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5338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46335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45.28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30210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60295053</v>
      </c>
      <c r="D4995" s="2" t="str">
        <f t="shared" si="77"/>
        <v>Error?</v>
      </c>
    </row>
    <row r="4996" spans="1:4" x14ac:dyDescent="0.2">
      <c r="A4996" s="12">
        <v>4935</v>
      </c>
      <c r="B4996" s="138">
        <f>'FP Info 3'!H31</f>
        <v>4160358.6570000001</v>
      </c>
      <c r="D4996" s="2" t="str">
        <f t="shared" si="77"/>
        <v>Error?</v>
      </c>
    </row>
    <row r="4997" spans="1:4" x14ac:dyDescent="0.2">
      <c r="A4997" s="12">
        <v>4936</v>
      </c>
      <c r="B4997" s="138">
        <f>'FP Info 3'!H37</f>
        <v>612000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5108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848149</v>
      </c>
      <c r="D5061" s="2" t="str">
        <f t="shared" si="78"/>
        <v>Error?</v>
      </c>
    </row>
    <row r="5062" spans="1:4" x14ac:dyDescent="0.2">
      <c r="A5062" s="10">
        <v>5001</v>
      </c>
      <c r="D5062" s="2" t="str">
        <f t="shared" si="78"/>
        <v>OK</v>
      </c>
    </row>
    <row r="5063" spans="1:4" x14ac:dyDescent="0.2">
      <c r="A5063" s="5">
        <v>5002</v>
      </c>
      <c r="B5063" s="138">
        <f>'Revenues 9-14'!C7</f>
        <v>9954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863211</v>
      </c>
      <c r="C5066" s="2" t="s">
        <v>573</v>
      </c>
      <c r="D5066" s="2" t="str">
        <f t="shared" si="78"/>
        <v>Error?</v>
      </c>
    </row>
    <row r="5067" spans="1:4" x14ac:dyDescent="0.2">
      <c r="A5067" s="5">
        <v>5006</v>
      </c>
      <c r="B5067" s="138">
        <f>'Revenues 9-14'!C14</f>
        <v>2563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67161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69724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7863</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7863</v>
      </c>
      <c r="C5087" s="2" t="s">
        <v>573</v>
      </c>
      <c r="D5087" s="2" t="str">
        <f t="shared" si="78"/>
        <v>Error?</v>
      </c>
    </row>
    <row r="5088" spans="1:4" x14ac:dyDescent="0.2">
      <c r="A5088" s="5">
        <v>5027</v>
      </c>
      <c r="B5088" s="138">
        <f>'Revenues 9-14'!C65</f>
        <v>59496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59496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1849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2272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4121</v>
      </c>
      <c r="C5096" s="2" t="s">
        <v>573</v>
      </c>
      <c r="D5096" s="2" t="str">
        <f t="shared" si="78"/>
        <v>Error?</v>
      </c>
    </row>
    <row r="5097" spans="1:4" x14ac:dyDescent="0.2">
      <c r="A5097" s="5">
        <v>5036</v>
      </c>
      <c r="B5097" s="138">
        <f>'Revenues 9-14'!C77</f>
        <v>4678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3260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7938</v>
      </c>
      <c r="C5102" s="2" t="s">
        <v>573</v>
      </c>
      <c r="D5102" s="2" t="str">
        <f t="shared" si="78"/>
        <v>Error?</v>
      </c>
    </row>
    <row r="5103" spans="1:4" x14ac:dyDescent="0.2">
      <c r="A5103" s="5">
        <v>5042</v>
      </c>
      <c r="B5103" s="138">
        <f>'Revenues 9-14'!C84</f>
        <v>10120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10120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3089</v>
      </c>
      <c r="D5114" s="2" t="str">
        <f t="shared" si="78"/>
        <v>Error?</v>
      </c>
    </row>
    <row r="5115" spans="1:4" x14ac:dyDescent="0.2">
      <c r="A5115" s="5">
        <v>5054</v>
      </c>
      <c r="B5115" s="138">
        <f>'Revenues 9-14'!C98</f>
        <v>23782</v>
      </c>
      <c r="D5115" s="2" t="str">
        <f t="shared" si="78"/>
        <v>Error?</v>
      </c>
    </row>
    <row r="5116" spans="1:4" x14ac:dyDescent="0.2">
      <c r="A5116" s="5">
        <v>5055</v>
      </c>
      <c r="B5116" s="138">
        <f>'Revenues 9-14'!C99</f>
        <v>66039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2370</v>
      </c>
      <c r="D5119" s="2" t="str">
        <f t="shared" ref="D5119:D5182" si="79">IF(ISBLANK(B5119),"OK",IF(A5119-B5119=0,"OK","Error?"))</f>
        <v>Error?</v>
      </c>
    </row>
    <row r="5120" spans="1:4" x14ac:dyDescent="0.2">
      <c r="A5120" s="5">
        <v>5059</v>
      </c>
      <c r="B5120" s="138">
        <f>'Revenues 9-14'!C108</f>
        <v>95280</v>
      </c>
      <c r="C5120" s="2" t="s">
        <v>573</v>
      </c>
      <c r="D5120" s="2" t="str">
        <f t="shared" si="79"/>
        <v>Error?</v>
      </c>
    </row>
    <row r="5121" spans="1:4" x14ac:dyDescent="0.2">
      <c r="A5121" s="5">
        <v>5060</v>
      </c>
      <c r="B5121" s="138">
        <f>'Revenues 9-14'!C109</f>
        <v>1117753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3679220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3679220</v>
      </c>
      <c r="C5132" s="2" t="s">
        <v>573</v>
      </c>
      <c r="D5132" s="2" t="str">
        <f t="shared" si="79"/>
        <v>Error?</v>
      </c>
    </row>
    <row r="5133" spans="1:4" x14ac:dyDescent="0.2">
      <c r="A5133" s="5">
        <v>5072</v>
      </c>
      <c r="B5133" s="138">
        <f>'Revenues 9-14'!C125</f>
        <v>59863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4851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64714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6768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101692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3780912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250305</v>
      </c>
      <c r="D5239" s="2" t="str">
        <f t="shared" si="80"/>
        <v>Error?</v>
      </c>
    </row>
    <row r="5240" spans="1:4" x14ac:dyDescent="0.2">
      <c r="A5240" s="5">
        <v>5179</v>
      </c>
      <c r="B5240" s="138">
        <f>'Revenues 9-14'!C192</f>
        <v>456</v>
      </c>
      <c r="D5240" s="2" t="str">
        <f t="shared" si="80"/>
        <v>Error?</v>
      </c>
    </row>
    <row r="5241" spans="1:4" x14ac:dyDescent="0.2">
      <c r="A5241" s="5">
        <v>5180</v>
      </c>
      <c r="B5241" s="138">
        <f>'Revenues 9-14'!C193</f>
        <v>84519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346180</v>
      </c>
      <c r="C5246" s="2" t="s">
        <v>573</v>
      </c>
      <c r="D5246" s="2" t="str">
        <f t="shared" si="80"/>
        <v>Error?</v>
      </c>
    </row>
    <row r="5247" spans="1:4" x14ac:dyDescent="0.2">
      <c r="A5247" s="5">
        <v>5186</v>
      </c>
      <c r="B5247" s="138">
        <f>'Revenues 9-14'!C200</f>
        <v>198270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198270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27834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100578</v>
      </c>
      <c r="D5278" s="2" t="str">
        <f t="shared" si="81"/>
        <v>Error?</v>
      </c>
    </row>
    <row r="5279" spans="1:4" x14ac:dyDescent="0.2">
      <c r="A5279" s="5">
        <v>5218</v>
      </c>
      <c r="B5279" s="138">
        <f>'Revenues 9-14'!C214</f>
        <v>10030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138442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734565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734565</v>
      </c>
      <c r="C5326" s="2" t="s">
        <v>573</v>
      </c>
      <c r="D5326" s="2" t="str">
        <f t="shared" si="82"/>
        <v>Error?</v>
      </c>
    </row>
    <row r="5327" spans="1:5" x14ac:dyDescent="0.2">
      <c r="A5327" s="5">
        <v>5266</v>
      </c>
      <c r="B5327" s="138">
        <f>'Revenues 9-14'!C268</f>
        <v>5633230</v>
      </c>
      <c r="C5327" s="2" t="s">
        <v>573</v>
      </c>
      <c r="D5327" s="2" t="str">
        <f t="shared" si="82"/>
        <v>Error?</v>
      </c>
    </row>
    <row r="5328" spans="1:5" x14ac:dyDescent="0.2">
      <c r="A5328" s="5">
        <v>5267</v>
      </c>
      <c r="B5328" s="138">
        <f>'Revenues 9-14'!D5</f>
        <v>125241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125241</v>
      </c>
      <c r="C5334" s="2" t="s">
        <v>573</v>
      </c>
      <c r="D5334" s="2" t="str">
        <f t="shared" si="82"/>
        <v>Error?</v>
      </c>
    </row>
    <row r="5335" spans="1:4" x14ac:dyDescent="0.2">
      <c r="A5335" s="5">
        <v>5274</v>
      </c>
      <c r="B5335" s="138">
        <f>'Revenues 9-14'!D14</f>
        <v>372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372</v>
      </c>
      <c r="C5339" s="2" t="s">
        <v>573</v>
      </c>
      <c r="D5339" s="2" t="str">
        <f t="shared" si="82"/>
        <v>Error?</v>
      </c>
    </row>
    <row r="5340" spans="1:4" x14ac:dyDescent="0.2">
      <c r="A5340" s="5">
        <v>5279</v>
      </c>
      <c r="B5340" s="138">
        <f>'Revenues 9-14'!D65</f>
        <v>13254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13254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365</v>
      </c>
      <c r="D5354" s="2" t="str">
        <f t="shared" si="82"/>
        <v>Error?</v>
      </c>
    </row>
    <row r="5355" spans="1:4" x14ac:dyDescent="0.2">
      <c r="A5355" s="5">
        <v>5294</v>
      </c>
      <c r="B5355" s="138">
        <f>'Revenues 9-14'!D108</f>
        <v>365</v>
      </c>
      <c r="C5355" s="2" t="s">
        <v>573</v>
      </c>
      <c r="D5355" s="2" t="str">
        <f t="shared" si="82"/>
        <v>Error?</v>
      </c>
    </row>
    <row r="5356" spans="1:4" x14ac:dyDescent="0.2">
      <c r="A5356" s="5">
        <v>5295</v>
      </c>
      <c r="B5356" s="138">
        <f>'Revenues 9-14'!D109</f>
        <v>139232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139232</v>
      </c>
      <c r="C5508" s="2" t="s">
        <v>573</v>
      </c>
      <c r="D5508" s="2" t="str">
        <f t="shared" si="85"/>
        <v>Error?</v>
      </c>
    </row>
    <row r="5509" spans="1:4" x14ac:dyDescent="0.2">
      <c r="A5509" s="5">
        <v>5448</v>
      </c>
      <c r="B5509" s="138">
        <f>'Revenues 9-14'!E5</f>
        <v>216192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216192</v>
      </c>
      <c r="C5513" s="2" t="s">
        <v>573</v>
      </c>
      <c r="D5513" s="2" t="str">
        <f t="shared" si="85"/>
        <v>Error?</v>
      </c>
    </row>
    <row r="5514" spans="1:4" x14ac:dyDescent="0.2">
      <c r="A5514" s="5">
        <v>5453</v>
      </c>
      <c r="B5514" s="138">
        <f>'Revenues 9-14'!E14</f>
        <v>642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642</v>
      </c>
      <c r="C5518" s="2" t="s">
        <v>573</v>
      </c>
      <c r="D5518" s="2" t="str">
        <f t="shared" si="85"/>
        <v>Error?</v>
      </c>
    </row>
    <row r="5519" spans="1:4" x14ac:dyDescent="0.2">
      <c r="A5519" s="5">
        <v>5458</v>
      </c>
      <c r="B5519" s="138">
        <f>'Revenues 9-14'!E65</f>
        <v>2716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2716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219550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219550</v>
      </c>
      <c r="C5552" s="2" t="s">
        <v>573</v>
      </c>
      <c r="D5552" s="2" t="str">
        <f t="shared" si="85"/>
        <v>Error?</v>
      </c>
    </row>
    <row r="5553" spans="1:4" x14ac:dyDescent="0.2">
      <c r="A5553" s="5">
        <v>5492</v>
      </c>
      <c r="B5553" s="138">
        <f>'Revenues 9-14'!F5</f>
        <v>117989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117989</v>
      </c>
      <c r="C5557" s="2" t="s">
        <v>573</v>
      </c>
      <c r="D5557" s="2" t="str">
        <f t="shared" si="85"/>
        <v>Error?</v>
      </c>
    </row>
    <row r="5558" spans="1:4" x14ac:dyDescent="0.2">
      <c r="A5558" s="5">
        <v>5497</v>
      </c>
      <c r="B5558" s="138">
        <f>'Revenues 9-14'!F14</f>
        <v>351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351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1746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1746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120086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84202</v>
      </c>
      <c r="D5615" s="2" t="str">
        <f t="shared" si="86"/>
        <v>Error?</v>
      </c>
    </row>
    <row r="5616" spans="1:4" x14ac:dyDescent="0.2">
      <c r="A5616" s="10">
        <v>5555</v>
      </c>
      <c r="D5616" s="2" t="str">
        <f t="shared" si="86"/>
        <v>OK</v>
      </c>
    </row>
    <row r="5617" spans="1:5" x14ac:dyDescent="0.2">
      <c r="A5617" s="5">
        <v>5556</v>
      </c>
      <c r="B5617" s="138">
        <f>'Revenues 9-14'!F153</f>
        <v>137618</v>
      </c>
      <c r="D5617" s="2" t="str">
        <f t="shared" si="86"/>
        <v>Error?</v>
      </c>
    </row>
    <row r="5618" spans="1:5" x14ac:dyDescent="0.2">
      <c r="A5618" s="5">
        <v>5557</v>
      </c>
      <c r="B5618" s="138">
        <f>'Revenues 9-14'!F155</f>
        <v>221820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221820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271820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391906</v>
      </c>
      <c r="C5720" s="2" t="s">
        <v>573</v>
      </c>
      <c r="D5720" s="2" t="str">
        <f t="shared" si="88"/>
        <v>Error?</v>
      </c>
    </row>
    <row r="5721" spans="1:4" x14ac:dyDescent="0.2">
      <c r="A5721" s="5">
        <v>5660</v>
      </c>
      <c r="B5721" s="138">
        <f>'Revenues 9-14'!G5</f>
        <v>74044</v>
      </c>
      <c r="D5721" s="2" t="str">
        <f t="shared" si="88"/>
        <v>Error?</v>
      </c>
    </row>
    <row r="5722" spans="1:4" x14ac:dyDescent="0.2">
      <c r="A5722" s="5">
        <v>5661</v>
      </c>
      <c r="B5722" s="138">
        <f>'Revenues 9-14'!G7</f>
        <v>0</v>
      </c>
      <c r="D5722" s="2" t="str">
        <f t="shared" si="88"/>
        <v>Error?</v>
      </c>
    </row>
    <row r="5723" spans="1:4" x14ac:dyDescent="0.2">
      <c r="A5723" s="5">
        <v>5662</v>
      </c>
      <c r="B5723" s="138">
        <f>'Revenues 9-14'!G8</f>
        <v>103622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177666</v>
      </c>
      <c r="C5725" s="2" t="s">
        <v>573</v>
      </c>
      <c r="D5725" s="2" t="str">
        <f t="shared" si="88"/>
        <v>Error?</v>
      </c>
    </row>
    <row r="5726" spans="1:4" x14ac:dyDescent="0.2">
      <c r="A5726" s="5">
        <v>5665</v>
      </c>
      <c r="B5726" s="138">
        <f>'Revenues 9-14'!G14</f>
        <v>527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7175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7702</v>
      </c>
      <c r="C5730" s="2" t="s">
        <v>573</v>
      </c>
      <c r="D5730" s="2" t="str">
        <f t="shared" si="88"/>
        <v>Error?</v>
      </c>
    </row>
    <row r="5731" spans="1:4" x14ac:dyDescent="0.2">
      <c r="A5731" s="5">
        <v>5670</v>
      </c>
      <c r="B5731" s="138">
        <f>'Revenues 9-14'!G65</f>
        <v>7148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7148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192516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1616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1616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1616</v>
      </c>
      <c r="C5915" s="2" t="s">
        <v>573</v>
      </c>
      <c r="D5915" s="2" t="str">
        <f t="shared" si="91"/>
        <v>Error?</v>
      </c>
    </row>
    <row r="5916" spans="1:4" x14ac:dyDescent="0.2">
      <c r="A5916" s="5">
        <v>5855</v>
      </c>
      <c r="B5916" s="138">
        <f>'Revenues 9-14'!I5</f>
        <v>27717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27717</v>
      </c>
      <c r="C5918" s="2" t="s">
        <v>573</v>
      </c>
      <c r="D5918" s="2" t="str">
        <f t="shared" si="91"/>
        <v>Error?</v>
      </c>
    </row>
    <row r="5919" spans="1:4" x14ac:dyDescent="0.2">
      <c r="A5919" s="5">
        <v>5858</v>
      </c>
      <c r="B5919" s="138">
        <f>'Revenues 9-14'!I14</f>
        <v>82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82</v>
      </c>
      <c r="C5923" s="2" t="s">
        <v>573</v>
      </c>
      <c r="D5923" s="2" t="str">
        <f t="shared" si="91"/>
        <v>Error?</v>
      </c>
    </row>
    <row r="5924" spans="1:4" x14ac:dyDescent="0.2">
      <c r="A5924" s="5">
        <v>5863</v>
      </c>
      <c r="B5924" s="138">
        <f>'Revenues 9-14'!I65</f>
        <v>11612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11612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39411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24759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24759</v>
      </c>
      <c r="C5987" s="2" t="s">
        <v>573</v>
      </c>
      <c r="D5987" s="2" t="str">
        <f t="shared" si="92"/>
        <v>Error?</v>
      </c>
    </row>
    <row r="5988" spans="1:4" x14ac:dyDescent="0.2">
      <c r="A5988" s="5">
        <v>5927</v>
      </c>
      <c r="B5988" s="138">
        <f>'Revenues 9-14'!K14</f>
        <v>73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73</v>
      </c>
      <c r="C5992" s="2" t="s">
        <v>573</v>
      </c>
      <c r="D5992" s="2" t="str">
        <f t="shared" si="92"/>
        <v>Error?</v>
      </c>
    </row>
    <row r="5993" spans="1:4" x14ac:dyDescent="0.2">
      <c r="A5993" s="5">
        <v>5932</v>
      </c>
      <c r="B5993" s="138">
        <f>'Revenues 9-14'!K65</f>
        <v>4127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4127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28959</v>
      </c>
      <c r="C6023" s="2" t="s">
        <v>573</v>
      </c>
      <c r="D6023" s="2" t="str">
        <f t="shared" si="93"/>
        <v>Error?</v>
      </c>
    </row>
    <row r="6024" spans="1:5" x14ac:dyDescent="0.2">
      <c r="A6024" s="5">
        <v>5963</v>
      </c>
      <c r="B6024" s="138">
        <f>'Revenues 9-14'!G109</f>
        <v>192516</v>
      </c>
      <c r="C6024" s="2" t="s">
        <v>573</v>
      </c>
      <c r="D6024" s="2" t="str">
        <f t="shared" si="93"/>
        <v>Error?</v>
      </c>
    </row>
    <row r="6025" spans="1:5" x14ac:dyDescent="0.2">
      <c r="A6025" s="5">
        <v>5964</v>
      </c>
      <c r="B6025" s="138">
        <f>'Revenues 9-14'!H109</f>
        <v>1616</v>
      </c>
      <c r="C6025" s="2" t="s">
        <v>573</v>
      </c>
      <c r="D6025" s="2" t="str">
        <f t="shared" si="93"/>
        <v>Error?</v>
      </c>
    </row>
    <row r="6026" spans="1:5" x14ac:dyDescent="0.2">
      <c r="A6026" s="5">
        <v>5965</v>
      </c>
      <c r="B6026" s="138">
        <f>'Revenues 9-14'!I109</f>
        <v>39411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28959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25692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509.5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102465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102465</v>
      </c>
      <c r="D6215" s="2" t="str">
        <f t="shared" si="96"/>
        <v>Error?</v>
      </c>
      <c r="E6215" s="2" t="s">
        <v>190</v>
      </c>
    </row>
    <row r="6216" spans="1:5" x14ac:dyDescent="0.2">
      <c r="A6216">
        <v>6155</v>
      </c>
      <c r="B6216" s="138">
        <f>'Assets-Liab 5-6'!J41</f>
        <v>102465</v>
      </c>
      <c r="D6216" s="2" t="str">
        <f t="shared" si="96"/>
        <v>Error?</v>
      </c>
      <c r="E6216" s="2" t="s">
        <v>190</v>
      </c>
    </row>
    <row r="6217" spans="1:5" x14ac:dyDescent="0.2">
      <c r="A6217">
        <v>6156</v>
      </c>
      <c r="B6217" s="138">
        <f>'Assets-Liab 5-6'!J4</f>
        <v>102465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194295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194295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194295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158336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158336</v>
      </c>
      <c r="D6229" s="2" t="str">
        <f t="shared" si="96"/>
        <v>Error?</v>
      </c>
      <c r="E6229" s="2" t="s">
        <v>190</v>
      </c>
    </row>
    <row r="6230" spans="1:5" x14ac:dyDescent="0.2">
      <c r="A6230">
        <v>6169</v>
      </c>
      <c r="B6230" s="138">
        <f>'Acct Summary 7-8'!J20</f>
        <v>35959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35959</v>
      </c>
      <c r="D6263" s="2" t="str">
        <f t="shared" si="96"/>
        <v>Error?</v>
      </c>
      <c r="E6263" s="2" t="s">
        <v>190</v>
      </c>
    </row>
    <row r="6264" spans="1:5" x14ac:dyDescent="0.2">
      <c r="A6264">
        <v>6203</v>
      </c>
      <c r="B6264" s="138">
        <f>'Acct Summary 7-8'!J79</f>
        <v>66506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102465</v>
      </c>
      <c r="D6266" s="2" t="str">
        <f t="shared" si="96"/>
        <v>Error?</v>
      </c>
      <c r="E6266" s="2" t="s">
        <v>190</v>
      </c>
    </row>
    <row r="6267" spans="1:5" x14ac:dyDescent="0.2">
      <c r="A6267">
        <v>6206</v>
      </c>
      <c r="B6267" s="138">
        <f>'Acct Summary 7-8'!C82</f>
        <v>307305</v>
      </c>
      <c r="D6267" s="2" t="str">
        <f t="shared" si="96"/>
        <v>Error?</v>
      </c>
      <c r="E6267" s="2" t="s">
        <v>190</v>
      </c>
    </row>
    <row r="6268" spans="1:5" x14ac:dyDescent="0.2">
      <c r="A6268">
        <v>6207</v>
      </c>
      <c r="B6268" s="138">
        <f>'Acct Summary 7-8'!D82</f>
        <v>-121825</v>
      </c>
      <c r="D6268" s="2" t="str">
        <f t="shared" si="96"/>
        <v>Error?</v>
      </c>
      <c r="E6268" s="2" t="s">
        <v>190</v>
      </c>
    </row>
    <row r="6269" spans="1:5" x14ac:dyDescent="0.2">
      <c r="A6269">
        <v>6208</v>
      </c>
      <c r="B6269" s="138">
        <f>'Acct Summary 7-8'!E82</f>
        <v>7527</v>
      </c>
      <c r="D6269" s="2" t="str">
        <f t="shared" si="96"/>
        <v>Error?</v>
      </c>
      <c r="E6269" s="2" t="s">
        <v>190</v>
      </c>
    </row>
    <row r="6270" spans="1:5" x14ac:dyDescent="0.2">
      <c r="A6270">
        <v>6209</v>
      </c>
      <c r="B6270" s="138">
        <f>'Acct Summary 7-8'!F82</f>
        <v>24252</v>
      </c>
      <c r="D6270" s="2" t="str">
        <f t="shared" si="96"/>
        <v>Error?</v>
      </c>
      <c r="E6270" s="2" t="s">
        <v>190</v>
      </c>
    </row>
    <row r="6271" spans="1:5" x14ac:dyDescent="0.2">
      <c r="A6271">
        <v>6210</v>
      </c>
      <c r="B6271" s="138">
        <f>'Acct Summary 7-8'!G82</f>
        <v>22474</v>
      </c>
      <c r="D6271" s="2" t="str">
        <f t="shared" ref="D6271:D6334" si="97">IF(ISBLANK(B6271),"OK",IF(A6271-B6271=0,"OK","Error?"))</f>
        <v>Error?</v>
      </c>
      <c r="E6271" s="2" t="s">
        <v>190</v>
      </c>
    </row>
    <row r="6272" spans="1:5" x14ac:dyDescent="0.2">
      <c r="A6272">
        <v>6211</v>
      </c>
      <c r="B6272" s="138">
        <f>'Acct Summary 7-8'!H82</f>
        <v>1616</v>
      </c>
      <c r="D6272" s="2" t="str">
        <f t="shared" si="97"/>
        <v>Error?</v>
      </c>
      <c r="E6272" s="2" t="s">
        <v>190</v>
      </c>
    </row>
    <row r="6273" spans="1:5" x14ac:dyDescent="0.2">
      <c r="A6273">
        <v>6212</v>
      </c>
      <c r="B6273" s="138">
        <f>'Acct Summary 7-8'!I82</f>
        <v>39411</v>
      </c>
      <c r="D6273" s="2" t="str">
        <f t="shared" si="97"/>
        <v>Error?</v>
      </c>
      <c r="E6273" s="2" t="s">
        <v>190</v>
      </c>
    </row>
    <row r="6274" spans="1:5" x14ac:dyDescent="0.2">
      <c r="A6274">
        <v>6213</v>
      </c>
      <c r="B6274" s="138">
        <f>'Acct Summary 7-8'!J82</f>
        <v>35959</v>
      </c>
      <c r="D6274" s="2" t="str">
        <f t="shared" si="97"/>
        <v>Error?</v>
      </c>
      <c r="E6274" s="2" t="s">
        <v>190</v>
      </c>
    </row>
    <row r="6275" spans="1:5" x14ac:dyDescent="0.2">
      <c r="A6275">
        <v>6214</v>
      </c>
      <c r="B6275" s="138">
        <f>'Acct Summary 7-8'!K82</f>
        <v>99</v>
      </c>
      <c r="D6275" s="2" t="str">
        <f t="shared" si="97"/>
        <v>Error?</v>
      </c>
      <c r="E6275" s="2" t="s">
        <v>190</v>
      </c>
    </row>
    <row r="6276" spans="1:5" x14ac:dyDescent="0.2">
      <c r="A6276">
        <v>6215</v>
      </c>
      <c r="B6276" s="138">
        <f>'Acct Summary 7-8'!C83</f>
        <v>7.2182853363142438E-2</v>
      </c>
      <c r="D6276" s="2" t="str">
        <f t="shared" si="97"/>
        <v>Error?</v>
      </c>
      <c r="E6276" s="2" t="s">
        <v>190</v>
      </c>
    </row>
    <row r="6277" spans="1:5" x14ac:dyDescent="0.2">
      <c r="A6277">
        <v>6216</v>
      </c>
      <c r="B6277" s="138">
        <f>'Acct Summary 7-8'!D83</f>
        <v>-0.13911886626545925</v>
      </c>
      <c r="D6277" s="2" t="str">
        <f t="shared" si="97"/>
        <v>Error?</v>
      </c>
      <c r="E6277" s="2" t="s">
        <v>190</v>
      </c>
    </row>
    <row r="6278" spans="1:5" x14ac:dyDescent="0.2">
      <c r="A6278">
        <v>6217</v>
      </c>
      <c r="B6278" s="138">
        <f>'Acct Summary 7-8'!E83</f>
        <v>5.2493932546656623E-2</v>
      </c>
      <c r="D6278" s="2" t="str">
        <f t="shared" si="97"/>
        <v>Error?</v>
      </c>
      <c r="E6278" s="2" t="s">
        <v>190</v>
      </c>
    </row>
    <row r="6279" spans="1:5" x14ac:dyDescent="0.2">
      <c r="A6279">
        <v>6218</v>
      </c>
      <c r="B6279" s="138">
        <f>'Acct Summary 7-8'!F83</f>
        <v>0.210689091983181</v>
      </c>
      <c r="D6279" s="2" t="str">
        <f t="shared" si="97"/>
        <v>Error?</v>
      </c>
      <c r="E6279" s="2" t="s">
        <v>190</v>
      </c>
    </row>
    <row r="6280" spans="1:5" x14ac:dyDescent="0.2">
      <c r="A6280">
        <v>6219</v>
      </c>
      <c r="B6280" s="138">
        <f>'Acct Summary 7-8'!G83</f>
        <v>4.8921076289799803E-2</v>
      </c>
      <c r="D6280" s="2" t="str">
        <f t="shared" si="97"/>
        <v>Error?</v>
      </c>
      <c r="E6280" s="2" t="s">
        <v>190</v>
      </c>
    </row>
    <row r="6281" spans="1:5" x14ac:dyDescent="0.2">
      <c r="A6281">
        <v>6220</v>
      </c>
      <c r="B6281" s="138">
        <f>'Acct Summary 7-8'!H83</f>
        <v>1.3541029486932404E-2</v>
      </c>
      <c r="D6281" s="2" t="str">
        <f t="shared" si="97"/>
        <v>Error?</v>
      </c>
      <c r="E6281" s="2" t="s">
        <v>190</v>
      </c>
    </row>
    <row r="6282" spans="1:5" x14ac:dyDescent="0.2">
      <c r="A6282">
        <v>6221</v>
      </c>
      <c r="B6282" s="138">
        <f>'Acct Summary 7-8'!I83</f>
        <v>4.5656805309539722E-2</v>
      </c>
      <c r="D6282" s="2" t="str">
        <f t="shared" si="97"/>
        <v>Error?</v>
      </c>
      <c r="E6282" s="2" t="s">
        <v>190</v>
      </c>
    </row>
    <row r="6283" spans="1:5" x14ac:dyDescent="0.2">
      <c r="A6283">
        <v>6222</v>
      </c>
      <c r="B6283" s="138">
        <f>'Acct Summary 7-8'!J83</f>
        <v>0.35093934514224367</v>
      </c>
      <c r="D6283" s="2" t="str">
        <f t="shared" si="97"/>
        <v>Error?</v>
      </c>
      <c r="E6283" s="2" t="s">
        <v>190</v>
      </c>
    </row>
    <row r="6284" spans="1:5" x14ac:dyDescent="0.2">
      <c r="A6284">
        <v>6223</v>
      </c>
      <c r="B6284" s="138">
        <f>'Acct Summary 7-8'!K83</f>
        <v>3.3927463767867606E-4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192282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192282</v>
      </c>
      <c r="D6301" s="2" t="str">
        <f t="shared" si="97"/>
        <v>Error?</v>
      </c>
      <c r="E6301" s="2" t="s">
        <v>190</v>
      </c>
    </row>
    <row r="6302" spans="1:5" x14ac:dyDescent="0.2">
      <c r="A6302">
        <v>6241</v>
      </c>
      <c r="B6302" s="138">
        <f>'Revenues 9-14'!J14</f>
        <v>571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571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1442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1442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194295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73111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220211</v>
      </c>
      <c r="D6880" s="2" t="str">
        <f t="shared" si="106"/>
        <v>Error?</v>
      </c>
    </row>
    <row r="6881" spans="1:4" x14ac:dyDescent="0.2">
      <c r="A6881">
        <v>6820</v>
      </c>
      <c r="B6881" s="138">
        <f>'Expenditures 15-22'!K22</f>
        <v>220211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138690</v>
      </c>
      <c r="D6983" s="2" t="str">
        <f t="shared" si="108"/>
        <v>Error?</v>
      </c>
    </row>
    <row r="6984" spans="1:4" x14ac:dyDescent="0.2">
      <c r="A6984">
        <v>6923</v>
      </c>
      <c r="B6984" s="138">
        <f>'Expenditures 15-22'!K86</f>
        <v>138690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138690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158336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194295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2283</v>
      </c>
      <c r="D7075" s="2" t="str">
        <f t="shared" si="109"/>
        <v>Error?</v>
      </c>
    </row>
    <row r="7076" spans="1:4" x14ac:dyDescent="0.2">
      <c r="A7076">
        <v>7015</v>
      </c>
      <c r="B7076" s="138">
        <f>'Expenditures 15-22'!K218</f>
        <v>2283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1862</v>
      </c>
      <c r="D7093" s="2" t="str">
        <f t="shared" si="109"/>
        <v>Error?</v>
      </c>
    </row>
    <row r="7094" spans="1:4" x14ac:dyDescent="0.2">
      <c r="A7094">
        <v>7033</v>
      </c>
      <c r="B7094" s="138">
        <f>'Expenditures 15-22'!K254</f>
        <v>1862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68447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68447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69328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69328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20561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20561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20561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137775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158336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20561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137775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158336</v>
      </c>
      <c r="D7224" s="2" t="str">
        <f t="shared" si="111"/>
        <v>Error?</v>
      </c>
    </row>
    <row r="7225" spans="1:4" x14ac:dyDescent="0.2">
      <c r="A7225">
        <v>7164</v>
      </c>
      <c r="B7225" s="138">
        <f>'Expenditures 15-22'!K343</f>
        <v>35959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58345</v>
      </c>
      <c r="D7251" s="2" t="str">
        <f t="shared" si="112"/>
        <v>Error?</v>
      </c>
    </row>
    <row r="7252" spans="1:4" x14ac:dyDescent="0.2">
      <c r="A7252">
        <f t="shared" si="113"/>
        <v>7191</v>
      </c>
      <c r="B7252" s="138">
        <f>'Expenditures 15-22'!D9</f>
        <v>14631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135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3827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3827</v>
      </c>
      <c r="D7618" s="2" t="str">
        <f t="shared" si="124"/>
        <v>Error?</v>
      </c>
      <c r="E7618" s="2" t="s">
        <v>19</v>
      </c>
    </row>
    <row r="7619" spans="1:5" x14ac:dyDescent="0.2">
      <c r="A7619">
        <f t="shared" si="123"/>
        <v>7558</v>
      </c>
      <c r="B7619" s="138">
        <f>'Cap Outlay Deprec 26'!H14</f>
        <v>3827</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3827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149125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9969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873456</v>
      </c>
      <c r="D7797" s="2" t="str">
        <f t="shared" si="127"/>
        <v>Error?</v>
      </c>
      <c r="E7797" s="4" t="s">
        <v>1904</v>
      </c>
    </row>
    <row r="7798" spans="1:5" x14ac:dyDescent="0.2">
      <c r="A7798">
        <v>7737</v>
      </c>
      <c r="B7798" s="138">
        <f>'Contracts Paid in CY 29'!F141</f>
        <v>300000</v>
      </c>
      <c r="D7798" s="2" t="str">
        <f t="shared" si="127"/>
        <v>Error?</v>
      </c>
      <c r="E7798" s="4" t="s">
        <v>1904</v>
      </c>
    </row>
    <row r="7799" spans="1:5" x14ac:dyDescent="0.2">
      <c r="A7799">
        <v>7738</v>
      </c>
      <c r="B7799" s="138">
        <f>'Contracts Paid in CY 29'!G141</f>
        <v>573456</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6" t="s">
        <v>1191</v>
      </c>
      <c r="B2" s="2426"/>
      <c r="C2" s="2426"/>
      <c r="D2" s="2426"/>
      <c r="E2" s="2426"/>
      <c r="F2" s="2426"/>
      <c r="G2" s="2426"/>
      <c r="H2" s="2426"/>
      <c r="I2" s="2426"/>
      <c r="J2" s="2426"/>
      <c r="K2" s="2426"/>
      <c r="L2" s="2426"/>
    </row>
    <row r="3" spans="1:29" ht="13.5" customHeight="1" x14ac:dyDescent="0.2">
      <c r="A3" s="2412" t="s">
        <v>1190</v>
      </c>
      <c r="B3" s="2412"/>
      <c r="C3" s="2412"/>
      <c r="D3" s="2412"/>
      <c r="E3" s="2412"/>
      <c r="F3" s="2412"/>
      <c r="G3" s="2412"/>
      <c r="H3" s="2412"/>
      <c r="I3" s="2412"/>
      <c r="J3" s="2412"/>
      <c r="K3" s="2412"/>
      <c r="L3" s="2412"/>
    </row>
    <row r="4" spans="1:29" ht="13.5" customHeight="1" x14ac:dyDescent="0.2">
      <c r="A4" s="2426" t="s">
        <v>1989</v>
      </c>
      <c r="B4" s="2443"/>
      <c r="C4" s="2443"/>
      <c r="D4" s="2443"/>
      <c r="E4" s="2443"/>
      <c r="F4" s="2443"/>
      <c r="G4" s="2443"/>
      <c r="H4" s="2443"/>
      <c r="I4" s="2443"/>
      <c r="J4" s="2443"/>
      <c r="K4" s="2443"/>
      <c r="L4" s="2443"/>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6" t="str">
        <f>COVER!A17</f>
        <v>Creve Coeur SD 76</v>
      </c>
      <c r="B7" s="2407"/>
      <c r="C7" s="2407"/>
      <c r="D7" s="2444"/>
      <c r="E7" s="2445">
        <f>COVER!A13</f>
        <v>53090076002</v>
      </c>
      <c r="F7" s="2446"/>
      <c r="G7" s="2413" t="str">
        <f>COVER!T23</f>
        <v>066-005027</v>
      </c>
      <c r="H7" s="2414"/>
      <c r="I7" s="2414"/>
      <c r="J7" s="2414"/>
      <c r="K7" s="2414"/>
      <c r="L7" s="2415"/>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6"/>
      <c r="B9" s="2417"/>
      <c r="C9" s="2417"/>
      <c r="D9" s="2417"/>
      <c r="E9" s="2417"/>
      <c r="F9" s="2418"/>
      <c r="G9" s="2419" t="str">
        <f>COVER!T13</f>
        <v>Gorenz and Associates, Ltd.</v>
      </c>
      <c r="H9" s="2420"/>
      <c r="I9" s="2420"/>
      <c r="J9" s="2420"/>
      <c r="K9" s="2420"/>
      <c r="L9" s="2421"/>
    </row>
    <row r="10" spans="1:29" ht="13.5" customHeight="1" x14ac:dyDescent="0.2">
      <c r="A10" s="2403" t="str">
        <f>COVER!A38</f>
        <v>Tony Whiston</v>
      </c>
      <c r="B10" s="2404"/>
      <c r="C10" s="2404"/>
      <c r="D10" s="2404"/>
      <c r="E10" s="2404"/>
      <c r="F10" s="2405"/>
      <c r="G10" s="2419" t="str">
        <f>COVER!T17</f>
        <v>4200 N Knoxville Ave</v>
      </c>
      <c r="H10" s="2432"/>
      <c r="I10" s="2432"/>
      <c r="J10" s="2432"/>
      <c r="K10" s="2432"/>
      <c r="L10" s="2433"/>
    </row>
    <row r="11" spans="1:29" ht="13.5" customHeight="1" x14ac:dyDescent="0.2">
      <c r="A11" s="1181" t="s">
        <v>1519</v>
      </c>
      <c r="B11" s="1182"/>
      <c r="C11" s="1183"/>
      <c r="D11" s="1188"/>
      <c r="E11" s="1183"/>
      <c r="F11" s="1187"/>
      <c r="G11" s="2419" t="str">
        <f>COVER!T19</f>
        <v>Peoria</v>
      </c>
      <c r="H11" s="2432"/>
      <c r="I11" s="2432"/>
      <c r="J11" s="2432"/>
      <c r="K11" s="2432"/>
      <c r="L11" s="2433"/>
    </row>
    <row r="12" spans="1:29" ht="13.5" customHeight="1" x14ac:dyDescent="0.2">
      <c r="A12" s="2437" t="s">
        <v>1518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1520</v>
      </c>
      <c r="H13" s="2428"/>
      <c r="I13" s="2440" t="str">
        <f>COVER!T25</f>
        <v>jhohulin@gorenzcpa.com</v>
      </c>
      <c r="J13" s="2441"/>
      <c r="K13" s="2441"/>
      <c r="L13" s="2442"/>
    </row>
    <row r="14" spans="1:29" ht="13.5" customHeight="1" x14ac:dyDescent="0.2">
      <c r="A14" s="2419" t="str">
        <f>COVER!A19</f>
        <v>400 North Highland</v>
      </c>
      <c r="B14" s="2432"/>
      <c r="C14" s="2432"/>
      <c r="D14" s="2432"/>
      <c r="E14" s="2432"/>
      <c r="F14" s="2433"/>
      <c r="G14" s="1192" t="s">
        <v>1185</v>
      </c>
      <c r="H14" s="1190"/>
      <c r="I14" s="1190"/>
      <c r="J14" s="1190"/>
      <c r="K14" s="1190"/>
      <c r="L14" s="1191"/>
    </row>
    <row r="15" spans="1:29" ht="13.5" customHeight="1" x14ac:dyDescent="0.2">
      <c r="A15" s="2419" t="str">
        <f>COVER!A21</f>
        <v>Creve Coeur</v>
      </c>
      <c r="B15" s="2432"/>
      <c r="C15" s="2432"/>
      <c r="D15" s="2432"/>
      <c r="E15" s="2432"/>
      <c r="F15" s="2433"/>
      <c r="G15" s="2429" t="str">
        <f>COVER!T15</f>
        <v>Jason A. Hohulin, CPA</v>
      </c>
      <c r="H15" s="2430"/>
      <c r="I15" s="2430"/>
      <c r="J15" s="2430"/>
      <c r="K15" s="2430"/>
      <c r="L15" s="2431"/>
    </row>
    <row r="16" spans="1:29" ht="12.2" customHeight="1" x14ac:dyDescent="0.2">
      <c r="A16" s="2409">
        <f>COVER!A25</f>
        <v>61610</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2" t="s">
        <v>1184</v>
      </c>
      <c r="H17" s="1190"/>
      <c r="I17" s="1190"/>
      <c r="J17" s="1190"/>
      <c r="K17" s="1194" t="s">
        <v>1183</v>
      </c>
      <c r="L17" s="1187"/>
      <c r="M17" s="1180"/>
    </row>
    <row r="18" spans="1:13" ht="12.2" customHeight="1" x14ac:dyDescent="0.2">
      <c r="A18" s="2403"/>
      <c r="B18" s="2404"/>
      <c r="C18" s="2404"/>
      <c r="D18" s="2404"/>
      <c r="E18" s="2404"/>
      <c r="F18" s="2405"/>
      <c r="G18" s="2406" t="str">
        <f>COVER!T21</f>
        <v>309-685-7621</v>
      </c>
      <c r="H18" s="2407"/>
      <c r="I18" s="2407"/>
      <c r="J18" s="2407"/>
      <c r="K18" s="2406" t="str">
        <f>COVER!X21</f>
        <v>309-685-4758</v>
      </c>
      <c r="L18" s="2408"/>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7" t="str">
        <f>'Single Audit Cover'!A7</f>
        <v>Creve Coeur SD 76</v>
      </c>
      <c r="B1" s="2443"/>
      <c r="C1" s="2443"/>
      <c r="D1" s="2443"/>
    </row>
    <row r="2" spans="1:11" s="1209" customFormat="1" ht="12.75" x14ac:dyDescent="0.2">
      <c r="A2" s="2448">
        <f>'Single Audit Cover'!E7</f>
        <v>53090076002</v>
      </c>
      <c r="B2" s="2449"/>
      <c r="C2" s="2449"/>
      <c r="D2" s="2449"/>
    </row>
    <row r="3" spans="1:11" s="1209" customFormat="1" ht="12.75" x14ac:dyDescent="0.2">
      <c r="A3" s="2447" t="s">
        <v>1513</v>
      </c>
      <c r="B3" s="2443"/>
      <c r="C3" s="2443"/>
      <c r="D3" s="2443"/>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1" t="str">
        <f>'Single Audit Cover'!A7</f>
        <v>Creve Coeur SD 76</v>
      </c>
      <c r="B1" s="2451"/>
      <c r="C1" s="2451"/>
      <c r="D1" s="2451"/>
      <c r="E1" s="2451"/>
    </row>
    <row r="2" spans="1:5" x14ac:dyDescent="0.2">
      <c r="A2" s="2452">
        <f>'Single Audit Cover'!E7</f>
        <v>53090076002</v>
      </c>
      <c r="B2" s="2452"/>
      <c r="C2" s="2452"/>
      <c r="D2" s="2452"/>
      <c r="E2" s="2452"/>
    </row>
    <row r="3" spans="1:5" ht="4.5" customHeight="1" x14ac:dyDescent="0.2"/>
    <row r="4" spans="1:5" x14ac:dyDescent="0.2">
      <c r="A4" s="2451" t="s">
        <v>1245</v>
      </c>
      <c r="B4" s="2451"/>
      <c r="C4" s="2451"/>
      <c r="D4" s="2451"/>
      <c r="E4" s="2451"/>
    </row>
    <row r="5" spans="1:5" x14ac:dyDescent="0.2">
      <c r="A5" s="2454" t="str">
        <f>'Single Audit Cover'!A4</f>
        <v>Year Ending June 30, 2019</v>
      </c>
      <c r="B5" s="2454"/>
      <c r="C5" s="2454"/>
      <c r="D5" s="2454"/>
      <c r="E5" s="2454"/>
    </row>
    <row r="6" spans="1:5" x14ac:dyDescent="0.2">
      <c r="A6" s="2451" t="s">
        <v>1244</v>
      </c>
      <c r="B6" s="2451"/>
      <c r="C6" s="2451"/>
      <c r="D6" s="2451"/>
      <c r="E6" s="2451"/>
    </row>
    <row r="8" spans="1:5" x14ac:dyDescent="0.2">
      <c r="A8" s="1254" t="s">
        <v>1243</v>
      </c>
    </row>
    <row r="10" spans="1:5" x14ac:dyDescent="0.2">
      <c r="A10" s="1255" t="s">
        <v>1242</v>
      </c>
      <c r="B10" s="1256" t="s">
        <v>1241</v>
      </c>
      <c r="C10" s="1256"/>
      <c r="D10" s="1257">
        <f>SUM('Acct Summary 7-8'!C7:K7)</f>
        <v>734565</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25692</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-46335</v>
      </c>
    </row>
    <row r="19" spans="1:4" ht="13.5" thickBot="1" x14ac:dyDescent="0.25">
      <c r="A19" s="1259" t="s">
        <v>1235</v>
      </c>
      <c r="D19" s="1260">
        <f>SUM(D10:D17)</f>
        <v>713922</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3"/>
      <c r="B24" s="2453"/>
      <c r="D24" s="1262"/>
    </row>
    <row r="25" spans="1:4" x14ac:dyDescent="0.2">
      <c r="A25" s="2450"/>
      <c r="B25" s="2450"/>
      <c r="D25" s="1262"/>
    </row>
    <row r="26" spans="1:4" x14ac:dyDescent="0.2">
      <c r="A26" s="2450"/>
      <c r="B26" s="2450"/>
      <c r="D26" s="1262"/>
    </row>
    <row r="27" spans="1:4" x14ac:dyDescent="0.2">
      <c r="A27" s="2450"/>
      <c r="B27" s="2450"/>
      <c r="D27" s="1262"/>
    </row>
    <row r="28" spans="1:4" x14ac:dyDescent="0.2">
      <c r="A28" s="2450"/>
      <c r="B28" s="2450"/>
      <c r="D28" s="1262"/>
    </row>
    <row r="29" spans="1:4" x14ac:dyDescent="0.2">
      <c r="A29" s="2450"/>
      <c r="B29" s="2450"/>
      <c r="D29" s="1262"/>
    </row>
    <row r="30" spans="1:4" x14ac:dyDescent="0.2">
      <c r="A30" s="2450"/>
      <c r="B30" s="2450"/>
      <c r="D30" s="1262"/>
    </row>
    <row r="32" spans="1:4" x14ac:dyDescent="0.2">
      <c r="A32" s="1254" t="s">
        <v>1233</v>
      </c>
      <c r="D32" s="1257">
        <f>SUM(D19:D30)</f>
        <v>713922</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50"/>
      <c r="B40" s="2450"/>
      <c r="D40" s="1262"/>
    </row>
    <row r="41" spans="1:4" x14ac:dyDescent="0.2">
      <c r="A41" s="2450"/>
      <c r="B41" s="2450"/>
      <c r="D41" s="1265"/>
    </row>
    <row r="42" spans="1:4" x14ac:dyDescent="0.2">
      <c r="A42" s="2450"/>
      <c r="B42" s="2450"/>
      <c r="D42" s="1265"/>
    </row>
    <row r="43" spans="1:4" x14ac:dyDescent="0.2">
      <c r="A43" s="2450"/>
      <c r="B43" s="2450"/>
      <c r="D43" s="1265"/>
    </row>
    <row r="44" spans="1:4" x14ac:dyDescent="0.2">
      <c r="A44" s="2450"/>
      <c r="B44" s="2450"/>
      <c r="D44" s="1265"/>
    </row>
    <row r="45" spans="1:4" x14ac:dyDescent="0.2">
      <c r="A45" s="2450"/>
      <c r="B45" s="2450"/>
      <c r="D45" s="1265"/>
    </row>
    <row r="47" spans="1:4" x14ac:dyDescent="0.2">
      <c r="B47" s="1266" t="s">
        <v>1227</v>
      </c>
      <c r="C47" s="1266"/>
      <c r="D47" s="1267">
        <f>SUM(D35:D45)</f>
        <v>0</v>
      </c>
    </row>
    <row r="49" spans="2:4" x14ac:dyDescent="0.2">
      <c r="B49" s="1266" t="s">
        <v>1226</v>
      </c>
      <c r="C49" s="1266"/>
      <c r="D49" s="1267">
        <f>D32-D47</f>
        <v>713922</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2" t="str">
        <f>'Single Audit Cover'!A7</f>
        <v>Creve Coeur SD 76</v>
      </c>
      <c r="C1" s="2455"/>
      <c r="D1" s="2455"/>
      <c r="E1" s="2455"/>
      <c r="F1" s="2455"/>
      <c r="G1" s="2455"/>
      <c r="H1" s="2455"/>
      <c r="I1" s="2455"/>
      <c r="J1" s="2455"/>
      <c r="K1" s="2455"/>
      <c r="L1" s="2455"/>
      <c r="M1" s="2455"/>
    </row>
    <row r="2" spans="2:14" ht="15" x14ac:dyDescent="0.2">
      <c r="B2" s="2456">
        <f>'Single Audit Cover'!E7</f>
        <v>53090076002</v>
      </c>
      <c r="C2" s="2456"/>
      <c r="D2" s="2456"/>
      <c r="E2" s="2456"/>
      <c r="F2" s="2456"/>
      <c r="G2" s="2456"/>
      <c r="H2" s="2456"/>
      <c r="I2" s="2456"/>
      <c r="J2" s="2456"/>
      <c r="K2" s="2456"/>
      <c r="L2" s="2456"/>
      <c r="M2" s="2456"/>
      <c r="N2" s="1296"/>
    </row>
    <row r="3" spans="2:14" ht="15" x14ac:dyDescent="0.2">
      <c r="B3" s="2457" t="s">
        <v>1219</v>
      </c>
      <c r="C3" s="2457"/>
      <c r="D3" s="2457"/>
      <c r="E3" s="2457"/>
      <c r="F3" s="2457"/>
      <c r="G3" s="2457"/>
      <c r="H3" s="2457"/>
      <c r="I3" s="2457"/>
      <c r="J3" s="2457"/>
      <c r="K3" s="2457"/>
      <c r="L3" s="2457"/>
      <c r="M3" s="2457"/>
      <c r="N3" s="1296"/>
    </row>
    <row r="4" spans="2:14" ht="15" x14ac:dyDescent="0.2">
      <c r="B4" s="2458" t="str">
        <f>'Single Audit Cover'!A4</f>
        <v>Year Ending June 30, 2019</v>
      </c>
      <c r="C4" s="2458"/>
      <c r="D4" s="2458"/>
      <c r="E4" s="2458"/>
      <c r="F4" s="2458"/>
      <c r="G4" s="2458"/>
      <c r="H4" s="2458"/>
      <c r="I4" s="2458"/>
      <c r="J4" s="2458"/>
      <c r="K4" s="2458"/>
      <c r="L4" s="2458"/>
      <c r="M4" s="2458"/>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t="s">
        <v>1169</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Creve Coeur SD 76</v>
      </c>
      <c r="B1" s="2460"/>
      <c r="C1" s="2460"/>
      <c r="D1" s="2460"/>
      <c r="E1" s="2460"/>
      <c r="F1" s="2460"/>
    </row>
    <row r="2" spans="1:7" ht="13.5" customHeight="1" x14ac:dyDescent="0.2">
      <c r="A2" s="2456">
        <f>'Single Audit Cover'!E7</f>
        <v>53090076002</v>
      </c>
      <c r="B2" s="2456"/>
      <c r="C2" s="2456"/>
      <c r="D2" s="2456"/>
      <c r="E2" s="2456"/>
      <c r="F2" s="2456"/>
      <c r="G2" s="1269"/>
    </row>
    <row r="3" spans="1:7" ht="15.75" customHeight="1" x14ac:dyDescent="0.2">
      <c r="A3" s="2461" t="s">
        <v>1271</v>
      </c>
      <c r="B3" s="2461"/>
      <c r="C3" s="2461"/>
      <c r="D3" s="2461"/>
      <c r="E3" s="2461"/>
      <c r="F3" s="2461"/>
    </row>
    <row r="4" spans="1:7" ht="13.5" customHeight="1" x14ac:dyDescent="0.2">
      <c r="A4" s="2462" t="str">
        <f>'Single Audit Cover'!A4</f>
        <v>Year Ending June 30, 2019</v>
      </c>
      <c r="B4" s="2462"/>
      <c r="C4" s="2462"/>
      <c r="D4" s="2462"/>
      <c r="E4" s="2462"/>
      <c r="F4" s="2462"/>
    </row>
    <row r="5" spans="1:7" ht="8.25" customHeight="1" x14ac:dyDescent="0.2">
      <c r="C5" s="317"/>
      <c r="D5" s="317"/>
    </row>
    <row r="6" spans="1:7" ht="13.5" customHeight="1" x14ac:dyDescent="0.2">
      <c r="A6" s="1270" t="s">
        <v>1728</v>
      </c>
      <c r="C6" s="317"/>
      <c r="D6" s="317"/>
    </row>
    <row r="7" spans="1:7" ht="60.95" customHeight="1" x14ac:dyDescent="0.2">
      <c r="A7" s="2459" t="s">
        <v>1729</v>
      </c>
      <c r="B7" s="2459"/>
      <c r="C7" s="2459"/>
      <c r="D7" s="2459"/>
      <c r="E7" s="2459"/>
      <c r="F7" s="2459"/>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59" t="s">
        <v>1731</v>
      </c>
      <c r="B13" s="2459"/>
      <c r="C13" s="2459"/>
      <c r="D13" s="2459"/>
      <c r="E13" s="2459"/>
      <c r="F13" s="2459"/>
    </row>
    <row r="14" spans="1:7" ht="9.75" customHeight="1" x14ac:dyDescent="0.2">
      <c r="C14" s="1254"/>
      <c r="D14" s="1254"/>
    </row>
    <row r="15" spans="1:7" ht="13.5" customHeight="1" x14ac:dyDescent="0.2">
      <c r="C15" s="1843" t="s">
        <v>1270</v>
      </c>
      <c r="D15" s="2464" t="s">
        <v>1269</v>
      </c>
      <c r="E15" s="2464"/>
      <c r="F15" s="2464"/>
    </row>
    <row r="16" spans="1:7" ht="13.5" customHeight="1" x14ac:dyDescent="0.2">
      <c r="A16" s="1276"/>
      <c r="B16" s="1270" t="s">
        <v>1268</v>
      </c>
      <c r="C16" s="1843" t="s">
        <v>1267</v>
      </c>
      <c r="D16" s="2465" t="s">
        <v>1588</v>
      </c>
      <c r="E16" s="2465"/>
      <c r="F16" s="2465"/>
    </row>
    <row r="17" spans="1:6" ht="20.45" customHeight="1" x14ac:dyDescent="0.2">
      <c r="A17" s="1277"/>
      <c r="B17" s="1278"/>
      <c r="C17" s="1279"/>
      <c r="D17" s="2463"/>
      <c r="E17" s="2463"/>
      <c r="F17" s="2463"/>
    </row>
    <row r="18" spans="1:6" ht="20.65" customHeight="1" x14ac:dyDescent="0.2">
      <c r="A18" s="1277"/>
      <c r="B18" s="1278"/>
      <c r="C18" s="1279"/>
      <c r="D18" s="2463"/>
      <c r="E18" s="2463"/>
      <c r="F18" s="2463"/>
    </row>
    <row r="19" spans="1:6" ht="20.65" customHeight="1" x14ac:dyDescent="0.2">
      <c r="A19" s="1277"/>
      <c r="B19" s="1278"/>
      <c r="C19" s="1279"/>
      <c r="D19" s="2463"/>
      <c r="E19" s="2463"/>
      <c r="F19" s="2463"/>
    </row>
    <row r="20" spans="1:6" ht="20.65" customHeight="1" x14ac:dyDescent="0.2">
      <c r="A20" s="1277"/>
      <c r="B20" s="1278"/>
      <c r="C20" s="1279"/>
      <c r="D20" s="2463"/>
      <c r="E20" s="2463"/>
      <c r="F20" s="2463"/>
    </row>
    <row r="21" spans="1:6" ht="20.65" customHeight="1" x14ac:dyDescent="0.2">
      <c r="A21" s="1277"/>
      <c r="B21" s="1278"/>
      <c r="C21" s="1279"/>
      <c r="D21" s="2463"/>
      <c r="E21" s="2463"/>
      <c r="F21" s="2463"/>
    </row>
    <row r="22" spans="1:6" ht="20.65" customHeight="1" x14ac:dyDescent="0.2">
      <c r="A22" s="1277"/>
      <c r="B22" s="1278"/>
      <c r="C22" s="1279"/>
      <c r="D22" s="2463"/>
      <c r="E22" s="2463"/>
      <c r="F22" s="2463"/>
    </row>
    <row r="23" spans="1:6" ht="20.65" customHeight="1" x14ac:dyDescent="0.2">
      <c r="A23" s="1277"/>
      <c r="B23" s="1278"/>
      <c r="C23" s="1279"/>
      <c r="D23" s="2463"/>
      <c r="E23" s="2463"/>
      <c r="F23" s="2463"/>
    </row>
    <row r="24" spans="1:6" ht="20.65" customHeight="1" x14ac:dyDescent="0.2">
      <c r="A24" s="1277"/>
      <c r="B24" s="1278"/>
      <c r="C24" s="1279"/>
      <c r="D24" s="2463"/>
      <c r="E24" s="2463"/>
      <c r="F24" s="2463"/>
    </row>
    <row r="25" spans="1:6" ht="20.65" customHeight="1" x14ac:dyDescent="0.2">
      <c r="A25" s="1277"/>
      <c r="B25" s="1278"/>
      <c r="C25" s="1279"/>
      <c r="D25" s="2463"/>
      <c r="E25" s="2463"/>
      <c r="F25" s="2463"/>
    </row>
    <row r="26" spans="1:6" ht="20.65" customHeight="1" x14ac:dyDescent="0.2">
      <c r="A26" s="1277"/>
      <c r="B26" s="1278"/>
      <c r="C26" s="1279"/>
      <c r="D26" s="2463"/>
      <c r="E26" s="2463"/>
      <c r="F26" s="2463"/>
    </row>
    <row r="27" spans="1:6" ht="20.65" customHeight="1" x14ac:dyDescent="0.2">
      <c r="A27" s="1277"/>
      <c r="B27" s="1278"/>
      <c r="C27" s="1279"/>
      <c r="D27" s="2463"/>
      <c r="E27" s="2463"/>
      <c r="F27" s="2463"/>
    </row>
    <row r="28" spans="1:6" ht="20.65" customHeight="1" x14ac:dyDescent="0.2">
      <c r="A28" s="1277"/>
      <c r="B28" s="1278"/>
      <c r="C28" s="1279"/>
      <c r="D28" s="2463"/>
      <c r="E28" s="2463"/>
      <c r="F28" s="2463"/>
    </row>
    <row r="29" spans="1:6" ht="20.65" customHeight="1" x14ac:dyDescent="0.2">
      <c r="A29" s="1277"/>
      <c r="B29" s="1278"/>
      <c r="C29" s="1279"/>
      <c r="D29" s="2463"/>
      <c r="E29" s="2463"/>
      <c r="F29" s="2463"/>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67" t="s">
        <v>1732</v>
      </c>
      <c r="B32" s="2467"/>
      <c r="C32" s="2467"/>
      <c r="D32" s="2467"/>
      <c r="E32" s="2467"/>
      <c r="F32" s="2467"/>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68">
        <f>+C33+C34</f>
        <v>0</v>
      </c>
      <c r="F34" s="2469"/>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70" t="s">
        <v>1590</v>
      </c>
      <c r="C49" s="2470"/>
      <c r="D49" s="2470"/>
      <c r="E49" s="1393"/>
    </row>
    <row r="50" spans="1:5" s="1294" customFormat="1" ht="3.75" customHeight="1" x14ac:dyDescent="0.2">
      <c r="A50" s="1293"/>
      <c r="B50" s="1842"/>
      <c r="C50" s="1842"/>
      <c r="D50" s="1842"/>
      <c r="E50" s="1393"/>
    </row>
    <row r="51" spans="1:5" s="1294" customFormat="1" ht="20.25" customHeight="1" x14ac:dyDescent="0.2">
      <c r="A51" s="1295">
        <v>6</v>
      </c>
      <c r="B51" s="2466" t="s">
        <v>1551</v>
      </c>
      <c r="C51" s="2466"/>
      <c r="D51" s="2466"/>
    </row>
    <row r="52" spans="1:5" ht="14.25" customHeight="1" x14ac:dyDescent="0.2">
      <c r="A52" s="1295"/>
      <c r="B52" s="2466"/>
      <c r="C52" s="2466"/>
      <c r="D52" s="246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Creve Coeur SD 76</v>
      </c>
      <c r="C1" s="2476"/>
      <c r="D1" s="2476"/>
      <c r="E1" s="2476"/>
      <c r="F1" s="2476"/>
      <c r="G1" s="2476"/>
      <c r="H1" s="2476"/>
      <c r="I1" s="2476"/>
      <c r="J1" s="1403"/>
    </row>
    <row r="2" spans="2:10" s="317" customFormat="1" ht="12.75" customHeight="1" x14ac:dyDescent="0.2">
      <c r="B2" s="2477">
        <f>'Single Audit Cover'!E7</f>
        <v>53090076002</v>
      </c>
      <c r="C2" s="2478"/>
      <c r="D2" s="2478"/>
      <c r="E2" s="2478"/>
      <c r="F2" s="2478"/>
      <c r="G2" s="2478"/>
      <c r="H2" s="2478"/>
      <c r="I2" s="2478"/>
      <c r="J2" s="1403"/>
    </row>
    <row r="3" spans="2:10" s="317" customFormat="1" ht="12.75" customHeight="1" x14ac:dyDescent="0.2">
      <c r="B3" s="2479" t="s">
        <v>1285</v>
      </c>
      <c r="C3" s="2480"/>
      <c r="D3" s="2480"/>
      <c r="E3" s="2480"/>
      <c r="F3" s="2480"/>
      <c r="G3" s="2480"/>
      <c r="H3" s="2480"/>
      <c r="I3" s="2480"/>
      <c r="J3" s="1404"/>
    </row>
    <row r="4" spans="2:10" s="317" customFormat="1" ht="12.75" customHeight="1" x14ac:dyDescent="0.2">
      <c r="B4" s="2479" t="str">
        <f>'Single Audit Cover'!A4</f>
        <v>Year Ending June 30, 2019</v>
      </c>
      <c r="C4" s="2480"/>
      <c r="D4" s="2480"/>
      <c r="E4" s="2480"/>
      <c r="F4" s="2480"/>
      <c r="G4" s="2480"/>
      <c r="H4" s="2480"/>
      <c r="I4" s="2480"/>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9" t="s">
        <v>1284</v>
      </c>
      <c r="C7" s="2480"/>
      <c r="D7" s="2480"/>
      <c r="E7" s="2480"/>
      <c r="F7" s="2480"/>
      <c r="G7" s="2480"/>
      <c r="H7" s="2480"/>
      <c r="I7" s="2480"/>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1"/>
      <c r="D11" s="2481"/>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2"/>
      <c r="E29" s="2482"/>
      <c r="F29" s="2482"/>
      <c r="G29" s="2482"/>
      <c r="H29" s="2482"/>
      <c r="I29" s="2482"/>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83" t="s">
        <v>1751</v>
      </c>
      <c r="D37" s="2484"/>
      <c r="E37" s="2484"/>
      <c r="F37" s="2485"/>
      <c r="G37" s="2483" t="s">
        <v>1592</v>
      </c>
      <c r="H37" s="2484"/>
      <c r="I37" s="2485"/>
    </row>
    <row r="38" spans="2:9" ht="16.5" customHeight="1" x14ac:dyDescent="0.2">
      <c r="B38" s="1425"/>
      <c r="C38" s="2471"/>
      <c r="D38" s="2472"/>
      <c r="E38" s="2472"/>
      <c r="F38" s="2473"/>
      <c r="G38" s="2486"/>
      <c r="H38" s="2487"/>
      <c r="I38" s="2488"/>
    </row>
    <row r="39" spans="2:9" ht="16.5" customHeight="1" x14ac:dyDescent="0.2">
      <c r="B39" s="1425"/>
      <c r="C39" s="2471"/>
      <c r="D39" s="2472"/>
      <c r="E39" s="2472"/>
      <c r="F39" s="2473"/>
      <c r="G39" s="2474"/>
      <c r="H39" s="2474"/>
      <c r="I39" s="2474"/>
    </row>
    <row r="40" spans="2:9" ht="16.5" customHeight="1" x14ac:dyDescent="0.2">
      <c r="B40" s="1425"/>
      <c r="C40" s="2471"/>
      <c r="D40" s="2472"/>
      <c r="E40" s="2472"/>
      <c r="F40" s="2473"/>
      <c r="G40" s="2474"/>
      <c r="H40" s="2474"/>
      <c r="I40" s="2474"/>
    </row>
    <row r="41" spans="2:9" ht="16.5" customHeight="1" x14ac:dyDescent="0.2">
      <c r="B41" s="1425"/>
      <c r="C41" s="2471"/>
      <c r="D41" s="2472"/>
      <c r="E41" s="2472"/>
      <c r="F41" s="2473"/>
      <c r="G41" s="2474"/>
      <c r="H41" s="2474"/>
      <c r="I41" s="2474"/>
    </row>
    <row r="42" spans="2:9" ht="16.5" customHeight="1" x14ac:dyDescent="0.2">
      <c r="B42" s="1425"/>
      <c r="C42" s="2471"/>
      <c r="D42" s="2472"/>
      <c r="E42" s="2472"/>
      <c r="F42" s="2473"/>
      <c r="G42" s="2474"/>
      <c r="H42" s="2474"/>
      <c r="I42" s="2474"/>
    </row>
    <row r="43" spans="2:9" ht="16.5" customHeight="1" x14ac:dyDescent="0.2">
      <c r="B43" s="1425"/>
      <c r="C43" s="2489" t="s">
        <v>1593</v>
      </c>
      <c r="D43" s="2490"/>
      <c r="E43" s="2490"/>
      <c r="F43" s="2491"/>
      <c r="G43" s="2492">
        <f>SUM(G38:I42)</f>
        <v>0</v>
      </c>
      <c r="H43" s="2492"/>
      <c r="I43" s="2492"/>
    </row>
    <row r="44" spans="2:9" ht="12.75" customHeight="1" x14ac:dyDescent="0.2"/>
    <row r="45" spans="2:9" ht="12.75" customHeight="1" x14ac:dyDescent="0.2">
      <c r="B45" s="1416" t="s">
        <v>1841</v>
      </c>
      <c r="D45" s="2493">
        <v>0</v>
      </c>
      <c r="E45" s="2494"/>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95"/>
      <c r="F49" s="2495"/>
      <c r="G49" s="2495"/>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Creve Coeur SD 76</v>
      </c>
      <c r="C1" s="2475"/>
      <c r="D1" s="2475"/>
      <c r="E1" s="2475"/>
      <c r="F1" s="2475"/>
      <c r="G1" s="2475"/>
      <c r="H1" s="2475"/>
      <c r="I1" s="2475"/>
      <c r="J1" s="2475"/>
      <c r="K1" s="2475"/>
      <c r="L1" s="1368"/>
      <c r="M1" s="1368"/>
    </row>
    <row r="2" spans="1:13" ht="12" customHeight="1" x14ac:dyDescent="0.2">
      <c r="B2" s="2477">
        <f>'Single Audit Cover'!E7</f>
        <v>53090076002</v>
      </c>
      <c r="C2" s="2477"/>
      <c r="D2" s="2477"/>
      <c r="E2" s="2477"/>
      <c r="F2" s="2477"/>
      <c r="G2" s="2477"/>
      <c r="H2" s="2477"/>
      <c r="I2" s="2477"/>
      <c r="J2" s="2477"/>
      <c r="K2" s="2477"/>
      <c r="L2" s="1369"/>
      <c r="M2" s="1370"/>
    </row>
    <row r="3" spans="1:13" ht="10.35" customHeight="1" x14ac:dyDescent="0.2">
      <c r="B3" s="2498" t="s">
        <v>1285</v>
      </c>
      <c r="C3" s="2498"/>
      <c r="D3" s="2498"/>
      <c r="E3" s="2498"/>
      <c r="F3" s="2498"/>
      <c r="G3" s="2498"/>
      <c r="H3" s="2498"/>
      <c r="I3" s="2498"/>
      <c r="J3" s="2498"/>
      <c r="K3" s="2498"/>
      <c r="L3" s="1371"/>
      <c r="M3" s="1371"/>
    </row>
    <row r="4" spans="1:13" ht="14.25" customHeight="1" x14ac:dyDescent="0.2">
      <c r="B4" s="2499" t="str">
        <f>'Single Audit Cover'!A4</f>
        <v>Year Ending June 30, 2019</v>
      </c>
      <c r="C4" s="2499"/>
      <c r="D4" s="2499"/>
      <c r="E4" s="2499"/>
      <c r="F4" s="2499"/>
      <c r="G4" s="2499"/>
      <c r="H4" s="2499"/>
      <c r="I4" s="2499"/>
      <c r="J4" s="2499"/>
      <c r="K4" s="2499"/>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9" t="s">
        <v>1296</v>
      </c>
      <c r="C7" s="2499"/>
      <c r="D7" s="2500"/>
      <c r="E7" s="2500"/>
      <c r="F7" s="2500"/>
      <c r="G7" s="2500"/>
      <c r="H7" s="2500"/>
      <c r="I7" s="2500"/>
      <c r="J7" s="2500"/>
      <c r="K7" s="2500"/>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2103</v>
      </c>
      <c r="J10" s="1384" t="s">
        <v>1293</v>
      </c>
      <c r="K10" s="322"/>
      <c r="L10" s="1375"/>
    </row>
    <row r="11" spans="1:13" ht="13.5" customHeight="1" x14ac:dyDescent="0.2">
      <c r="B11" s="322"/>
      <c r="C11" s="322"/>
      <c r="D11" s="322"/>
      <c r="E11" s="322"/>
      <c r="F11" s="322"/>
      <c r="G11" s="1377"/>
      <c r="H11" s="322"/>
      <c r="I11" s="1385" t="s">
        <v>1292</v>
      </c>
      <c r="J11" s="322"/>
      <c r="K11" s="1386">
        <v>1990</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7" t="s">
        <v>2104</v>
      </c>
      <c r="C14" s="2497"/>
      <c r="D14" s="2497"/>
      <c r="E14" s="2497"/>
      <c r="F14" s="2497"/>
      <c r="G14" s="2497"/>
      <c r="H14" s="2497"/>
      <c r="I14" s="2497"/>
      <c r="J14" s="2497"/>
      <c r="K14" s="2497"/>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7" t="s">
        <v>2105</v>
      </c>
      <c r="C17" s="2497"/>
      <c r="D17" s="2497"/>
      <c r="E17" s="2497"/>
      <c r="F17" s="2497"/>
      <c r="G17" s="2497"/>
      <c r="H17" s="2497"/>
      <c r="I17" s="2497"/>
      <c r="J17" s="2497"/>
      <c r="K17" s="2497"/>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01" t="s">
        <v>2106</v>
      </c>
      <c r="C20" s="2501"/>
      <c r="D20" s="2497"/>
      <c r="E20" s="2497"/>
      <c r="F20" s="2497"/>
      <c r="G20" s="2497"/>
      <c r="H20" s="2497"/>
      <c r="I20" s="2497"/>
      <c r="J20" s="2497"/>
      <c r="K20" s="2497"/>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7" t="s">
        <v>2118</v>
      </c>
      <c r="C23" s="2497"/>
      <c r="D23" s="2497"/>
      <c r="E23" s="2497"/>
      <c r="F23" s="2497"/>
      <c r="G23" s="2497"/>
      <c r="H23" s="2497"/>
      <c r="I23" s="2497"/>
      <c r="J23" s="2497"/>
      <c r="K23" s="2497"/>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7" t="s">
        <v>2124</v>
      </c>
      <c r="C26" s="2497"/>
      <c r="D26" s="2497"/>
      <c r="E26" s="2497"/>
      <c r="F26" s="2497"/>
      <c r="G26" s="2497"/>
      <c r="H26" s="2497"/>
      <c r="I26" s="2497"/>
      <c r="J26" s="2497"/>
      <c r="K26" s="2497"/>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6" t="s">
        <v>2119</v>
      </c>
      <c r="C29" s="2496"/>
      <c r="D29" s="2497"/>
      <c r="E29" s="2497"/>
      <c r="F29" s="2497"/>
      <c r="G29" s="2497"/>
      <c r="H29" s="2497"/>
      <c r="I29" s="2497"/>
      <c r="J29" s="2497"/>
      <c r="K29" s="2497"/>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96" t="s">
        <v>2120</v>
      </c>
      <c r="C32" s="2496"/>
      <c r="D32" s="2497"/>
      <c r="E32" s="2497"/>
      <c r="F32" s="2497"/>
      <c r="G32" s="2497"/>
      <c r="H32" s="2497"/>
      <c r="I32" s="2497"/>
      <c r="J32" s="2497"/>
      <c r="K32" s="2497"/>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Creve Coeur SD 76</v>
      </c>
      <c r="C1" s="2502"/>
      <c r="D1" s="2502"/>
      <c r="E1" s="2502"/>
      <c r="F1" s="2502"/>
      <c r="G1" s="2502"/>
      <c r="H1" s="2502"/>
      <c r="I1" s="2502"/>
      <c r="J1" s="2502"/>
      <c r="K1" s="2502"/>
      <c r="L1" s="1446"/>
    </row>
    <row r="2" spans="1:12" ht="12.75" customHeight="1" x14ac:dyDescent="0.2">
      <c r="B2" s="2503">
        <f>'Single Audit Cover'!E7</f>
        <v>53090076002</v>
      </c>
      <c r="C2" s="2503"/>
      <c r="D2" s="2503"/>
      <c r="E2" s="2503"/>
      <c r="F2" s="2503"/>
      <c r="G2" s="2503"/>
      <c r="H2" s="2503"/>
      <c r="I2" s="2503"/>
      <c r="J2" s="2503"/>
      <c r="K2" s="2503"/>
      <c r="L2" s="1447"/>
    </row>
    <row r="3" spans="1:12" ht="12.75" customHeight="1" x14ac:dyDescent="0.2">
      <c r="B3" s="2498" t="s">
        <v>1285</v>
      </c>
      <c r="C3" s="2498"/>
      <c r="D3" s="2498"/>
      <c r="E3" s="2498"/>
      <c r="F3" s="2498"/>
      <c r="G3" s="2498"/>
      <c r="H3" s="2498"/>
      <c r="I3" s="2498"/>
      <c r="J3" s="2498"/>
      <c r="K3" s="2498"/>
      <c r="L3" s="1371"/>
    </row>
    <row r="4" spans="1:12" ht="12.75" customHeight="1" x14ac:dyDescent="0.2">
      <c r="B4" s="2498" t="str">
        <f>'Single Audit Cover'!A4</f>
        <v>Year Ending June 30, 2019</v>
      </c>
      <c r="C4" s="2498"/>
      <c r="D4" s="2498"/>
      <c r="E4" s="2498"/>
      <c r="F4" s="2498"/>
      <c r="G4" s="2498"/>
      <c r="H4" s="2498"/>
      <c r="I4" s="2498"/>
      <c r="J4" s="2498"/>
      <c r="K4" s="2498"/>
      <c r="L4" s="1371"/>
    </row>
    <row r="5" spans="1:12" ht="5.25" customHeight="1" x14ac:dyDescent="0.2">
      <c r="B5" s="1254" t="s">
        <v>1169</v>
      </c>
      <c r="C5" s="1254"/>
      <c r="L5" s="322"/>
    </row>
    <row r="6" spans="1:12" ht="30.75" customHeight="1" x14ac:dyDescent="0.2">
      <c r="A6" s="322"/>
      <c r="B6" s="2504" t="s">
        <v>1308</v>
      </c>
      <c r="C6" s="2504"/>
      <c r="D6" s="2504"/>
      <c r="E6" s="2504"/>
      <c r="F6" s="2504"/>
      <c r="G6" s="2504"/>
      <c r="H6" s="2504"/>
      <c r="I6" s="2504"/>
      <c r="J6" s="2504"/>
      <c r="K6" s="2504"/>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2"/>
      <c r="G12" s="2482"/>
      <c r="H12" s="2482"/>
      <c r="I12" s="2482"/>
      <c r="J12" s="2482"/>
      <c r="K12" s="2482"/>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05"/>
      <c r="E14" s="2505"/>
      <c r="F14" s="2505"/>
      <c r="H14" s="1456" t="s">
        <v>1303</v>
      </c>
      <c r="I14" s="2506"/>
      <c r="J14" s="2506"/>
      <c r="K14" s="2506"/>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6"/>
      <c r="E16" s="2506"/>
      <c r="F16" s="2506"/>
      <c r="G16" s="2506"/>
      <c r="H16" s="2506"/>
      <c r="I16" s="2506"/>
      <c r="J16" s="2506"/>
      <c r="K16" s="2506"/>
      <c r="L16" s="322"/>
    </row>
    <row r="17" spans="2:12" ht="13.5" customHeight="1" x14ac:dyDescent="0.2">
      <c r="B17" s="1381" t="s">
        <v>1301</v>
      </c>
      <c r="C17" s="1381"/>
      <c r="D17" s="2507"/>
      <c r="E17" s="2507"/>
      <c r="F17" s="2507"/>
      <c r="G17" s="2507"/>
      <c r="H17" s="2507"/>
      <c r="I17" s="2507"/>
      <c r="J17" s="2507"/>
      <c r="K17" s="2507"/>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7"/>
      <c r="C20" s="2497"/>
      <c r="D20" s="2497"/>
      <c r="E20" s="2497"/>
      <c r="F20" s="2497"/>
      <c r="G20" s="2497"/>
      <c r="H20" s="2497"/>
      <c r="I20" s="2497"/>
      <c r="J20" s="2497"/>
      <c r="K20" s="2497"/>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5" t="str">
        <f>'Single Audit Cover'!A7</f>
        <v>Creve Coeur SD 76</v>
      </c>
      <c r="C1" s="2475"/>
      <c r="D1" s="2475"/>
      <c r="E1" s="1466"/>
    </row>
    <row r="2" spans="2:5" s="1276" customFormat="1" ht="12.75" customHeight="1" x14ac:dyDescent="0.2">
      <c r="B2" s="2477">
        <f>'Single Audit Cover'!E7</f>
        <v>53090076002</v>
      </c>
      <c r="C2" s="2477"/>
      <c r="D2" s="2477"/>
      <c r="E2" s="1467"/>
    </row>
    <row r="3" spans="2:5" ht="12.75" customHeight="1" x14ac:dyDescent="0.2">
      <c r="B3" s="2498" t="s">
        <v>1766</v>
      </c>
      <c r="C3" s="2498"/>
      <c r="D3" s="2498"/>
      <c r="E3" s="1268"/>
    </row>
    <row r="4" spans="2:5" s="1276" customFormat="1" ht="12.75" customHeight="1" x14ac:dyDescent="0.2">
      <c r="B4" s="2508" t="str">
        <f>'Single Audit Cover'!A4</f>
        <v>Year Ending June 30, 2019</v>
      </c>
      <c r="C4" s="2508"/>
      <c r="D4" s="2508"/>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2100</v>
      </c>
      <c r="C7" s="324" t="s">
        <v>2101</v>
      </c>
      <c r="D7" s="324" t="s">
        <v>2102</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8" customWidth="1"/>
    <col min="2" max="2" width="11.28515625" style="1938" customWidth="1"/>
    <col min="3" max="3" width="6.42578125" style="1938" customWidth="1"/>
    <col min="4" max="4" width="5.42578125" style="1938" customWidth="1"/>
    <col min="5" max="5" width="74.7109375" style="1938" customWidth="1"/>
    <col min="6" max="6" width="1.5703125" style="1938" customWidth="1"/>
    <col min="7" max="8" width="2.42578125" style="1938" customWidth="1"/>
    <col min="9" max="9" width="9.28515625" style="1938" customWidth="1"/>
    <col min="10" max="10" width="14.42578125" style="1938" customWidth="1"/>
    <col min="11" max="11" width="7.28515625" style="1938" customWidth="1"/>
    <col min="12" max="12" width="3.140625" style="1938" customWidth="1"/>
    <col min="13" max="16384" width="9.140625" style="1938"/>
  </cols>
  <sheetData>
    <row r="1" spans="2:12" ht="13.5" customHeight="1" x14ac:dyDescent="0.2">
      <c r="B1" s="2510" t="str">
        <f>COVER!A17</f>
        <v>Creve Coeur SD 76</v>
      </c>
      <c r="C1" s="2510"/>
      <c r="D1" s="2510"/>
      <c r="E1" s="2510"/>
      <c r="F1" s="1937"/>
      <c r="G1" s="1937"/>
      <c r="H1" s="1937"/>
      <c r="I1" s="1937"/>
      <c r="J1" s="1937"/>
      <c r="K1" s="1937"/>
      <c r="L1" s="1937"/>
    </row>
    <row r="2" spans="2:12" ht="13.5" customHeight="1" x14ac:dyDescent="0.2">
      <c r="B2" s="2511">
        <f>COVER!A13</f>
        <v>53090076002</v>
      </c>
      <c r="C2" s="2511"/>
      <c r="D2" s="2511"/>
      <c r="E2" s="2511"/>
      <c r="F2" s="1939"/>
      <c r="G2" s="1939"/>
      <c r="H2" s="1939"/>
      <c r="I2" s="1939"/>
      <c r="J2" s="1939"/>
      <c r="K2" s="1939"/>
      <c r="L2" s="1939"/>
    </row>
    <row r="3" spans="2:12" ht="13.5" customHeight="1" x14ac:dyDescent="0.2">
      <c r="B3" s="2512" t="s">
        <v>2107</v>
      </c>
      <c r="C3" s="2512"/>
      <c r="D3" s="2512"/>
      <c r="E3" s="2512"/>
      <c r="F3" s="1940"/>
      <c r="G3" s="1940"/>
      <c r="H3" s="1940"/>
      <c r="I3" s="1940"/>
      <c r="J3" s="1940"/>
      <c r="K3" s="1940"/>
      <c r="L3" s="1940"/>
    </row>
    <row r="4" spans="2:12" ht="13.5" customHeight="1" x14ac:dyDescent="0.2">
      <c r="B4" s="2513" t="s">
        <v>1989</v>
      </c>
      <c r="C4" s="2513"/>
      <c r="D4" s="2513"/>
      <c r="E4" s="2513"/>
      <c r="F4" s="1941"/>
      <c r="G4" s="1941"/>
      <c r="H4" s="1941"/>
      <c r="I4" s="1941"/>
      <c r="J4" s="1941"/>
      <c r="K4" s="1941"/>
      <c r="L4" s="1941"/>
    </row>
    <row r="5" spans="2:12" ht="29.85" customHeight="1" x14ac:dyDescent="0.2"/>
    <row r="6" spans="2:12" ht="13.5" customHeight="1" x14ac:dyDescent="0.2">
      <c r="B6" s="1942" t="s">
        <v>2108</v>
      </c>
      <c r="C6" s="1942"/>
      <c r="D6" s="1943"/>
      <c r="E6" s="1944"/>
      <c r="F6" s="1944"/>
      <c r="G6" s="1945"/>
      <c r="H6" s="1945"/>
      <c r="I6" s="1945"/>
    </row>
    <row r="7" spans="2:12" ht="13.5" customHeight="1" x14ac:dyDescent="0.2">
      <c r="B7" s="1938" t="s">
        <v>1169</v>
      </c>
    </row>
    <row r="8" spans="2:12" ht="13.5" customHeight="1" x14ac:dyDescent="0.2">
      <c r="B8" s="1946" t="s">
        <v>2109</v>
      </c>
      <c r="C8" s="1947" t="s">
        <v>1991</v>
      </c>
      <c r="D8" s="1948">
        <v>1</v>
      </c>
    </row>
    <row r="9" spans="2:12" ht="13.5" customHeight="1" x14ac:dyDescent="0.2">
      <c r="B9" s="1949"/>
      <c r="C9" s="1949"/>
      <c r="D9" s="1949"/>
    </row>
    <row r="10" spans="2:12" ht="13.5" customHeight="1" x14ac:dyDescent="0.2">
      <c r="B10" s="1946" t="s">
        <v>2110</v>
      </c>
      <c r="C10" s="1946"/>
    </row>
    <row r="11" spans="2:12" ht="66.75" customHeight="1" x14ac:dyDescent="0.2">
      <c r="B11" s="2509" t="s">
        <v>2116</v>
      </c>
      <c r="C11" s="2509"/>
      <c r="D11" s="2509"/>
      <c r="E11" s="2509"/>
    </row>
    <row r="12" spans="2:12" ht="13.5" customHeight="1" x14ac:dyDescent="0.2"/>
    <row r="13" spans="2:12" ht="13.5" customHeight="1" x14ac:dyDescent="0.2">
      <c r="B13" s="1946" t="s">
        <v>2111</v>
      </c>
      <c r="C13" s="1946"/>
    </row>
    <row r="14" spans="2:12" ht="76.5" customHeight="1" x14ac:dyDescent="0.2">
      <c r="B14" s="2509" t="s">
        <v>2123</v>
      </c>
      <c r="C14" s="2509"/>
      <c r="D14" s="2509"/>
      <c r="E14" s="2509"/>
    </row>
    <row r="15" spans="2:12" ht="13.5" customHeight="1" x14ac:dyDescent="0.2"/>
    <row r="16" spans="2:12" ht="13.5" customHeight="1" x14ac:dyDescent="0.2">
      <c r="B16" s="1946" t="s">
        <v>2112</v>
      </c>
      <c r="C16" s="1946"/>
      <c r="E16" s="1950">
        <v>44012</v>
      </c>
    </row>
    <row r="17" spans="2:5" ht="13.5" customHeight="1" x14ac:dyDescent="0.2"/>
    <row r="18" spans="2:5" ht="13.5" customHeight="1" x14ac:dyDescent="0.2">
      <c r="B18" s="1946" t="s">
        <v>2113</v>
      </c>
      <c r="C18" s="1946"/>
      <c r="E18" s="1951" t="s">
        <v>2117</v>
      </c>
    </row>
    <row r="19" spans="2:5" ht="13.5" customHeight="1" x14ac:dyDescent="0.2"/>
    <row r="20" spans="2:5" ht="13.5" customHeight="1" x14ac:dyDescent="0.2">
      <c r="B20" s="1946" t="s">
        <v>2114</v>
      </c>
      <c r="C20" s="1946"/>
      <c r="E20" s="1951" t="s">
        <v>2121</v>
      </c>
    </row>
    <row r="21" spans="2:5" ht="13.5" customHeight="1" x14ac:dyDescent="0.2">
      <c r="E21" s="1951" t="s">
        <v>2122</v>
      </c>
    </row>
    <row r="22" spans="2:5" ht="13.5" customHeight="1" x14ac:dyDescent="0.2">
      <c r="E22" s="1951"/>
    </row>
    <row r="23" spans="2:5" ht="13.5" customHeight="1" x14ac:dyDescent="0.2"/>
    <row r="24" spans="2:5" ht="13.5" customHeight="1" x14ac:dyDescent="0.2"/>
    <row r="25" spans="2:5" ht="13.5" customHeight="1" x14ac:dyDescent="0.2">
      <c r="B25" s="1952"/>
      <c r="C25" s="1952"/>
      <c r="D25" s="1952"/>
    </row>
    <row r="26" spans="2:5" ht="13.5" customHeight="1" x14ac:dyDescent="0.2">
      <c r="B26" s="1952"/>
      <c r="C26" s="1952"/>
      <c r="D26" s="1952"/>
    </row>
    <row r="27" spans="2:5" ht="13.5" customHeight="1" x14ac:dyDescent="0.2">
      <c r="B27" s="1952"/>
      <c r="C27" s="1952"/>
      <c r="D27" s="19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3"/>
      <c r="C35" s="1953"/>
      <c r="D35" s="1953"/>
    </row>
    <row r="36" spans="2:5" ht="13.5" customHeight="1" x14ac:dyDescent="0.2"/>
    <row r="37" spans="2:5" ht="13.5" customHeight="1" x14ac:dyDescent="0.2">
      <c r="B37" s="1953"/>
      <c r="C37" s="1953"/>
      <c r="D37" s="1953"/>
    </row>
    <row r="38" spans="2:5" ht="13.5" customHeight="1" x14ac:dyDescent="0.2">
      <c r="B38" s="1953"/>
      <c r="C38" s="1953"/>
      <c r="D38" s="1953"/>
    </row>
    <row r="39" spans="2:5" ht="13.5" customHeight="1" x14ac:dyDescent="0.2">
      <c r="B39" s="1953"/>
      <c r="C39" s="1953"/>
      <c r="D39" s="1953"/>
    </row>
    <row r="40" spans="2:5" ht="13.5" customHeight="1" x14ac:dyDescent="0.2">
      <c r="B40" s="1953"/>
      <c r="C40" s="1953"/>
      <c r="D40" s="1953"/>
    </row>
    <row r="41" spans="2:5" ht="13.5" customHeight="1" x14ac:dyDescent="0.2">
      <c r="B41" s="1954"/>
      <c r="C41" s="1954"/>
      <c r="D41" s="1954"/>
      <c r="E41" s="1954"/>
    </row>
    <row r="42" spans="2:5" ht="12.2" customHeight="1" x14ac:dyDescent="0.2">
      <c r="B42" s="1955" t="s">
        <v>2115</v>
      </c>
      <c r="C42" s="1955"/>
      <c r="D42" s="1955"/>
    </row>
    <row r="43" spans="2:5" ht="12.2" customHeight="1" x14ac:dyDescent="0.2">
      <c r="B43" s="1956"/>
      <c r="C43" s="1956"/>
      <c r="D43" s="1956"/>
    </row>
    <row r="44" spans="2:5" ht="12.75" customHeight="1" x14ac:dyDescent="0.2">
      <c r="B44" s="1946"/>
      <c r="C44" s="1946"/>
      <c r="D44" s="1946"/>
    </row>
    <row r="45" spans="2:5" ht="12.75" customHeight="1" x14ac:dyDescent="0.2">
      <c r="B45" s="1946"/>
      <c r="C45" s="1946"/>
      <c r="D45" s="1946"/>
    </row>
    <row r="46" spans="2:5" x14ac:dyDescent="0.2">
      <c r="B46" s="1946"/>
      <c r="C46" s="1946"/>
      <c r="D46" s="1946"/>
    </row>
    <row r="47" spans="2:5" x14ac:dyDescent="0.2">
      <c r="B47" s="1946"/>
      <c r="C47" s="1946"/>
      <c r="D47" s="1946"/>
    </row>
    <row r="51" spans="2:4" x14ac:dyDescent="0.2">
      <c r="B51" s="1957"/>
      <c r="C51" s="1957"/>
      <c r="D51" s="19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8"/>
      <c r="C64" s="1958"/>
      <c r="D64" s="1958"/>
    </row>
    <row r="65" spans="2:4" x14ac:dyDescent="0.2">
      <c r="B65" s="1946"/>
      <c r="C65" s="1946"/>
      <c r="D65" s="1946"/>
    </row>
    <row r="66" spans="2:4" x14ac:dyDescent="0.2">
      <c r="B66" s="1946"/>
      <c r="C66" s="1946"/>
      <c r="D66" s="1946"/>
    </row>
    <row r="67" spans="2:4" x14ac:dyDescent="0.2">
      <c r="B67" s="1958"/>
      <c r="C67" s="1958"/>
      <c r="D67" s="1958"/>
    </row>
    <row r="68" spans="2:4" x14ac:dyDescent="0.2">
      <c r="B68" s="1958"/>
      <c r="C68" s="1958"/>
      <c r="D68" s="1958"/>
    </row>
    <row r="69" spans="2:4" x14ac:dyDescent="0.2">
      <c r="B69" s="1958"/>
      <c r="C69" s="1958"/>
      <c r="D69" s="1958"/>
    </row>
    <row r="70" spans="2:4" x14ac:dyDescent="0.2">
      <c r="B70" s="1946"/>
      <c r="C70" s="1946"/>
      <c r="D70" s="19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4d435f69-8686-490b-bd6d-b153bf22ab50"/>
    <ds:schemaRef ds:uri="http://purl.org/dc/terms/"/>
    <ds:schemaRef ds:uri="http://schemas.microsoft.com/office/infopath/2007/PartnerControls"/>
    <ds:schemaRef ds:uri="6ce3111e-7420-4802-b50a-75d4e9a0b980"/>
    <ds:schemaRef ds:uri="http://schemas.microsoft.com/sharepoint/v3"/>
    <ds:schemaRef ds:uri="http://purl.org/dc/elements/1.1/"/>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2019-10-15T15:23:28Z</cp:lastPrinted>
  <dcterms:created xsi:type="dcterms:W3CDTF">2003-10-29T19:06:34Z</dcterms:created>
  <dcterms:modified xsi:type="dcterms:W3CDTF">2019-11-25T15:38:15Z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