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198527A-EBDD-454A-AD4E-9E82FA02D808}"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state="hidden" r:id="rId28"/>
    <sheet name="SEFA"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5" i="11" l="1"/>
  <c r="M20" i="3"/>
  <c r="E123" i="29"/>
  <c r="H13" i="183" l="1"/>
  <c r="J13" i="183"/>
  <c r="H14" i="183"/>
  <c r="J14" i="183"/>
  <c r="L21" i="183"/>
  <c r="F22" i="183"/>
  <c r="J22" i="183"/>
  <c r="L22" i="183" s="1"/>
  <c r="E24" i="183"/>
  <c r="F24" i="183"/>
  <c r="H24" i="183"/>
  <c r="K24" i="183"/>
  <c r="K33" i="183" s="1"/>
  <c r="N24" i="183"/>
  <c r="L26" i="183"/>
  <c r="L28" i="183"/>
  <c r="L31" i="183" s="1"/>
  <c r="L29" i="183"/>
  <c r="E31" i="183"/>
  <c r="F31" i="183"/>
  <c r="H31" i="183"/>
  <c r="J31" i="183"/>
  <c r="K31" i="183"/>
  <c r="N31" i="183"/>
  <c r="E33" i="183"/>
  <c r="F37" i="183"/>
  <c r="J37" i="183"/>
  <c r="L37" i="183" s="1"/>
  <c r="F38" i="183"/>
  <c r="J38" i="183"/>
  <c r="L38" i="183"/>
  <c r="E40" i="183"/>
  <c r="H40" i="183"/>
  <c r="J40" i="183"/>
  <c r="K40" i="183"/>
  <c r="K56" i="183" s="1"/>
  <c r="N40" i="183"/>
  <c r="L42" i="183"/>
  <c r="F43" i="183"/>
  <c r="J43" i="183"/>
  <c r="J45" i="183" s="1"/>
  <c r="E45" i="183"/>
  <c r="F45" i="183"/>
  <c r="H45" i="183"/>
  <c r="K45" i="183"/>
  <c r="N45" i="183"/>
  <c r="L48" i="183"/>
  <c r="L49" i="183"/>
  <c r="F50" i="183"/>
  <c r="F53" i="183" s="1"/>
  <c r="J50" i="183"/>
  <c r="L50" i="183" s="1"/>
  <c r="E53" i="183"/>
  <c r="H53" i="183"/>
  <c r="J53" i="183"/>
  <c r="K53" i="183"/>
  <c r="H56" i="183"/>
  <c r="L60" i="183"/>
  <c r="L61" i="183"/>
  <c r="L62" i="183"/>
  <c r="F63" i="183"/>
  <c r="F65" i="183" s="1"/>
  <c r="L63" i="183"/>
  <c r="L65" i="183" s="1"/>
  <c r="E65" i="183"/>
  <c r="H65" i="183"/>
  <c r="J65" i="183"/>
  <c r="K65" i="183"/>
  <c r="N65" i="183"/>
  <c r="L70" i="183"/>
  <c r="J71" i="183"/>
  <c r="L71" i="183"/>
  <c r="E73" i="183"/>
  <c r="F73" i="183"/>
  <c r="H73" i="183"/>
  <c r="J73" i="183"/>
  <c r="K73" i="183"/>
  <c r="N73" i="183"/>
  <c r="L76" i="183"/>
  <c r="F77" i="183"/>
  <c r="F79" i="183" s="1"/>
  <c r="J77" i="183"/>
  <c r="L77" i="183" s="1"/>
  <c r="L79" i="183" s="1"/>
  <c r="E79" i="183"/>
  <c r="H79" i="183"/>
  <c r="K79" i="183"/>
  <c r="N79" i="183"/>
  <c r="L85" i="183"/>
  <c r="L88" i="183" s="1"/>
  <c r="L86" i="183"/>
  <c r="E88" i="183"/>
  <c r="F88" i="183"/>
  <c r="H88" i="183"/>
  <c r="J88" i="183"/>
  <c r="K88" i="183"/>
  <c r="N88" i="183"/>
  <c r="L93" i="183"/>
  <c r="L94" i="183"/>
  <c r="E95" i="183"/>
  <c r="F95" i="183"/>
  <c r="H95" i="183"/>
  <c r="J95" i="183"/>
  <c r="K95" i="183"/>
  <c r="L95" i="183"/>
  <c r="N95" i="183"/>
  <c r="J103" i="183"/>
  <c r="J106" i="183" s="1"/>
  <c r="L104" i="183"/>
  <c r="E106" i="183"/>
  <c r="F106" i="183"/>
  <c r="H106" i="183"/>
  <c r="K106" i="183"/>
  <c r="F112" i="183"/>
  <c r="J112" i="183" s="1"/>
  <c r="L112" i="183" s="1"/>
  <c r="F113" i="183"/>
  <c r="J113" i="183"/>
  <c r="E115" i="183"/>
  <c r="H115" i="183"/>
  <c r="K115" i="183"/>
  <c r="F117" i="183"/>
  <c r="F120" i="183" s="1"/>
  <c r="F118" i="183"/>
  <c r="J118" i="183" s="1"/>
  <c r="E120" i="183"/>
  <c r="H120" i="183"/>
  <c r="K120" i="183"/>
  <c r="J122" i="183"/>
  <c r="L122" i="183"/>
  <c r="F123" i="183"/>
  <c r="J123" i="183" s="1"/>
  <c r="E125" i="183"/>
  <c r="F125" i="183"/>
  <c r="H125" i="183"/>
  <c r="K125" i="183"/>
  <c r="J127" i="183"/>
  <c r="L127" i="183" s="1"/>
  <c r="L129" i="183" s="1"/>
  <c r="L128" i="183"/>
  <c r="E129" i="183"/>
  <c r="F129" i="183"/>
  <c r="H129" i="183"/>
  <c r="J129" i="183"/>
  <c r="K129" i="183"/>
  <c r="J131" i="183"/>
  <c r="L131" i="183" s="1"/>
  <c r="L133" i="183" s="1"/>
  <c r="L132" i="183"/>
  <c r="E133" i="183"/>
  <c r="F133" i="183"/>
  <c r="H133" i="183"/>
  <c r="J133" i="183"/>
  <c r="K133" i="183"/>
  <c r="H135" i="183"/>
  <c r="J138" i="183"/>
  <c r="L138" i="183"/>
  <c r="J139" i="183"/>
  <c r="J142" i="183" s="1"/>
  <c r="L139" i="183"/>
  <c r="L142" i="183" s="1"/>
  <c r="L140" i="183"/>
  <c r="E142" i="183"/>
  <c r="F142" i="183"/>
  <c r="H142" i="183"/>
  <c r="K142" i="183"/>
  <c r="J145" i="183"/>
  <c r="L145" i="183" s="1"/>
  <c r="J153" i="183"/>
  <c r="L153" i="183" s="1"/>
  <c r="L154" i="183"/>
  <c r="E156" i="183"/>
  <c r="F156" i="183"/>
  <c r="H156" i="183"/>
  <c r="K156" i="183"/>
  <c r="N156" i="183"/>
  <c r="L24" i="183" l="1"/>
  <c r="L33" i="183" s="1"/>
  <c r="H148" i="183"/>
  <c r="F135" i="183"/>
  <c r="F148" i="183" s="1"/>
  <c r="E135" i="183"/>
  <c r="E148" i="183" s="1"/>
  <c r="J115" i="183"/>
  <c r="L73" i="183"/>
  <c r="L53" i="183"/>
  <c r="E56" i="183"/>
  <c r="L45" i="183"/>
  <c r="K98" i="183"/>
  <c r="F40" i="183"/>
  <c r="H33" i="183"/>
  <c r="H98" i="183" s="1"/>
  <c r="H159" i="183" s="1"/>
  <c r="L156" i="183"/>
  <c r="J117" i="183"/>
  <c r="L117" i="183" s="1"/>
  <c r="K135" i="183"/>
  <c r="K148" i="183" s="1"/>
  <c r="F115" i="183"/>
  <c r="L113" i="183"/>
  <c r="L115" i="183" s="1"/>
  <c r="L43" i="183"/>
  <c r="L40" i="183"/>
  <c r="L56" i="183" s="1"/>
  <c r="L98" i="183" s="1"/>
  <c r="N33" i="183"/>
  <c r="J33" i="183"/>
  <c r="J24" i="183"/>
  <c r="F33" i="183"/>
  <c r="J125" i="183"/>
  <c r="L123" i="183"/>
  <c r="L125" i="183" s="1"/>
  <c r="J120" i="183"/>
  <c r="J135" i="183" s="1"/>
  <c r="J148" i="183" s="1"/>
  <c r="L118" i="183"/>
  <c r="L120" i="183" s="1"/>
  <c r="F56" i="183"/>
  <c r="J56" i="183"/>
  <c r="F98" i="183"/>
  <c r="F159" i="183" s="1"/>
  <c r="D35" i="171" s="1"/>
  <c r="E98" i="183"/>
  <c r="E159" i="183" s="1"/>
  <c r="J156" i="183"/>
  <c r="J79" i="183"/>
  <c r="L103" i="183"/>
  <c r="L106" i="183" s="1"/>
  <c r="J12" i="11"/>
  <c r="I12" i="11"/>
  <c r="E12" i="11"/>
  <c r="C12" i="11"/>
  <c r="J98" i="183" l="1"/>
  <c r="J159" i="183" s="1"/>
  <c r="L135" i="183"/>
  <c r="L148" i="183" s="1"/>
  <c r="K159" i="183"/>
  <c r="L159" i="183"/>
  <c r="F5" i="5"/>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E32" i="181"/>
  <c r="E31" i="181"/>
  <c r="E30" i="181"/>
  <c r="F30" i="181" s="1"/>
  <c r="E29" i="181"/>
  <c r="E28" i="181"/>
  <c r="F28" i="181" s="1"/>
  <c r="E27" i="181"/>
  <c r="F27" i="181" s="1"/>
  <c r="G27" i="181" s="1"/>
  <c r="E26" i="181"/>
  <c r="F26" i="181" s="1"/>
  <c r="E25" i="181"/>
  <c r="E24" i="181"/>
  <c r="E23" i="181"/>
  <c r="E22" i="181"/>
  <c r="E21" i="181"/>
  <c r="E20" i="181"/>
  <c r="F20" i="181" s="1"/>
  <c r="E19" i="181"/>
  <c r="F19" i="181" s="1"/>
  <c r="F33" i="181" l="1"/>
  <c r="G33" i="181" s="1"/>
  <c r="F32" i="181"/>
  <c r="G32" i="181" s="1"/>
  <c r="F31" i="181"/>
  <c r="G31" i="181" s="1"/>
  <c r="F29" i="181"/>
  <c r="G29" i="181" s="1"/>
  <c r="F25" i="181"/>
  <c r="G25" i="181" s="1"/>
  <c r="F24" i="181"/>
  <c r="G24" i="181" s="1"/>
  <c r="F23" i="181"/>
  <c r="G23" i="181" s="1"/>
  <c r="F22" i="181"/>
  <c r="G22"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7" i="108"/>
  <c r="G27" i="108"/>
  <c r="G28" i="108"/>
  <c r="G30" i="108"/>
  <c r="E31" i="108"/>
  <c r="G31" i="108"/>
  <c r="E33" i="108"/>
  <c r="E34" i="108"/>
  <c r="E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L22" i="37"/>
  <c r="D24" i="37"/>
  <c r="B4270" i="106" s="1"/>
  <c r="D4270" i="106" s="1"/>
  <c r="B5752" i="106"/>
  <c r="D5752" i="106" s="1"/>
  <c r="B279" i="106" l="1"/>
  <c r="D279" i="106" s="1"/>
  <c r="M40" i="3"/>
  <c r="J22" i="37"/>
  <c r="H28" i="118"/>
  <c r="L367" i="29"/>
  <c r="L342" i="29"/>
  <c r="F19" i="7"/>
  <c r="B1807" i="106" s="1"/>
  <c r="D1807" i="106" s="1"/>
  <c r="F72" i="34"/>
  <c r="F71" i="34"/>
  <c r="F64" i="34"/>
  <c r="F52" i="34"/>
  <c r="F37" i="34"/>
  <c r="G35" i="108"/>
  <c r="D27" i="108"/>
  <c r="J352" i="29"/>
  <c r="J367" i="29" s="1"/>
  <c r="B7245" i="106" s="1"/>
  <c r="D7245" i="106" s="1"/>
  <c r="B7047" i="106"/>
  <c r="D7047" i="106" s="1"/>
  <c r="H112" i="29"/>
  <c r="B7018" i="106" s="1"/>
  <c r="D7018" i="106" s="1"/>
  <c r="J41" i="3"/>
  <c r="D51" i="36" s="1"/>
  <c r="B3647" i="106"/>
  <c r="D3647" i="106" s="1"/>
  <c r="K76" i="4"/>
  <c r="B3586" i="106" s="1"/>
  <c r="D3586" i="106" s="1"/>
  <c r="B2724" i="106"/>
  <c r="D2724" i="106" s="1"/>
  <c r="L13" i="11"/>
  <c r="B2060" i="106" s="1"/>
  <c r="D2060" i="106" s="1"/>
  <c r="K184" i="29"/>
  <c r="F13" i="4" s="1"/>
  <c r="B2596" i="106" s="1"/>
  <c r="D2596" i="106" s="1"/>
  <c r="G210" i="29"/>
  <c r="B1126" i="106"/>
  <c r="D1126" i="106" s="1"/>
  <c r="L5" i="11"/>
  <c r="B2056" i="106" s="1"/>
  <c r="D2056" i="106" s="1"/>
  <c r="F34" i="34"/>
  <c r="H33" i="118"/>
  <c r="E38" i="108"/>
  <c r="D36" i="108"/>
  <c r="F36" i="108"/>
  <c r="D31" i="108"/>
  <c r="G29" i="108"/>
  <c r="F28" i="108"/>
  <c r="B1274" i="106"/>
  <c r="D1274" i="106" s="1"/>
  <c r="G15" i="145"/>
  <c r="G26" i="108"/>
  <c r="E26" i="108"/>
  <c r="C129" i="29"/>
  <c r="B1225" i="106" s="1"/>
  <c r="D1225" i="106" s="1"/>
  <c r="C342" i="29"/>
  <c r="B7216" i="106" s="1"/>
  <c r="D7216" i="106" s="1"/>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B1365" i="106"/>
  <c r="D1365" i="106" s="1"/>
  <c r="F65" i="34"/>
  <c r="B280" i="106"/>
  <c r="D280" i="106" s="1"/>
  <c r="M41" i="3"/>
  <c r="K28" i="118"/>
  <c r="O27" i="118" s="1"/>
  <c r="O29" i="118" s="1"/>
  <c r="L16" i="11"/>
  <c r="B2061" i="106" s="1"/>
  <c r="D2061" i="106" s="1"/>
  <c r="N23" i="3"/>
  <c r="B284" i="106" s="1"/>
  <c r="D284" i="106" s="1"/>
  <c r="L114" i="29"/>
  <c r="C114" i="29"/>
  <c r="B757" i="106" s="1"/>
  <c r="D757" i="106" s="1"/>
  <c r="D44" i="36"/>
  <c r="B5527" i="106"/>
  <c r="D5527" i="106" s="1"/>
  <c r="K342" i="29"/>
  <c r="F13" i="34" s="1"/>
  <c r="F41" i="108"/>
  <c r="G43" i="108"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281" i="106" l="1"/>
  <c r="D281" i="106" s="1"/>
  <c r="D54" i="36"/>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19" i="4" l="1"/>
  <c r="B6229" i="106" s="1"/>
  <c r="D6229" i="106" s="1"/>
  <c r="J20" i="4"/>
  <c r="B6230" i="106" s="1"/>
  <c r="D6230"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175" i="34" l="1"/>
  <c r="F79" i="34"/>
  <c r="B6263" i="106"/>
  <c r="D6263" i="106" s="1"/>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Crystal Bruns</author>
  </authors>
  <commentList>
    <comment ref="F153" authorId="0" shapeId="0" xr:uid="{00000000-0006-0000-1C00-000001000000}">
      <text>
        <r>
          <rPr>
            <b/>
            <sz val="9"/>
            <color indexed="8"/>
            <rFont val="Tahoma"/>
          </rPr>
          <t>RSM:</t>
        </r>
        <r>
          <rPr>
            <sz val="9"/>
            <color indexed="8"/>
            <rFont val="Tahoma"/>
          </rPr>
          <t xml:space="preserve">
$254 Im var</t>
        </r>
      </text>
    </comment>
  </commentList>
</comments>
</file>

<file path=xl/sharedStrings.xml><?xml version="1.0" encoding="utf-8"?>
<sst xmlns="http://schemas.openxmlformats.org/spreadsheetml/2006/main" count="5393" uniqueCount="2275">
  <si>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</si>
  <si>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</si>
  <si>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</si>
  <si>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</si>
  <si>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</si>
  <si>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</si>
  <si>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</si>
  <si>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</si>
  <si>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</si>
  <si>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</si>
  <si>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</si>
  <si>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</si>
  <si>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</si>
  <si>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</si>
  <si>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</si>
  <si>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</si>
  <si>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</si>
  <si>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</si>
  <si>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</si>
  <si>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</si>
  <si>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</si>
  <si>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</si>
  <si>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</si>
  <si>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</si>
  <si>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</si>
  <si>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</si>
  <si>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</si>
  <si>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</si>
  <si>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</si>
  <si>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</si>
  <si>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</si>
  <si>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</si>
  <si>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</si>
  <si>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</si>
  <si>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</si>
  <si>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</si>
  <si>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</si>
  <si>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</si>
  <si>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</si>
  <si>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</si>
  <si>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</si>
  <si>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</si>
  <si>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</si>
  <si>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</si>
  <si>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</si>
  <si>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</si>
  <si>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</si>
  <si>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</si>
  <si>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</si>
  <si>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</si>
  <si>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</si>
  <si>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</si>
  <si>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</si>
  <si>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</si>
  <si>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</si>
  <si>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</si>
  <si>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</si>
  <si>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</si>
  <si>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</si>
  <si>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</si>
  <si>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</si>
  <si>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</si>
  <si>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</si>
  <si>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</si>
  <si>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</si>
  <si>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</si>
  <si>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</si>
  <si>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</si>
  <si>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</si>
  <si>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</si>
  <si>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</si>
  <si>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</si>
  <si>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</si>
  <si>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</si>
  <si>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</si>
  <si>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</si>
  <si>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</si>
  <si>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</si>
  <si>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</si>
  <si>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</si>
  <si>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</si>
  <si>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</si>
  <si>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</si>
  <si>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</si>
  <si>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</si>
  <si>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</si>
  <si>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</si>
  <si>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</si>
  <si>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</si>
  <si>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</si>
  <si>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</si>
  <si>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</si>
  <si>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</si>
  <si>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</si>
  <si>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</si>
  <si>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</si>
  <si>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</si>
  <si>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</si>
  <si>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</si>
  <si>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</si>
  <si>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</si>
  <si>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</si>
  <si>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</si>
  <si>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</si>
  <si>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</si>
  <si>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</si>
  <si>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</si>
  <si>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</si>
  <si>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</si>
  <si>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</si>
  <si>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</si>
  <si>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</si>
  <si>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</si>
  <si>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</si>
  <si>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</si>
  <si>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</si>
  <si>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</si>
  <si>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</si>
  <si>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</si>
  <si>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</si>
  <si>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</si>
  <si>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</si>
  <si>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</si>
  <si>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</si>
  <si>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</si>
  <si>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</si>
  <si>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</si>
  <si>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</si>
  <si>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</si>
  <si>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</si>
  <si>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</si>
  <si>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</si>
  <si>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</si>
  <si>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</si>
  <si>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</si>
  <si>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</si>
  <si>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</si>
  <si>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</si>
  <si>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</si>
  <si>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</si>
  <si>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</si>
  <si>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</si>
  <si>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</si>
  <si>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</si>
  <si>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</si>
  <si>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</si>
  <si>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</si>
  <si>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</si>
  <si>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</si>
  <si>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</si>
  <si>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</si>
  <si>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</si>
  <si>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</si>
  <si>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</si>
  <si>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</si>
  <si>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</si>
  <si>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</si>
  <si>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</si>
  <si>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</si>
  <si>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</si>
  <si>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</si>
  <si>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</si>
  <si>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</si>
  <si>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</si>
  <si>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</si>
  <si>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</si>
  <si>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</si>
  <si>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</si>
  <si>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</si>
  <si>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</si>
  <si>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</si>
  <si>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</si>
  <si>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</si>
  <si>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</si>
  <si>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</si>
  <si>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</si>
  <si>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</si>
  <si>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</si>
  <si>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</si>
  <si>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</si>
  <si>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</si>
  <si>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</si>
  <si>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</si>
  <si>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</si>
  <si>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</si>
  <si>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</si>
  <si>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</si>
  <si>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</si>
  <si>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</si>
  <si>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</si>
  <si>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</si>
  <si>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</si>
  <si>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</si>
  <si>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</si>
  <si>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</si>
  <si>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</si>
  <si>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</si>
  <si>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</si>
  <si>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</si>
  <si>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</si>
  <si>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</si>
  <si>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</si>
  <si>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</si>
  <si>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</si>
  <si>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</si>
  <si>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</si>
  <si>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</si>
  <si>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</si>
  <si>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</si>
  <si>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</si>
  <si>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</si>
  <si>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</si>
  <si>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</si>
  <si>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</si>
  <si>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</si>
  <si>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</si>
  <si>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</si>
  <si>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</si>
  <si>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</si>
  <si>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</si>
  <si>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</si>
  <si>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</si>
  <si>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</si>
  <si>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</si>
  <si>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</si>
  <si>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</si>
  <si>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</si>
  <si>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</si>
  <si>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</si>
  <si>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</si>
  <si>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</si>
  <si>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</si>
  <si>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</si>
  <si>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</si>
  <si>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</si>
  <si>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</si>
  <si>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</si>
  <si>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</si>
  <si>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</si>
  <si>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</si>
  <si>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</si>
  <si>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</si>
  <si>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</si>
  <si>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</si>
  <si>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</si>
  <si>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</si>
  <si>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</si>
  <si>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</si>
  <si>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</si>
  <si>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</si>
  <si>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</si>
  <si>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</si>
  <si>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</si>
  <si>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</si>
  <si>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</si>
  <si>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</si>
  <si>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</si>
  <si>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</si>
  <si>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</si>
  <si>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</si>
  <si>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</si>
  <si>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</si>
  <si>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</si>
  <si>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</si>
  <si>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</si>
  <si>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</si>
  <si>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</si>
  <si>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</si>
  <si>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</si>
  <si>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</si>
  <si>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</si>
  <si>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</si>
  <si>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</si>
  <si>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</si>
  <si>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</si>
  <si>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</si>
  <si>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</si>
  <si>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</si>
  <si>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</si>
  <si>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</si>
  <si>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</si>
  <si>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</si>
  <si>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</si>
  <si>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</si>
  <si>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</si>
  <si>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</si>
  <si>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</si>
  <si>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</si>
  <si>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</si>
  <si>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</si>
  <si>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</si>
  <si>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</si>
  <si>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</si>
  <si>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</si>
  <si>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</si>
  <si>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</si>
  <si>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</si>
  <si>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</si>
  <si>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</si>
  <si>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</si>
  <si>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</si>
  <si>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</si>
  <si>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</si>
  <si>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</si>
  <si>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</si>
  <si>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</si>
  <si>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</si>
  <si>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</si>
  <si>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</si>
  <si>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</si>
  <si>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</si>
  <si>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</si>
  <si>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</si>
  <si>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</si>
  <si>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</si>
  <si>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</si>
  <si>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</si>
  <si>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</si>
  <si>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</si>
  <si>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</si>
  <si>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</si>
  <si>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</si>
  <si>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</si>
  <si>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</si>
  <si>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</si>
  <si>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</si>
  <si>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</si>
  <si>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</si>
  <si>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</si>
  <si>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</si>
  <si>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</si>
  <si>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</si>
  <si>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</si>
  <si>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</si>
  <si>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</si>
  <si>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</si>
  <si>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</si>
  <si>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</si>
  <si>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</si>
  <si>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</si>
  <si>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</si>
  <si>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</si>
  <si>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</si>
  <si>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</si>
  <si>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</si>
  <si>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</si>
  <si>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</si>
  <si>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</si>
  <si>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</si>
  <si>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</si>
  <si>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</si>
  <si>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</si>
  <si>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</si>
  <si>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</si>
  <si>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</si>
  <si>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</si>
  <si>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</si>
  <si>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</si>
  <si>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</si>
  <si>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</si>
  <si>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</si>
  <si>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</si>
  <si>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</si>
  <si>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</si>
  <si>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</si>
  <si>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</si>
  <si>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</si>
  <si>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</si>
  <si>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</si>
  <si>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</si>
  <si>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</si>
  <si>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</si>
  <si>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</si>
  <si>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</si>
  <si>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</si>
  <si>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</si>
  <si>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</si>
  <si>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</si>
  <si>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</si>
  <si>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</si>
  <si>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</si>
  <si>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</si>
  <si>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</si>
  <si>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</si>
  <si>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</si>
  <si>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</si>
  <si>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</si>
  <si>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</si>
  <si>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</si>
  <si>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</si>
  <si>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</si>
  <si>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</si>
  <si>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</si>
  <si>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</si>
  <si>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</si>
  <si>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</si>
  <si>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</si>
  <si>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</si>
  <si>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</si>
  <si>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</si>
  <si>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</si>
  <si>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</si>
  <si>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</si>
  <si>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</si>
  <si>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</si>
  <si>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</si>
  <si>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</si>
  <si>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</si>
  <si>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</si>
  <si>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</si>
  <si>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</si>
  <si>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</si>
  <si>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</si>
  <si>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</si>
  <si>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</si>
  <si>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</si>
  <si>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</si>
  <si>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</si>
  <si>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</si>
  <si>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</si>
  <si>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</si>
  <si>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</si>
  <si>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</si>
  <si>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</si>
  <si>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</si>
  <si>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</si>
  <si>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</si>
  <si>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</si>
  <si>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</si>
  <si>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</si>
  <si>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</si>
  <si>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</si>
  <si>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</si>
  <si>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</si>
  <si>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</si>
  <si>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</si>
  <si>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</si>
  <si>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</si>
  <si>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</si>
  <si>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</si>
  <si>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</si>
  <si>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</si>
  <si>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</si>
  <si>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</si>
  <si>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</si>
  <si>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</si>
  <si>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</si>
  <si>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</si>
  <si>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</si>
  <si>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</si>
  <si>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</si>
  <si>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</si>
  <si>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</si>
  <si>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</si>
  <si>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</si>
  <si>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</si>
  <si>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</si>
  <si>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</si>
  <si>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</si>
  <si>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</si>
  <si>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</si>
  <si>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</si>
  <si>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</si>
  <si>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</si>
  <si>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</si>
  <si>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</si>
  <si>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</si>
  <si>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</si>
  <si>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</si>
  <si>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</si>
  <si>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</si>
  <si>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</si>
  <si>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</si>
  <si>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</si>
  <si>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</si>
  <si>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</si>
  <si>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</si>
  <si>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</si>
  <si>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</si>
  <si>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</si>
  <si>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</si>
  <si>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</si>
  <si>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</si>
  <si>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</si>
  <si>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</si>
  <si>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</si>
  <si>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</si>
  <si>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</si>
  <si>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</si>
  <si>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</si>
  <si>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</si>
  <si>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</si>
  <si>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</si>
  <si>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</si>
  <si>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</si>
  <si>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</si>
  <si>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</si>
  <si>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</si>
  <si>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</si>
  <si>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</si>
  <si>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</si>
  <si>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</si>
  <si>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</si>
  <si>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</si>
  <si>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</si>
  <si>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</si>
  <si>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</si>
  <si>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</si>
  <si>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</si>
  <si>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</si>
  <si>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</si>
  <si>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</si>
  <si>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</si>
  <si>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</si>
  <si>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</si>
  <si>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</si>
  <si>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</si>
  <si>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</si>
  <si>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</si>
  <si>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</si>
  <si>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</si>
  <si>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</si>
  <si>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</si>
  <si>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</si>
  <si>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</si>
  <si>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</si>
  <si>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</si>
  <si>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</si>
  <si>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</si>
  <si>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</si>
  <si>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</si>
  <si>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</si>
  <si>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</si>
  <si>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</si>
  <si>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</si>
  <si>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</si>
  <si>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</si>
  <si>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</si>
  <si>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</si>
  <si>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</si>
  <si>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</si>
  <si>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</si>
  <si>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</si>
  <si>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</si>
  <si>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</si>
  <si>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</si>
  <si>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</si>
  <si>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</si>
  <si>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</si>
  <si>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</si>
  <si>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</si>
  <si>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</si>
  <si>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</si>
  <si>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</si>
  <si>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</si>
  <si>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</si>
  <si>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</si>
  <si>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</si>
  <si>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</si>
  <si>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</si>
  <si>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</si>
  <si>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</si>
  <si>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</si>
  <si>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</si>
  <si>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</si>
  <si>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</si>
  <si>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</si>
  <si>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</si>
  <si>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</si>
  <si>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</si>
  <si>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</si>
  <si>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</si>
  <si>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</si>
  <si>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</si>
  <si>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</si>
  <si>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</si>
  <si>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</si>
  <si>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</si>
  <si>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</si>
  <si>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</si>
  <si>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</si>
  <si>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</si>
  <si>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</si>
  <si>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</si>
  <si>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</si>
  <si>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</si>
  <si>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</si>
  <si>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</si>
  <si>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</si>
  <si>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</si>
  <si>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</si>
  <si>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</si>
  <si>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</si>
  <si>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</si>
  <si>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</si>
  <si>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</si>
  <si>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</si>
  <si>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</si>
  <si>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</si>
  <si>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</si>
  <si>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</si>
  <si>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</si>
  <si>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</si>
  <si>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</si>
  <si>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</si>
  <si>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</si>
  <si>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</si>
  <si>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</si>
  <si>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</si>
  <si>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</si>
  <si>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</si>
  <si>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</si>
  <si>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</si>
  <si>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</si>
  <si>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</si>
  <si>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</si>
  <si>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</si>
  <si>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</si>
  <si>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</si>
  <si>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</si>
  <si>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</si>
  <si>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</si>
  <si>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</si>
  <si>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</si>
  <si>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</si>
  <si>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</si>
  <si>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</si>
  <si>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</si>
  <si>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</si>
  <si>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</si>
  <si>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</si>
  <si>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</si>
  <si>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</si>
  <si>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</si>
  <si>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</si>
  <si>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</si>
  <si>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</si>
  <si>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</si>
  <si>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</si>
  <si>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</si>
  <si>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</si>
  <si>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</si>
  <si>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</si>
  <si>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</si>
  <si>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</si>
  <si>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</si>
  <si>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</si>
  <si>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</si>
  <si>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</si>
  <si>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</si>
  <si>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</si>
  <si>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</si>
  <si>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</si>
  <si>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</si>
  <si>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</si>
  <si>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</si>
  <si>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</si>
  <si>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</si>
  <si>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</si>
  <si>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</si>
  <si>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</si>
  <si>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</si>
  <si>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</si>
  <si>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</si>
  <si>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</si>
  <si>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</si>
  <si>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</si>
  <si>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</si>
  <si>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</si>
  <si>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</si>
  <si>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</si>
  <si>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</si>
  <si>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</si>
  <si>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</si>
  <si>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</si>
  <si>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</si>
  <si>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</si>
  <si>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</si>
  <si>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</si>
  <si>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</si>
  <si>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</si>
  <si>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</si>
  <si>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</si>
  <si>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</si>
  <si>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</si>
  <si>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</si>
  <si>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</si>
  <si>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</si>
  <si>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</si>
  <si>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</si>
  <si>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</si>
  <si>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</si>
  <si>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</si>
  <si>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</si>
  <si>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</si>
  <si>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</si>
  <si>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</si>
  <si>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</si>
  <si>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</si>
  <si>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</si>
  <si>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</si>
  <si>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</si>
  <si>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</si>
  <si>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</si>
  <si>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</si>
  <si>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</si>
  <si>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</si>
  <si>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</si>
  <si>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</si>
  <si>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</si>
  <si>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</si>
  <si>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</si>
  <si>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</si>
  <si>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</si>
  <si>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</si>
  <si>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</si>
  <si>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</si>
  <si>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</si>
  <si>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</si>
  <si>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</si>
  <si>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</si>
  <si>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</si>
  <si>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</si>
  <si>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</si>
  <si>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</si>
  <si>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</si>
  <si>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</si>
  <si>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</si>
  <si>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</si>
  <si>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</si>
  <si>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</si>
  <si>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</si>
  <si>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</si>
  <si>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</si>
  <si>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</si>
  <si>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</si>
  <si>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</si>
  <si>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</si>
  <si>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</si>
  <si>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</si>
  <si>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</si>
  <si>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</si>
  <si>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</si>
  <si>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</si>
  <si>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</si>
  <si>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</si>
  <si>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</si>
  <si>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</si>
  <si>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</si>
  <si>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</si>
  <si>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</si>
  <si>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</si>
  <si>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</si>
  <si>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</si>
  <si>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</si>
  <si>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</si>
  <si>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</si>
  <si>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</si>
  <si>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</si>
  <si>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</si>
  <si>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</si>
  <si>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</si>
  <si>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</si>
  <si>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</si>
  <si>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</si>
  <si>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</si>
  <si>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</si>
  <si>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</si>
  <si>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</si>
  <si>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</si>
  <si>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</si>
  <si>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</si>
  <si>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</si>
  <si>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</si>
  <si>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</si>
  <si>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</si>
  <si>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</si>
  <si>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</si>
  <si>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</si>
  <si>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</si>
  <si>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</si>
  <si>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</si>
  <si>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</si>
  <si>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</si>
  <si>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</si>
  <si>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</si>
  <si>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</si>
  <si>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</si>
  <si>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</si>
  <si>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</si>
  <si>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</si>
  <si>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</si>
  <si>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</si>
  <si>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</si>
  <si>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</si>
  <si>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</si>
  <si>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</si>
  <si>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</si>
  <si>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</si>
  <si>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</si>
  <si>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</si>
  <si>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</si>
  <si>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</si>
  <si>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</si>
  <si>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</si>
  <si>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</si>
  <si>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</si>
  <si>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</si>
  <si>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</si>
  <si>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</si>
  <si>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</si>
  <si>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</si>
  <si>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</si>
  <si>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</si>
  <si>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</si>
  <si>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</si>
  <si>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</si>
  <si>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</si>
  <si>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</si>
  <si>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</si>
  <si>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</si>
  <si>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</si>
  <si>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</si>
  <si>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</si>
  <si>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</si>
  <si>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</si>
  <si>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</si>
  <si>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</si>
  <si>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</si>
  <si>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</si>
  <si>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</si>
  <si>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</si>
  <si>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</si>
  <si>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</si>
  <si>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</si>
  <si>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</si>
  <si>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</si>
  <si>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</si>
  <si>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</si>
  <si>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</si>
  <si>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</si>
  <si>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</si>
  <si>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</si>
  <si>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</si>
  <si>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</si>
  <si>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</si>
  <si>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</si>
  <si>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</si>
  <si>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</si>
  <si>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</si>
  <si>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</si>
  <si>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</si>
  <si>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</si>
  <si>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</si>
  <si>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</si>
  <si>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</si>
  <si>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</si>
  <si>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</si>
  <si>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</si>
  <si>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</si>
  <si>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</si>
  <si>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</si>
  <si>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</si>
  <si>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</si>
  <si>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</si>
  <si>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</si>
  <si>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</si>
  <si>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</si>
  <si>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</si>
  <si>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</si>
  <si>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</si>
  <si>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</si>
  <si>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</si>
  <si>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</si>
  <si>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</si>
  <si>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</si>
  <si>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</si>
  <si>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</si>
  <si>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</si>
  <si>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</si>
  <si>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</si>
  <si>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</si>
  <si>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</si>
  <si>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</si>
  <si>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</si>
  <si>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</si>
  <si>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</si>
  <si>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</si>
  <si>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</si>
  <si>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</si>
  <si>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</si>
  <si>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</si>
  <si>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</si>
  <si>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</si>
  <si>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</si>
  <si>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</si>
  <si>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</si>
  <si>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</si>
  <si>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</si>
  <si>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</si>
  <si>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</si>
  <si>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</si>
  <si>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</si>
  <si>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</si>
  <si>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</si>
  <si>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</si>
  <si>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</si>
  <si>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</si>
  <si>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</si>
  <si>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</si>
  <si>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</si>
  <si>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</si>
  <si>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</si>
  <si>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</si>
  <si>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</si>
  <si>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</si>
  <si>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</si>
  <si>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</si>
  <si>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</si>
  <si>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</si>
  <si>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</si>
  <si>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</si>
  <si>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</si>
  <si>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</si>
  <si>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</si>
  <si>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</si>
  <si>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</si>
  <si>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</si>
  <si>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</si>
  <si>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</si>
  <si>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</si>
  <si>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</si>
  <si>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</si>
  <si>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</si>
  <si>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</si>
  <si>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</si>
  <si>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</si>
  <si>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</si>
  <si>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</si>
  <si>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</si>
  <si>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</si>
  <si>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</si>
  <si>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</si>
  <si>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</si>
  <si>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</si>
  <si>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</si>
  <si>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</si>
  <si>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</si>
  <si>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</si>
  <si>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</si>
  <si>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</si>
  <si>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</si>
  <si>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</si>
  <si>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</si>
  <si>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</si>
  <si>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</si>
  <si>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</si>
  <si>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</si>
  <si>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</si>
  <si>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</si>
  <si>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</si>
  <si>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</si>
  <si>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</si>
  <si>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</si>
  <si>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</si>
  <si>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</si>
  <si>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</si>
  <si>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</si>
  <si>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</si>
  <si>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</si>
  <si>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</si>
  <si>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</si>
  <si>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</si>
  <si>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</si>
  <si>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</si>
  <si>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</si>
  <si>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</si>
  <si>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</si>
  <si>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</si>
  <si>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</si>
  <si>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</si>
  <si>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</si>
  <si>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</si>
  <si>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</si>
  <si>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</si>
  <si>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</si>
  <si>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</si>
  <si>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</si>
  <si>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</si>
  <si>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</si>
  <si>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</si>
  <si>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</si>
  <si>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</si>
  <si>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</si>
  <si>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</si>
  <si>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</si>
  <si>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</si>
  <si>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</si>
  <si>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</si>
  <si>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</si>
  <si>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</si>
  <si>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</si>
  <si>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</si>
  <si>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</si>
  <si>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</si>
  <si>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</si>
  <si>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</si>
  <si>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</si>
  <si>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</si>
  <si>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</si>
  <si>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</si>
  <si>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</si>
  <si>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</si>
  <si>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</si>
  <si>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</si>
  <si>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</si>
  <si>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</si>
  <si>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</si>
  <si>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</si>
  <si>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</si>
  <si>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</si>
  <si>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</si>
  <si>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</si>
  <si>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</si>
  <si>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</si>
  <si>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</si>
  <si>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</si>
  <si>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</si>
  <si>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</si>
  <si>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</si>
  <si>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</si>
  <si>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</si>
  <si>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</si>
  <si>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</si>
  <si>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</si>
  <si>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</si>
  <si>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</si>
  <si>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</si>
  <si>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</si>
  <si>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</si>
  <si>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</si>
  <si>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</si>
  <si>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</si>
  <si>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</si>
  <si>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</si>
  <si>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</si>
  <si>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</si>
  <si>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</si>
  <si>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</si>
  <si>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</si>
  <si>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</si>
  <si>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</si>
  <si>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</si>
  <si>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</si>
  <si>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</si>
  <si>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</si>
  <si>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</si>
  <si>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</si>
  <si>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</si>
  <si>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</si>
  <si>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</si>
  <si>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</si>
  <si>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</si>
  <si>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</si>
  <si>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</si>
  <si>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</si>
  <si>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</si>
  <si>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</si>
  <si>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</si>
  <si>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</si>
  <si>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</si>
  <si>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</si>
  <si>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</si>
  <si>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</si>
  <si>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</si>
  <si>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</si>
  <si>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</si>
  <si>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</si>
  <si>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</si>
  <si>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</si>
  <si>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</si>
  <si>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</si>
  <si>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</si>
  <si>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</si>
  <si>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</si>
  <si>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</si>
  <si>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</si>
  <si>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</si>
  <si>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</si>
  <si>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</si>
  <si>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</si>
  <si>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</si>
  <si>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</si>
  <si>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</si>
  <si>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</si>
  <si>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</si>
  <si>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</si>
  <si>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</si>
  <si>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</si>
  <si>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</si>
  <si>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</si>
  <si>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</si>
  <si>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</si>
  <si>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</si>
  <si>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</si>
  <si>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</si>
  <si>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</si>
  <si>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</si>
  <si>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</si>
  <si>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</si>
  <si>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</si>
  <si>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</si>
  <si>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</si>
  <si>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</si>
  <si>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</si>
  <si>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</si>
  <si>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</si>
  <si>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</si>
  <si>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</si>
  <si>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</si>
  <si>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</si>
  <si>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</si>
  <si>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</si>
  <si>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</si>
  <si>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</si>
  <si>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</si>
  <si>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</si>
  <si>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</si>
  <si>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</si>
  <si>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</si>
  <si>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</si>
  <si>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</si>
  <si>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</si>
  <si>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</si>
  <si>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</si>
  <si>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</si>
  <si>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</si>
  <si>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</si>
  <si>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</si>
  <si>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</si>
  <si>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</si>
  <si>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</si>
  <si>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</si>
  <si>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</si>
  <si>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</si>
  <si>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</si>
  <si>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</si>
  <si>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</si>
  <si>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</si>
  <si>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</si>
  <si>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</si>
  <si>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</si>
  <si>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</si>
  <si>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</si>
  <si>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</si>
  <si>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</si>
  <si>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</si>
  <si>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</si>
  <si>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</si>
  <si>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</si>
  <si>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</si>
  <si>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</si>
  <si>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</si>
  <si>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</si>
  <si>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</si>
  <si>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</si>
  <si>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</si>
  <si>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</si>
  <si>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</si>
  <si>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</si>
  <si>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</si>
  <si>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</si>
  <si>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</si>
  <si>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</si>
  <si>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</si>
  <si>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</si>
  <si>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</si>
  <si>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</si>
  <si>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</si>
  <si>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</si>
  <si>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</si>
  <si>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</si>
  <si>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</si>
  <si>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</si>
  <si>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</si>
  <si>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</si>
  <si>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</si>
  <si>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</si>
  <si>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</si>
  <si>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</si>
  <si>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</si>
  <si>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</si>
  <si>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</si>
  <si>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</si>
  <si>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</si>
  <si>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</si>
  <si>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</si>
  <si>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</si>
  <si>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</si>
  <si>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</si>
  <si>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</si>
  <si>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</si>
  <si>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</si>
  <si>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</si>
  <si>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</si>
  <si>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</si>
  <si>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</si>
  <si>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</si>
  <si>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</si>
  <si>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</si>
  <si>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</si>
  <si>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</si>
  <si>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</si>
  <si>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</si>
  <si>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</si>
  <si>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</si>
  <si>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</si>
  <si>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</si>
  <si>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</si>
  <si>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</si>
  <si>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</si>
  <si>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</si>
  <si>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</si>
  <si>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</si>
  <si>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</si>
  <si>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</si>
  <si>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</si>
  <si>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</si>
  <si>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</si>
  <si>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</si>
  <si>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</si>
  <si>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</si>
  <si>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</si>
  <si>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</si>
  <si>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</si>
  <si>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</si>
  <si>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</si>
  <si>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</si>
  <si>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</si>
  <si>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</si>
  <si>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</si>
  <si>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</si>
  <si>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</si>
  <si>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</si>
  <si>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</si>
  <si>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</si>
  <si>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</si>
  <si>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</si>
  <si>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</si>
  <si>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</si>
  <si>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</si>
  <si>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</si>
  <si>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</si>
  <si>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</si>
  <si>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</si>
  <si>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</si>
  <si>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</si>
  <si>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</si>
  <si>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</si>
  <si>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</si>
  <si>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</si>
  <si>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</si>
  <si>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</si>
  <si>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</si>
  <si>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</si>
  <si>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</si>
  <si>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</si>
  <si>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</si>
  <si>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</si>
  <si>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</si>
  <si>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</si>
  <si>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</si>
  <si>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</si>
  <si>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</si>
  <si>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</si>
  <si>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</si>
  <si>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</si>
  <si>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</si>
  <si>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</si>
  <si>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</si>
  <si>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</si>
  <si>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</si>
  <si>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</si>
  <si>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</si>
  <si>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</si>
  <si>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</si>
  <si>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</si>
  <si>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</si>
  <si>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</si>
  <si>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</si>
  <si>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</si>
  <si>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</si>
  <si>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</si>
  <si>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</si>
  <si>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</si>
  <si>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</si>
  <si>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</si>
  <si>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</si>
  <si>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</si>
  <si>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</si>
  <si>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</si>
  <si>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</si>
  <si>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</si>
  <si>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</si>
  <si>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</si>
  <si>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</si>
  <si>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</si>
  <si>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</si>
  <si>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</si>
  <si>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</si>
  <si>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</si>
  <si>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</si>
  <si>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</si>
  <si>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</si>
  <si>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</si>
  <si>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</si>
  <si>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</si>
  <si>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</si>
  <si>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</si>
  <si>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</si>
  <si>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</si>
  <si>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</si>
  <si>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</si>
  <si>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</si>
  <si>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</si>
  <si>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</si>
  <si>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</si>
  <si>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</si>
  <si>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</si>
  <si>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</si>
  <si>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</si>
  <si>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</si>
  <si>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</si>
  <si>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</si>
  <si>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</si>
  <si>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</si>
  <si>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</si>
  <si>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</si>
  <si>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</si>
  <si>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</si>
  <si>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</si>
  <si>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</si>
  <si>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</si>
  <si>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</si>
  <si>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</si>
  <si>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</si>
  <si>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</si>
  <si>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</si>
  <si>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</si>
  <si>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</si>
  <si>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</si>
  <si>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</si>
  <si>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</si>
  <si>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</si>
  <si>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</si>
  <si>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</si>
  <si>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</si>
  <si>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</si>
  <si>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</si>
  <si>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</si>
  <si>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</si>
  <si>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</si>
  <si>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</si>
  <si>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</si>
  <si>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</si>
  <si>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</si>
  <si>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</si>
  <si>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</si>
  <si>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</si>
  <si>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</si>
  <si>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</si>
  <si>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</si>
  <si>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</si>
  <si>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</si>
  <si>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</si>
  <si>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</si>
  <si>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</si>
  <si>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</si>
  <si>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</si>
  <si>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</si>
  <si>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</si>
  <si>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</si>
  <si>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</si>
  <si>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</si>
  <si>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</si>
  <si>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</si>
  <si>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</si>
  <si>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</si>
  <si>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</si>
  <si>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</si>
  <si>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</si>
  <si>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</si>
  <si>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</si>
  <si>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</si>
  <si>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</si>
  <si>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</si>
  <si>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</si>
  <si>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</si>
  <si>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</si>
  <si>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</si>
  <si>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</si>
  <si>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</si>
  <si>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</si>
  <si>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</si>
  <si>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</si>
  <si>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</si>
  <si>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</si>
  <si>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</si>
  <si>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</si>
  <si>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</si>
  <si>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</si>
  <si>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</si>
  <si>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</si>
  <si>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</si>
  <si>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</si>
  <si>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</si>
  <si>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</si>
  <si>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</si>
  <si>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</si>
  <si>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</si>
  <si>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</si>
  <si>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</si>
  <si>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</si>
  <si>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</si>
  <si>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</si>
  <si>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</si>
  <si>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</si>
  <si>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</si>
  <si>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</si>
  <si>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</si>
  <si>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</si>
  <si>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</si>
  <si>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</si>
  <si>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</si>
  <si>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</si>
  <si>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</si>
  <si>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</si>
  <si>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</si>
  <si>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</si>
  <si>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</si>
  <si>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</si>
  <si>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</si>
  <si>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</si>
  <si>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</si>
  <si>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</si>
  <si>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</si>
  <si>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</si>
  <si>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</si>
  <si>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</si>
  <si>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</si>
  <si>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</si>
  <si>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</si>
  <si>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</si>
  <si>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</si>
  <si>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</si>
  <si>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</si>
  <si>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</si>
  <si>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</si>
  <si>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</si>
  <si>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</si>
  <si>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</si>
  <si>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</si>
  <si>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</si>
  <si>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</si>
  <si>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</si>
  <si>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</si>
  <si>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</si>
  <si>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</si>
  <si>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</si>
  <si>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</si>
  <si>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</si>
  <si>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</si>
  <si>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</si>
  <si>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</si>
  <si>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</si>
  <si>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</si>
  <si>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</si>
  <si>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</si>
  <si>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</si>
  <si>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</si>
  <si>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</si>
  <si>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</si>
  <si>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</si>
  <si>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</si>
  <si>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</si>
  <si>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</si>
  <si>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</si>
  <si>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</si>
  <si>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</si>
  <si>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</si>
  <si>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</si>
  <si>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</si>
  <si>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</si>
  <si>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</si>
  <si>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</si>
  <si>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</si>
  <si>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</si>
  <si>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</si>
  <si>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</si>
  <si>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</si>
  <si>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</si>
  <si>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</si>
  <si>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</si>
  <si>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</si>
  <si>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</si>
  <si>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</si>
  <si>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</si>
  <si>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</si>
  <si>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</si>
  <si>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</si>
  <si>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</si>
  <si>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</si>
  <si>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</si>
  <si>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</si>
  <si>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</si>
  <si>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</si>
  <si>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</si>
  <si>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</si>
  <si>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</si>
  <si>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</si>
  <si>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</si>
  <si>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</si>
  <si>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</si>
  <si>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</si>
  <si>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</si>
  <si>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</si>
  <si>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</si>
  <si>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</si>
  <si>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</si>
  <si>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</si>
  <si>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</si>
  <si>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</si>
  <si>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</si>
  <si>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</si>
  <si>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</si>
  <si>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</si>
  <si>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</si>
  <si>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</si>
  <si>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</si>
  <si>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</si>
  <si>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</si>
  <si>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</si>
  <si>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</si>
  <si>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</si>
  <si>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</si>
  <si>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</si>
  <si>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</si>
  <si>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</si>
  <si>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</si>
  <si>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</si>
  <si>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</si>
  <si>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</si>
  <si>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</si>
  <si>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</si>
  <si>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</si>
  <si>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</si>
  <si>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</si>
  <si>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</si>
  <si>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</si>
  <si>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</si>
  <si>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</si>
  <si>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</si>
  <si>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</si>
  <si>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</si>
  <si>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</si>
  <si>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</si>
  <si>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</si>
  <si>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</si>
  <si>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</si>
  <si>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</si>
  <si>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</si>
  <si>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</si>
  <si>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</si>
  <si>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</si>
  <si>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</si>
  <si>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</si>
  <si>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</si>
  <si>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</si>
  <si>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</si>
  <si>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</si>
  <si>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</si>
  <si>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</si>
  <si>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</si>
  <si>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</si>
  <si>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</si>
  <si>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</si>
  <si>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</si>
  <si>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</si>
  <si>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</si>
  <si>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</si>
  <si>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</si>
  <si>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</si>
  <si>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</si>
  <si>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</si>
  <si>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</si>
  <si>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</si>
  <si>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</si>
  <si>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</si>
  <si>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</si>
  <si>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</si>
  <si>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</si>
  <si>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</si>
  <si>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</si>
  <si>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</si>
  <si>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</si>
  <si>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</si>
  <si>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</si>
  <si>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</si>
  <si>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</si>
  <si>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</si>
  <si>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</si>
  <si>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</si>
  <si>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</si>
  <si>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</si>
  <si>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</si>
  <si>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</si>
  <si>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</si>
  <si>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</si>
  <si>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</si>
  <si>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</si>
  <si>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</si>
  <si>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</si>
  <si>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</si>
  <si>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</si>
  <si>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</si>
  <si>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</si>
  <si>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</si>
  <si>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</si>
  <si>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</si>
  <si>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</si>
  <si>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</si>
  <si>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</si>
  <si>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</si>
  <si>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</si>
  <si>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</si>
  <si>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</si>
  <si>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</si>
  <si>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</si>
  <si>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</si>
  <si>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</si>
  <si>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</si>
  <si>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</si>
  <si>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</si>
  <si>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</si>
  <si>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</si>
  <si>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</si>
  <si>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</si>
  <si>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</si>
  <si>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</si>
  <si>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</si>
  <si>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</si>
  <si>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</si>
  <si>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</si>
  <si>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</si>
  <si>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</si>
  <si>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</si>
  <si>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</si>
  <si>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</si>
  <si>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</si>
  <si>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</si>
  <si>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</si>
  <si>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</si>
  <si>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</si>
  <si>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</si>
  <si>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</si>
  <si>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</si>
  <si>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</si>
  <si>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</si>
  <si>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</si>
  <si>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</si>
  <si>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</si>
  <si>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</si>
  <si>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</si>
  <si>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</si>
  <si>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</si>
  <si>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</si>
  <si>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</si>
  <si>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</si>
  <si>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</si>
  <si>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</si>
  <si>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</si>
  <si>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</si>
  <si>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</si>
  <si>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</si>
  <si>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</si>
  <si>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</si>
  <si>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</si>
  <si>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</si>
  <si>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</si>
  <si>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</si>
  <si>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</si>
  <si>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</si>
  <si>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</si>
  <si>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</si>
  <si>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</si>
  <si>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</si>
  <si>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</si>
  <si>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</si>
  <si>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</si>
  <si>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</si>
  <si>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</si>
  <si>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</si>
  <si>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</si>
  <si>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</si>
  <si>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</si>
  <si>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</si>
  <si>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</si>
  <si>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</si>
  <si>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</si>
  <si>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</si>
  <si>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</si>
  <si>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</si>
  <si>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</si>
  <si>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</si>
  <si>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</si>
  <si>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</si>
  <si>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</si>
  <si>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</si>
  <si>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</si>
  <si>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</si>
  <si>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</si>
  <si>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</si>
  <si>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</si>
  <si>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</si>
  <si>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</si>
  <si>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</si>
  <si>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</si>
  <si>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</si>
  <si>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</si>
  <si>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</si>
  <si>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</si>
  <si>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</si>
  <si>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</si>
  <si>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</si>
  <si>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</si>
  <si>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</si>
  <si>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</si>
  <si>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</si>
  <si>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</si>
  <si>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</si>
  <si>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</si>
  <si>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</si>
  <si>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</si>
  <si>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</si>
  <si>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</si>
  <si>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</si>
  <si>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</si>
  <si>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</si>
  <si>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</si>
  <si>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</si>
  <si>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</si>
  <si>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</si>
  <si>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</si>
  <si>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</si>
  <si>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</si>
  <si>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</si>
  <si>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</si>
  <si>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</si>
  <si>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</si>
  <si>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</si>
  <si>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</si>
  <si>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</si>
  <si>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</si>
  <si>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</si>
  <si>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</si>
  <si>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</si>
  <si>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</si>
  <si>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</si>
  <si>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</si>
  <si>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</si>
  <si>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</si>
  <si>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</si>
  <si>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</si>
  <si>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</si>
  <si>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</si>
  <si>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</si>
  <si>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</si>
  <si>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</si>
  <si>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</si>
  <si>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</si>
  <si>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</si>
  <si>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</si>
  <si>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</si>
  <si>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</si>
  <si>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</si>
  <si>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</si>
  <si>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</si>
  <si>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</si>
  <si>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</si>
  <si>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</si>
  <si>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</si>
  <si>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</si>
  <si>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</si>
  <si>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</si>
  <si>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</si>
  <si>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</si>
  <si>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</si>
  <si>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</si>
  <si>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</si>
  <si>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</si>
  <si>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</si>
  <si>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</si>
  <si>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</si>
  <si>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</si>
  <si>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</si>
  <si>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</si>
  <si>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</si>
  <si>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</si>
  <si>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</si>
  <si>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</si>
  <si>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</si>
  <si>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</si>
  <si>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</si>
  <si>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</si>
  <si>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</si>
  <si>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</si>
  <si>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</si>
  <si>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</si>
  <si>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</si>
  <si>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</si>
  <si>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</si>
  <si>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</si>
  <si>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</si>
  <si>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</si>
  <si>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</si>
  <si>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</si>
  <si>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</si>
  <si>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</si>
  <si>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</si>
  <si>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</si>
  <si>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</si>
  <si>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</si>
  <si>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</si>
  <si>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</si>
  <si>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</si>
  <si>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</si>
  <si>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</si>
  <si>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</si>
  <si>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</si>
  <si>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</si>
  <si>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</si>
  <si>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</si>
  <si>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</si>
  <si>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</si>
  <si>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</si>
  <si>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</si>
  <si>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</si>
  <si>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</si>
  <si>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</si>
  <si>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</si>
  <si>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</si>
  <si>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</si>
  <si>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</si>
  <si>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</si>
  <si>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</si>
  <si>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</si>
  <si>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</si>
  <si>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</si>
  <si>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</si>
  <si>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</si>
  <si>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</si>
  <si>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</si>
  <si>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</si>
  <si>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</si>
  <si>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</si>
  <si>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</si>
  <si>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</si>
  <si>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</si>
  <si>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</si>
  <si>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</si>
  <si>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</si>
  <si>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</si>
  <si>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</si>
  <si>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</si>
  <si>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</si>
  <si>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</si>
  <si>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</si>
  <si>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</si>
  <si>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</si>
  <si>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</si>
  <si>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</si>
  <si>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</si>
  <si>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</si>
  <si>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</si>
  <si>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</si>
  <si>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</si>
  <si>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</si>
  <si>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</si>
  <si>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</si>
  <si>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</si>
  <si>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</si>
  <si>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</si>
  <si>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</si>
  <si>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</si>
  <si>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</si>
  <si>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</si>
  <si>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</si>
  <si>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</si>
  <si>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</si>
  <si>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</si>
  <si>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</si>
  <si>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</si>
  <si>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</si>
  <si>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</si>
  <si>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</si>
  <si>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</si>
  <si>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</si>
  <si>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</si>
  <si>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</si>
  <si>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</si>
  <si>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</si>
  <si>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</si>
  <si>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</si>
  <si>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</si>
  <si>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</si>
  <si>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</si>
  <si>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</si>
  <si>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</si>
  <si>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</si>
  <si>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</si>
  <si>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</si>
  <si>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</si>
  <si>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</si>
  <si>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</si>
  <si>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</si>
  <si>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</si>
  <si>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</si>
  <si>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</si>
  <si>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</si>
  <si>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</si>
  <si>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</si>
  <si>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</si>
  <si>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</si>
  <si>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</si>
  <si>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</si>
  <si>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</si>
  <si>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</si>
  <si>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</si>
  <si>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</si>
  <si>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</si>
  <si>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</si>
  <si>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</si>
  <si>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</si>
  <si>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</si>
  <si>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</si>
  <si>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</si>
  <si>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</si>
  <si>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</si>
  <si>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</si>
  <si>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</si>
  <si>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</si>
  <si>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</si>
  <si>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</si>
  <si>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</si>
  <si>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</si>
  <si>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</si>
  <si>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</si>
  <si>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</si>
  <si>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</si>
  <si>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</si>
  <si>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</si>
  <si>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</si>
  <si>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</si>
  <si>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</si>
  <si>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</si>
  <si>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</si>
  <si>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</si>
  <si>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</si>
  <si>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</si>
  <si>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</si>
  <si>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</si>
  <si>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</si>
  <si>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</si>
  <si>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</si>
  <si>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</si>
  <si>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</si>
  <si>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</si>
  <si>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</si>
  <si>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</si>
  <si>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</si>
  <si>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</si>
  <si>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</si>
  <si>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</si>
  <si>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</si>
  <si>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</si>
  <si>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</si>
  <si>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</si>
  <si>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</si>
  <si>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</si>
  <si>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</si>
  <si>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</si>
  <si>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</si>
  <si>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</si>
  <si>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</si>
  <si>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</si>
  <si>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</si>
  <si>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</si>
  <si>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</si>
  <si>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</si>
  <si>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</si>
  <si>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</si>
  <si>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</si>
  <si>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</si>
  <si>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</si>
  <si>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</si>
  <si>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</si>
  <si>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</si>
  <si>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</si>
  <si>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</si>
  <si>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</si>
  <si>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</si>
  <si>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</si>
  <si>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</si>
  <si>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</si>
  <si>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</si>
  <si>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</si>
  <si>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</si>
  <si>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</si>
  <si>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</si>
  <si>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</si>
  <si>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</si>
  <si>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</si>
  <si>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</si>
  <si>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</si>
  <si>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</si>
  <si>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</si>
  <si>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</si>
  <si>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</si>
  <si>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</si>
  <si>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</si>
  <si>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</si>
  <si>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</si>
  <si>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</si>
  <si>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</si>
  <si>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</si>
  <si>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</si>
  <si>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</si>
  <si>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</si>
  <si>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</si>
  <si>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</si>
  <si>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</si>
  <si>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</si>
  <si>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</si>
  <si>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</si>
  <si>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</si>
  <si>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</si>
  <si>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</si>
  <si>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</si>
  <si>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</si>
  <si>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</si>
  <si>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</si>
  <si>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</si>
  <si>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</si>
  <si>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</si>
  <si>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</si>
  <si>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</si>
  <si>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</si>
  <si>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</si>
  <si>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</si>
  <si>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</si>
  <si>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</si>
  <si>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</si>
  <si>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</si>
  <si>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Sangamon</t>
  </si>
  <si>
    <t>Springfield Public School District 186</t>
  </si>
  <si>
    <t>1900 West Monroe Street</t>
  </si>
  <si>
    <t xml:space="preserve">Springfield </t>
  </si>
  <si>
    <t>nate.fretz@sps186.org</t>
  </si>
  <si>
    <t>Jennifer Gill</t>
  </si>
  <si>
    <t>jgill@sps186.org</t>
  </si>
  <si>
    <t>217.525.3000</t>
  </si>
  <si>
    <t>217.525.3005</t>
  </si>
  <si>
    <t>RSM US LLP</t>
  </si>
  <si>
    <t>Katie Barry</t>
  </si>
  <si>
    <t>1 South Wacker Drive, Suite 800</t>
  </si>
  <si>
    <t>Chicago</t>
  </si>
  <si>
    <t>IL</t>
  </si>
  <si>
    <t>312.634.4415</t>
  </si>
  <si>
    <t>312.634.5523</t>
  </si>
  <si>
    <t>katie.barry@rsmus.com</t>
  </si>
  <si>
    <t>QZAB GO Debt Certificates 2009C</t>
  </si>
  <si>
    <t>QZAB GO Debt Certificates 2009D</t>
  </si>
  <si>
    <t>2013 GO Limited School Refunding Bonds</t>
  </si>
  <si>
    <t>2014B GO Limited School Refunding Bonds</t>
  </si>
  <si>
    <t>Debt Certificates</t>
  </si>
  <si>
    <t>Short-term Long-term debt tab - represents draws and payments on line of credit</t>
  </si>
  <si>
    <t>Revenue 9-14 - education 3999 - represents other state revenue for homeless, SCOPE and other programs</t>
  </si>
  <si>
    <t>Revenue 9-14 - education 4299 - represents food commodities received from the State recorded in the Education Fund</t>
  </si>
  <si>
    <t>Revenue 9-14 - education 4999 - represents revenue from the department of rehabilitation and the workforce investment act</t>
  </si>
  <si>
    <r>
      <t xml:space="preserve">The accompanying Schedule of Expenditures of Federal Awards includes the federal grant activity of the District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</si>
  <si>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District provided federal awards to subrecipients as follows:</t>
  </si>
  <si>
    <t>N/A</t>
  </si>
  <si>
    <t>Department of Rehabilitation included in Education Fund (Function 4999)</t>
  </si>
  <si>
    <t xml:space="preserve">   that was disbursed State monies instead of federal.</t>
  </si>
  <si>
    <t>Food commodities recorded in the Education Fund (Functions 4240 and 4999)</t>
  </si>
  <si>
    <t>Immaterial rounding</t>
  </si>
  <si>
    <t>Unmodified</t>
  </si>
  <si>
    <t>Child Nutrition Cluster</t>
  </si>
  <si>
    <t>10.553, 10.555, 10.559</t>
  </si>
  <si>
    <t>84.367A</t>
  </si>
  <si>
    <t>NONE</t>
  </si>
  <si>
    <t>x</t>
  </si>
  <si>
    <t>84.027A, 84.173A</t>
  </si>
  <si>
    <t>Special Education Cluster</t>
  </si>
  <si>
    <r>
      <t xml:space="preserve">The following amounts were expended in the form of non-cash assistance by </t>
    </r>
    <r>
      <rPr>
        <b/>
        <sz val="9"/>
        <rFont val="Calibri"/>
        <family val="2"/>
        <scheme val="minor"/>
      </rPr>
      <t>the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</si>
  <si>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84.010A</t>
  </si>
  <si>
    <t>Illinois State Board of Education</t>
  </si>
  <si>
    <t>Title I: Low Income</t>
  </si>
  <si>
    <t>U.S. Department of Education</t>
  </si>
  <si>
    <t xml:space="preserve">During Title I Special testing over High School Graduation Rate, 10 out of 20 samples (50%) of high school students that dropped from the district did not have written documentation to support the reason for their removal from the district's enrollment. </t>
  </si>
  <si>
    <t>N/A - there are no questioned costs associated with this compliance finding.</t>
  </si>
  <si>
    <t>Lack of district-wide procedures over student records regarding enrollment.</t>
  </si>
  <si>
    <t xml:space="preserve">Lack of maintaining written documentation of student records could lead to students being dropped from enrollment for purposes not allowed by state and federal law. This would potentially misstate graduation rates reported. </t>
  </si>
  <si>
    <t xml:space="preserve">Per ESEA sections 1111(h)(1)(C)(iii)(II) and 8101(25),(23)), to remove a student from the cohort, a school or LEA must confirm, in writing, that the student transferred out, emigrated to another country, or is deceased. To confirm that a student transferred out the school or LEA must have official written documentation that the student enrolled in another school or in an educational program that culminates in the award of a regular high school diploma. A student who is retained in grade, enrolls in a GED program, or leaves school for any other reason may not be counted as having transferred out for the purposes of calculating graduation rate and must remain in the adjusted cohort. </t>
  </si>
  <si>
    <t>(attachment of ISBE 62-18)</t>
  </si>
  <si>
    <t>County</t>
  </si>
  <si>
    <t>100 NORTH FIRST STREET</t>
  </si>
  <si>
    <t>SPRINGFIELD,ILLINOIS 62777-0001</t>
  </si>
  <si>
    <t>District/Joint Agreement No.</t>
  </si>
  <si>
    <t>YEAR ENDED JUNE 30, 2019</t>
  </si>
  <si>
    <t>Federal Agency/</t>
  </si>
  <si>
    <t>ISBE Project</t>
  </si>
  <si>
    <t>Pass-though Grantor/</t>
  </si>
  <si>
    <t>or Contract</t>
  </si>
  <si>
    <t>Passed</t>
  </si>
  <si>
    <t>Final</t>
  </si>
  <si>
    <t>Program Name</t>
  </si>
  <si>
    <t>Number</t>
  </si>
  <si>
    <t xml:space="preserve">Through to </t>
  </si>
  <si>
    <t>Encumbrances</t>
  </si>
  <si>
    <t>U.S. DEPARTMENT OF EDUCATION</t>
  </si>
  <si>
    <t xml:space="preserve">  Passed through Illinois State Board of Education:</t>
  </si>
  <si>
    <t>Title I Grants to Local Education Agencies:</t>
  </si>
  <si>
    <t>Title I : Low Income</t>
  </si>
  <si>
    <t>19-4300-00</t>
  </si>
  <si>
    <t>18-4300-00</t>
  </si>
  <si>
    <t>17-4300-00</t>
  </si>
  <si>
    <t>Title I : School Improvement &amp; Accountability</t>
  </si>
  <si>
    <t>19-4331-00</t>
  </si>
  <si>
    <t>Title I : Low Income - Delinquent Private</t>
  </si>
  <si>
    <t>19-4306-00</t>
  </si>
  <si>
    <t>18-4306-00</t>
  </si>
  <si>
    <t>17-4306-00</t>
  </si>
  <si>
    <t>Total Title I Grants to Local Education Agencies:</t>
  </si>
  <si>
    <t>Special Education - Preschool Grants:</t>
  </si>
  <si>
    <t>IDEA Pre-School Flow Through</t>
  </si>
  <si>
    <t>84.173A</t>
  </si>
  <si>
    <t>19-4600-00</t>
  </si>
  <si>
    <t>18-4600-00</t>
  </si>
  <si>
    <t>17-4600-00</t>
  </si>
  <si>
    <t>Special Education - Grants to States:</t>
  </si>
  <si>
    <t xml:space="preserve">   IDEA Flow  Through</t>
  </si>
  <si>
    <t>84.027A</t>
  </si>
  <si>
    <t>19-4620-00</t>
  </si>
  <si>
    <t>18-4620-00</t>
  </si>
  <si>
    <t>17-4620-00</t>
  </si>
  <si>
    <t>IDEA Room &amp; Board</t>
  </si>
  <si>
    <t>19-4625-00</t>
  </si>
  <si>
    <t>18-4625-XC</t>
  </si>
  <si>
    <t>18-4625-00</t>
  </si>
  <si>
    <t>17-4625-XC</t>
  </si>
  <si>
    <t>17-4625-00</t>
  </si>
  <si>
    <t>Total Special Education Cluster</t>
  </si>
  <si>
    <t>English Language Acquisition Grants:</t>
  </si>
  <si>
    <t>Title III : Immigrant Education Program (IEP)</t>
  </si>
  <si>
    <t>84.365A</t>
  </si>
  <si>
    <t>19-4905-00</t>
  </si>
  <si>
    <t>18-4905-00</t>
  </si>
  <si>
    <t xml:space="preserve">Title III : Lang Inst Prog - Limited Eng LIPLEP </t>
  </si>
  <si>
    <t>19-4909-00</t>
  </si>
  <si>
    <t>18-4909-00</t>
  </si>
  <si>
    <t>17-4909-00</t>
  </si>
  <si>
    <t>Improving Teacher Quality State Grants</t>
  </si>
  <si>
    <t>Title II : Teacher Quality</t>
  </si>
  <si>
    <t>19-4932-00</t>
  </si>
  <si>
    <t>18-4932-00</t>
  </si>
  <si>
    <t>17-4932-00</t>
  </si>
  <si>
    <t>School Improvement Grant</t>
  </si>
  <si>
    <t>84.377A</t>
  </si>
  <si>
    <t>19-4339-00</t>
  </si>
  <si>
    <t>18-4339-00</t>
  </si>
  <si>
    <t>17-4339-00</t>
  </si>
  <si>
    <t>Passed through Sangamon County ROCTE:</t>
  </si>
  <si>
    <t>Career and Technical Education - Basic Grants to States</t>
  </si>
  <si>
    <t>Carl D. Perkins</t>
  </si>
  <si>
    <t>84.048</t>
  </si>
  <si>
    <t>6422-19</t>
  </si>
  <si>
    <t>6422-18</t>
  </si>
  <si>
    <t>6422-17</t>
  </si>
  <si>
    <t>Passed through Illinois Community College Board:</t>
  </si>
  <si>
    <t>Adult Education - Basic Grants to States</t>
  </si>
  <si>
    <t>Adult Education - Basic</t>
  </si>
  <si>
    <t>4800-19</t>
  </si>
  <si>
    <t>4800-18</t>
  </si>
  <si>
    <t>TOTAL U.S. DEPARTMENT OF EDUCATION</t>
  </si>
  <si>
    <t>U.S. DEPARTMENT OF HEALTH AND HUMAN SERVICES:</t>
  </si>
  <si>
    <t>Passed through Illinois Department of Healthcare and Family Services:</t>
  </si>
  <si>
    <t>Medical Assistance Program</t>
  </si>
  <si>
    <t>19-4900-00</t>
  </si>
  <si>
    <t>18-4900-00</t>
  </si>
  <si>
    <t>TOTAL U.S. DEPARTMENT OF HEALTH AND HUMAN SERVICES</t>
  </si>
  <si>
    <t>U.S. DEPARTMENT OF AGRICULTURE:</t>
  </si>
  <si>
    <t>Passed through Illinois State Board of Education:</t>
  </si>
  <si>
    <t>10.553</t>
  </si>
  <si>
    <t>19-4220-00</t>
  </si>
  <si>
    <t>18-4220-00</t>
  </si>
  <si>
    <t>17-4220-00</t>
  </si>
  <si>
    <t>10.555</t>
  </si>
  <si>
    <t>19-4210-00</t>
  </si>
  <si>
    <t>18-4210-00</t>
  </si>
  <si>
    <t>17-4210-00</t>
  </si>
  <si>
    <t>19-4225-00</t>
  </si>
  <si>
    <t>18-4225-00</t>
  </si>
  <si>
    <t>17-4225-00</t>
  </si>
  <si>
    <t>Food Donation Program</t>
  </si>
  <si>
    <t>19-4299-00</t>
  </si>
  <si>
    <t>18-4299-00</t>
  </si>
  <si>
    <t>Department of Defense Fruits and Vegetables</t>
  </si>
  <si>
    <t>Total Child Nutrition Cluster</t>
  </si>
  <si>
    <t>Fresh Fruits and Vegetable Program</t>
  </si>
  <si>
    <t>19-4240-19</t>
  </si>
  <si>
    <t>19-4240-18</t>
  </si>
  <si>
    <t>18-4240-18</t>
  </si>
  <si>
    <t>18-4240-17</t>
  </si>
  <si>
    <t>National School Lunch Program Equipment Assistance Grant</t>
  </si>
  <si>
    <t>19-4260-00</t>
  </si>
  <si>
    <t>TOTAL U.S. DEPARTMENT OF AGRICULTURE</t>
  </si>
  <si>
    <t>U.S. DEPARTMENT OF LABOR:</t>
  </si>
  <si>
    <t>Passed through Illinois Department of Commerce and Economic Opportunity:</t>
  </si>
  <si>
    <t>Workforce Investment Act Youth Activities</t>
  </si>
  <si>
    <t>6755-19</t>
  </si>
  <si>
    <t>6755-18</t>
  </si>
  <si>
    <t>TOTAL U.S. DEPARTMENT OF LABOR</t>
  </si>
  <si>
    <t>TOTAL FEDERAL AWARDS</t>
  </si>
  <si>
    <t>N/A Not Available</t>
  </si>
  <si>
    <t>CFDA Catalog of Federal Domestic Assistance</t>
  </si>
  <si>
    <t>See Note to Schedule of Expenditures of Federal Awards</t>
  </si>
  <si>
    <t>There were 200 students removed from the District’s high school enrollment records during fiscal year 2019. There were 20 samples selected for testing and 10 exceptions.</t>
  </si>
  <si>
    <t>We recommend the District establish a process to ensure confirmation is obtained from the receiving school prior to removing a student from its enrollment records due to the student’s transfer.</t>
  </si>
  <si>
    <t>The District will establish a procedure to assure that all schools receive confirmation prior to removing the student from our enrollment records. The procedure will be developed by a team of high school practitioners, directors, and coordinators. This procedure will be disseminated to all high school Principals, Assistant Principals, Guidance Deans, guidance secretaries, attendance secretaries, and the department of technology through administrator meetings, secretary meetings, email reminders, and regular professional development meetings as needed</t>
  </si>
  <si>
    <t>O&amp;M - O&amp;M Plant Services - Purchased Services</t>
  </si>
  <si>
    <t>ED - Instructional Staff - Purchased Services</t>
  </si>
  <si>
    <t>ED - Plan,Research,Dev Services - Purchased Services</t>
  </si>
  <si>
    <t>ED - School Admin - Other</t>
  </si>
  <si>
    <t>ED - O&amp;M Plant Services - Purchased Services</t>
  </si>
  <si>
    <t>ED - Instruction - Purchased Services</t>
  </si>
  <si>
    <t>ED - Data Processing - Purchased Services</t>
  </si>
  <si>
    <t>Tort - General Admin - Purchased Services</t>
  </si>
  <si>
    <t>ED - Fiscal Services - Purchased Services</t>
  </si>
  <si>
    <t>20-2540-300</t>
  </si>
  <si>
    <t>AAA Springfield Termite/Pest Control</t>
  </si>
  <si>
    <t>10-2200-300</t>
  </si>
  <si>
    <t>10-2620-300</t>
  </si>
  <si>
    <t>10-2400-300</t>
  </si>
  <si>
    <t>10-2540-300</t>
  </si>
  <si>
    <t>10-1000-300</t>
  </si>
  <si>
    <t>80-2300-300</t>
  </si>
  <si>
    <t>10-2660-300</t>
  </si>
  <si>
    <t>Alpen Spruce Education Solutions, Inc.</t>
  </si>
  <si>
    <t>American Institutes for Research</t>
  </si>
  <si>
    <t>Cornerstones of Care</t>
  </si>
  <si>
    <t>AVID</t>
  </si>
  <si>
    <t>Call One</t>
  </si>
  <si>
    <t>Equal Opportunity Schools</t>
  </si>
  <si>
    <t>Go Solutions Group, Inc.</t>
  </si>
  <si>
    <t>Follett School Solutions, Inc.</t>
  </si>
  <si>
    <t>Comcast Cable</t>
  </si>
  <si>
    <t>Springfield Clinic Sports Medicine</t>
  </si>
  <si>
    <t>Springfield Police Department</t>
  </si>
  <si>
    <t>10-2520-300</t>
  </si>
  <si>
    <t>Tyler Technologies</t>
  </si>
  <si>
    <t>Power School Group LLC</t>
  </si>
  <si>
    <t>Compass for Kids</t>
  </si>
  <si>
    <t>See attached AFR opinion.</t>
  </si>
  <si>
    <t>Springfield SD 186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</si>
</sst>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 \ _);_(* \(#,##0\)\ \ ;_(* &quot;-&quot;??_);_(@_)"/>
    <numFmt numFmtId="182"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color indexed="8"/>
      <name val="Arial"/>
      <family val="2"/>
    </font>
    <font>
      <b/>
      <sz val="10"/>
      <color indexed="8"/>
      <name val="Arial"/>
      <family val="2"/>
    </font>
    <font>
      <b/>
      <sz val="10"/>
      <color indexed="10"/>
      <name val="Arial"/>
      <family val="2"/>
    </font>
    <font>
      <b/>
      <sz val="10"/>
      <color indexed="12"/>
      <name val="Arial"/>
      <family val="2"/>
    </font>
    <font>
      <sz val="10"/>
      <color indexed="12"/>
      <name val="Arial"/>
      <family val="2"/>
    </font>
    <font>
      <b/>
      <sz val="9"/>
      <color indexed="8"/>
      <name val="Tahoma"/>
    </font>
    <font>
      <sz val="9"/>
      <color indexed="8"/>
      <name val="Tahoma"/>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rgb="FF000000"/>
      </bottom>
      <diagonal/>
    </border>
    <border>
      <left/>
      <right/>
      <top style="thin">
        <color rgb="FF000000"/>
      </top>
      <bottom/>
      <diagonal/>
    </border>
    <border>
      <left/>
      <right/>
      <top style="thin">
        <color auto="1"/>
      </top>
      <bottom/>
      <diagonal/>
    </border>
    <border>
      <left/>
      <right/>
      <top style="thin">
        <color auto="1"/>
      </top>
      <bottom style="thin">
        <color auto="1"/>
      </bottom>
      <diagonal/>
    </border>
    <border>
      <left/>
      <right/>
      <top/>
      <bottom style="thin">
        <color auto="1"/>
      </bottom>
      <diagonal/>
    </border>
    <border>
      <left/>
      <right/>
      <top/>
      <bottom style="double">
        <color auto="1"/>
      </bottom>
      <diagonal/>
    </border>
    <border>
      <left/>
      <right/>
      <top/>
      <bottom style="double">
        <color rgb="FF000000"/>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5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9" fillId="0" borderId="0" xfId="0" applyNumberFormat="1" applyFont="1" applyFill="1" applyBorder="1" applyAlignment="1" applyProtection="1"/>
    <xf numFmtId="0" fontId="138" fillId="0" borderId="0" xfId="0" applyNumberFormat="1" applyFont="1" applyFill="1" applyBorder="1" applyAlignment="1" applyProtection="1"/>
    <xf numFmtId="0" fontId="140" fillId="0" borderId="0" xfId="0" quotePrefix="1" applyNumberFormat="1" applyFont="1" applyFill="1" applyBorder="1" applyAlignment="1" applyProtection="1">
      <alignment horizontal="left"/>
    </xf>
    <xf numFmtId="0" fontId="138" fillId="0" borderId="0" xfId="0" applyNumberFormat="1" applyFont="1" applyFill="1" applyBorder="1" applyAlignment="1" applyProtection="1">
      <alignment horizontal="center"/>
    </xf>
    <xf numFmtId="0" fontId="142" fillId="0" borderId="0" xfId="0" applyNumberFormat="1" applyFont="1" applyFill="1" applyBorder="1" applyAlignment="1" applyProtection="1">
      <alignment horizontal="left"/>
    </xf>
    <xf numFmtId="0" fontId="138" fillId="0" borderId="165" xfId="0" applyNumberFormat="1" applyFont="1" applyFill="1" applyBorder="1" applyAlignment="1" applyProtection="1"/>
    <xf numFmtId="0" fontId="139" fillId="0" borderId="165" xfId="0" applyNumberFormat="1" applyFont="1" applyFill="1" applyBorder="1" applyAlignment="1" applyProtection="1"/>
    <xf numFmtId="0" fontId="138" fillId="0" borderId="0" xfId="0" applyNumberFormat="1" applyFont="1" applyFill="1" applyBorder="1" applyAlignment="1" applyProtection="1">
      <alignment horizontal="left" indent="1"/>
    </xf>
    <xf numFmtId="0" fontId="139" fillId="0" borderId="0" xfId="0" applyNumberFormat="1" applyFont="1" applyFill="1" applyBorder="1" applyAlignment="1" applyProtection="1">
      <alignment horizontal="center"/>
    </xf>
    <xf numFmtId="0" fontId="138" fillId="0" borderId="0" xfId="0" applyNumberFormat="1" applyFont="1" applyFill="1" applyBorder="1" applyAlignment="1" applyProtection="1">
      <alignment horizontal="left" indent="4"/>
    </xf>
    <xf numFmtId="0" fontId="139" fillId="0" borderId="0" xfId="0" applyNumberFormat="1" applyFont="1" applyFill="1" applyBorder="1" applyAlignment="1" applyProtection="1">
      <alignment horizontal="right"/>
    </xf>
    <xf numFmtId="181" fontId="138" fillId="0" borderId="0" xfId="0" applyNumberFormat="1" applyFont="1" applyFill="1" applyBorder="1" applyAlignment="1" applyProtection="1"/>
    <xf numFmtId="0" fontId="138" fillId="0" borderId="0" xfId="0" applyNumberFormat="1" applyFont="1" applyFill="1" applyBorder="1" applyAlignment="1" applyProtection="1">
      <alignment horizontal="left" indent="5"/>
    </xf>
    <xf numFmtId="0" fontId="138" fillId="0" borderId="165" xfId="0" applyNumberFormat="1" applyFont="1" applyFill="1" applyBorder="1" applyAlignment="1" applyProtection="1">
      <alignment horizontal="center"/>
    </xf>
    <xf numFmtId="0" fontId="140" fillId="0" borderId="165" xfId="0" applyNumberFormat="1" applyFont="1" applyFill="1" applyBorder="1" applyAlignment="1" applyProtection="1">
      <alignment horizontal="center"/>
    </xf>
    <xf numFmtId="0" fontId="138" fillId="0" borderId="166" xfId="0" applyNumberFormat="1" applyFont="1" applyFill="1" applyBorder="1" applyAlignment="1" applyProtection="1">
      <alignment horizontal="center"/>
    </xf>
    <xf numFmtId="14" fontId="138" fillId="0" borderId="0" xfId="0" applyNumberFormat="1" applyFont="1" applyFill="1" applyBorder="1" applyAlignment="1" applyProtection="1">
      <alignment horizontal="center"/>
    </xf>
    <xf numFmtId="14" fontId="138" fillId="0" borderId="0" xfId="0" quotePrefix="1" applyNumberFormat="1" applyFont="1" applyFill="1" applyBorder="1" applyAlignment="1" applyProtection="1">
      <alignment horizontal="center"/>
    </xf>
    <xf numFmtId="37" fontId="139" fillId="0" borderId="165" xfId="0" applyNumberFormat="1" applyFont="1" applyFill="1" applyBorder="1" applyAlignment="1" applyProtection="1"/>
    <xf numFmtId="37" fontId="138" fillId="0" borderId="165" xfId="0" applyNumberFormat="1" applyFont="1" applyFill="1" applyBorder="1" applyAlignment="1" applyProtection="1"/>
    <xf numFmtId="41" fontId="138" fillId="0" borderId="166" xfId="0" applyNumberFormat="1" applyFont="1" applyFill="1" applyBorder="1" applyAlignment="1" applyProtection="1"/>
    <xf numFmtId="181" fontId="138" fillId="0" borderId="166" xfId="0" applyNumberFormat="1" applyFont="1" applyFill="1" applyBorder="1" applyAlignment="1" applyProtection="1">
      <alignment horizontal="right"/>
    </xf>
    <xf numFmtId="41" fontId="138" fillId="0" borderId="166" xfId="0" applyNumberFormat="1" applyFont="1" applyFill="1" applyBorder="1" applyAlignment="1" applyProtection="1">
      <alignment horizontal="right"/>
    </xf>
    <xf numFmtId="41" fontId="138" fillId="0" borderId="0" xfId="0" applyNumberFormat="1" applyFont="1" applyFill="1" applyBorder="1" applyAlignment="1" applyProtection="1">
      <alignment horizontal="right"/>
    </xf>
    <xf numFmtId="0" fontId="138" fillId="0" borderId="0" xfId="0" applyNumberFormat="1" applyFont="1" applyFill="1" applyBorder="1" applyAlignment="1" applyProtection="1">
      <alignment horizontal="left" indent="2"/>
    </xf>
    <xf numFmtId="181" fontId="138" fillId="0" borderId="0" xfId="0" applyNumberFormat="1" applyFont="1" applyFill="1" applyBorder="1" applyAlignment="1" applyProtection="1">
      <alignment horizontal="right"/>
    </xf>
    <xf numFmtId="0" fontId="138" fillId="0" borderId="0" xfId="0" applyNumberFormat="1" applyFont="1" applyFill="1" applyBorder="1" applyAlignment="1" applyProtection="1">
      <alignment horizontal="left" indent="3"/>
    </xf>
    <xf numFmtId="0" fontId="138" fillId="0" borderId="0" xfId="0" quotePrefix="1" applyNumberFormat="1" applyFont="1" applyFill="1" applyBorder="1" applyAlignment="1" applyProtection="1">
      <alignment horizontal="center"/>
    </xf>
    <xf numFmtId="182" fontId="138" fillId="0" borderId="0" xfId="0" applyNumberFormat="1" applyFont="1" applyFill="1" applyBorder="1" applyAlignment="1" applyProtection="1"/>
    <xf numFmtId="182" fontId="138" fillId="0" borderId="0" xfId="0" applyNumberFormat="1" applyFont="1" applyFill="1" applyBorder="1" applyAlignment="1" applyProtection="1">
      <alignment horizontal="right"/>
    </xf>
    <xf numFmtId="37" fontId="138" fillId="0" borderId="0" xfId="0" applyNumberFormat="1" applyFont="1" applyFill="1" applyBorder="1" applyAlignment="1" applyProtection="1"/>
    <xf numFmtId="182" fontId="138" fillId="0" borderId="167" xfId="0" applyNumberFormat="1" applyFont="1" applyFill="1" applyBorder="1" applyAlignment="1" applyProtection="1"/>
    <xf numFmtId="0" fontId="9" fillId="0" borderId="0" xfId="0" applyNumberFormat="1" applyFont="1" applyFill="1" applyBorder="1" applyAlignment="1" applyProtection="1">
      <alignment horizontal="center"/>
    </xf>
    <xf numFmtId="182" fontId="140" fillId="0" borderId="0" xfId="0" applyNumberFormat="1" applyFont="1" applyFill="1" applyBorder="1" applyAlignment="1" applyProtection="1">
      <alignment horizontal="center"/>
    </xf>
    <xf numFmtId="182" fontId="9" fillId="0" borderId="0" xfId="0" applyNumberFormat="1" applyFont="1" applyFill="1" applyBorder="1" applyAlignment="1" applyProtection="1">
      <alignment horizontal="center"/>
    </xf>
    <xf numFmtId="182" fontId="138" fillId="0" borderId="168" xfId="0" applyNumberFormat="1" applyFont="1" applyFill="1" applyBorder="1" applyAlignment="1" applyProtection="1"/>
    <xf numFmtId="0" fontId="138" fillId="0" borderId="169" xfId="0" applyNumberFormat="1" applyFont="1" applyFill="1" applyBorder="1" applyAlignment="1" applyProtection="1"/>
    <xf numFmtId="0" fontId="138" fillId="0" borderId="169" xfId="0" applyNumberFormat="1" applyFont="1" applyFill="1" applyBorder="1" applyAlignment="1" applyProtection="1">
      <alignment horizontal="center"/>
    </xf>
    <xf numFmtId="182" fontId="138" fillId="0" borderId="169" xfId="0" applyNumberFormat="1" applyFont="1" applyFill="1" applyBorder="1" applyAlignment="1" applyProtection="1"/>
    <xf numFmtId="182" fontId="140" fillId="0" borderId="169" xfId="0" applyNumberFormat="1" applyFont="1" applyFill="1" applyBorder="1" applyAlignment="1" applyProtection="1">
      <alignment horizontal="right"/>
    </xf>
    <xf numFmtId="182" fontId="138" fillId="0" borderId="169" xfId="0" applyNumberFormat="1" applyFont="1" applyFill="1" applyBorder="1" applyAlignment="1" applyProtection="1">
      <alignment horizontal="right"/>
    </xf>
    <xf numFmtId="37" fontId="138" fillId="0" borderId="0" xfId="0" applyNumberFormat="1" applyFont="1" applyFill="1" applyBorder="1" applyAlignment="1" applyProtection="1">
      <alignment horizontal="left" indent="2"/>
    </xf>
    <xf numFmtId="37" fontId="138" fillId="0" borderId="0" xfId="0" applyNumberFormat="1" applyFont="1" applyFill="1" applyBorder="1" applyAlignment="1" applyProtection="1">
      <alignment horizontal="left" indent="3"/>
    </xf>
    <xf numFmtId="182" fontId="138" fillId="0" borderId="0" xfId="0" applyNumberFormat="1" applyFont="1" applyFill="1" applyBorder="1" applyAlignment="1" applyProtection="1">
      <alignment horizontal="center"/>
    </xf>
    <xf numFmtId="182" fontId="138" fillId="0" borderId="168" xfId="0" applyNumberFormat="1" applyFont="1" applyFill="1" applyBorder="1" applyAlignment="1" applyProtection="1">
      <alignment horizontal="center"/>
    </xf>
    <xf numFmtId="49" fontId="138" fillId="0" borderId="0" xfId="0" applyNumberFormat="1" applyFont="1" applyFill="1" applyBorder="1" applyAlignment="1" applyProtection="1">
      <alignment horizontal="center"/>
    </xf>
    <xf numFmtId="0" fontId="140" fillId="0" borderId="0" xfId="0" applyNumberFormat="1" applyFont="1" applyFill="1" applyBorder="1" applyAlignment="1" applyProtection="1">
      <alignment horizontal="center"/>
    </xf>
    <xf numFmtId="182" fontId="140" fillId="0" borderId="169" xfId="0" applyNumberFormat="1" applyFont="1" applyFill="1" applyBorder="1" applyAlignment="1" applyProtection="1">
      <alignment horizontal="center"/>
    </xf>
    <xf numFmtId="182" fontId="9" fillId="0" borderId="0" xfId="0" applyNumberFormat="1" applyFont="1" applyFill="1" applyBorder="1" applyAlignment="1" applyProtection="1"/>
    <xf numFmtId="182" fontId="138" fillId="0" borderId="169" xfId="0" applyNumberFormat="1" applyFont="1" applyFill="1" applyBorder="1" applyAlignment="1" applyProtection="1">
      <alignment horizontal="center"/>
    </xf>
    <xf numFmtId="0" fontId="139" fillId="0" borderId="0" xfId="0" applyNumberFormat="1" applyFont="1" applyFill="1" applyBorder="1" applyAlignment="1" applyProtection="1">
      <alignment horizontal="left" indent="5"/>
    </xf>
    <xf numFmtId="182" fontId="139" fillId="0" borderId="0" xfId="0" applyNumberFormat="1" applyFont="1" applyFill="1" applyBorder="1" applyAlignment="1" applyProtection="1"/>
    <xf numFmtId="182" fontId="138" fillId="0" borderId="165" xfId="0" applyNumberFormat="1" applyFont="1" applyFill="1" applyBorder="1" applyAlignment="1" applyProtection="1">
      <alignment horizontal="right"/>
    </xf>
    <xf numFmtId="37" fontId="138" fillId="0" borderId="0" xfId="0" applyNumberFormat="1" applyFont="1" applyFill="1" applyBorder="1" applyAlignment="1" applyProtection="1">
      <alignment horizontal="left" indent="1"/>
    </xf>
    <xf numFmtId="37" fontId="138" fillId="0" borderId="0" xfId="0" applyNumberFormat="1" applyFont="1" applyFill="1" applyBorder="1" applyAlignment="1" applyProtection="1">
      <alignment horizontal="center"/>
    </xf>
    <xf numFmtId="37" fontId="139" fillId="0" borderId="0" xfId="0" applyNumberFormat="1" applyFont="1" applyFill="1" applyBorder="1" applyAlignment="1" applyProtection="1">
      <alignment horizontal="left" indent="1"/>
    </xf>
    <xf numFmtId="0" fontId="141" fillId="0" borderId="0" xfId="0" applyNumberFormat="1" applyFont="1" applyFill="1" applyBorder="1" applyAlignment="1" applyProtection="1"/>
    <xf numFmtId="0" fontId="9" fillId="0" borderId="0" xfId="0" applyNumberFormat="1" applyFont="1" applyFill="1" applyBorder="1" applyAlignment="1" applyProtection="1">
      <alignment horizontal="left" indent="1"/>
    </xf>
    <xf numFmtId="17" fontId="138" fillId="0" borderId="0" xfId="0" applyNumberFormat="1" applyFont="1" applyFill="1" applyBorder="1" applyAlignment="1" applyProtection="1">
      <alignment horizontal="center"/>
    </xf>
    <xf numFmtId="17" fontId="138" fillId="0" borderId="0" xfId="0" quotePrefix="1" applyNumberFormat="1" applyFont="1" applyFill="1" applyBorder="1" applyAlignment="1" applyProtection="1">
      <alignment horizontal="center"/>
    </xf>
    <xf numFmtId="0" fontId="138" fillId="0" borderId="169" xfId="0" applyNumberFormat="1" applyFont="1" applyFill="1" applyBorder="1" applyAlignment="1" applyProtection="1">
      <alignment horizontal="left" indent="5"/>
    </xf>
    <xf numFmtId="0" fontId="140" fillId="0" borderId="169" xfId="0" applyNumberFormat="1" applyFont="1" applyFill="1" applyBorder="1" applyAlignment="1" applyProtection="1">
      <alignment horizontal="center"/>
    </xf>
    <xf numFmtId="0" fontId="12" fillId="0" borderId="0" xfId="0" applyNumberFormat="1" applyFont="1" applyFill="1" applyBorder="1" applyAlignment="1" applyProtection="1"/>
    <xf numFmtId="0" fontId="139" fillId="0" borderId="0" xfId="0" applyNumberFormat="1" applyFont="1" applyFill="1" applyBorder="1" applyAlignment="1" applyProtection="1"/>
    <xf numFmtId="182" fontId="139" fillId="0" borderId="170" xfId="0" applyNumberFormat="1" applyFont="1" applyFill="1" applyBorder="1" applyAlignment="1" applyProtection="1"/>
    <xf numFmtId="182" fontId="139" fillId="0" borderId="171" xfId="0" applyNumberFormat="1" applyFont="1" applyFill="1" applyBorder="1" applyAlignment="1" applyProtection="1">
      <alignment horizontal="center"/>
    </xf>
    <xf numFmtId="182" fontId="140" fillId="0" borderId="0" xfId="0" applyNumberFormat="1" applyFont="1" applyFill="1" applyBorder="1" applyAlignment="1" applyProtection="1">
      <alignment horizontal="right"/>
    </xf>
    <xf numFmtId="0" fontId="9" fillId="0" borderId="0" xfId="0" applyNumberFormat="1" applyFont="1" applyFill="1" applyBorder="1" applyAlignment="1" applyProtection="1">
      <alignment horizontal="left" wrapText="1"/>
    </xf>
    <xf numFmtId="43" fontId="138" fillId="0" borderId="0" xfId="0" applyNumberFormat="1" applyFont="1" applyFill="1" applyBorder="1" applyAlignment="1" applyProtection="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138" fillId="0" borderId="165" xfId="0" applyNumberFormat="1" applyFont="1" applyFill="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978477</xdr:colOff>
          <xdr:row>7</xdr:row>
          <xdr:rowOff>129886</xdr:rowOff>
        </xdr:from>
        <xdr:to>
          <xdr:col>1</xdr:col>
          <xdr:colOff>1880754</xdr:colOff>
          <xdr:row>11</xdr:row>
          <xdr:rowOff>127288</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1400-000001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86591</xdr:colOff>
          <xdr:row>7</xdr:row>
          <xdr:rowOff>129887</xdr:rowOff>
        </xdr:from>
        <xdr:to>
          <xdr:col>1</xdr:col>
          <xdr:colOff>867641</xdr:colOff>
          <xdr:row>11</xdr:row>
          <xdr:rowOff>127289</xdr:rowOff>
        </xdr:to>
        <xdr:sp macro="" textlink="">
          <xdr:nvSpPr>
            <xdr:cNvPr id="41986" name="Object 2" hidden="1">
              <a:extLst>
                <a:ext uri="{63B3BB69-23CF-44E3-9099-C40C66FF867C}">
                  <a14:compatExt spid="_x0000_s41986"/>
                </a:ext>
                <a:ext uri="{FF2B5EF4-FFF2-40B4-BE49-F238E27FC236}">
                  <a16:creationId xmlns:a16="http://schemas.microsoft.com/office/drawing/2014/main" id="{00000000-0008-0000-1400-000002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34636</xdr:colOff>
          <xdr:row>1</xdr:row>
          <xdr:rowOff>25977</xdr:rowOff>
        </xdr:from>
        <xdr:to>
          <xdr:col>1</xdr:col>
          <xdr:colOff>946438</xdr:colOff>
          <xdr:row>5</xdr:row>
          <xdr:rowOff>149802</xdr:rowOff>
        </xdr:to>
        <xdr:sp macro="" textlink="">
          <xdr:nvSpPr>
            <xdr:cNvPr id="41987" name="Object 3" hidden="1">
              <a:extLst>
                <a:ext uri="{63B3BB69-23CF-44E3-9099-C40C66FF867C}">
                  <a14:compatExt spid="_x0000_s41987"/>
                </a:ext>
                <a:ext uri="{FF2B5EF4-FFF2-40B4-BE49-F238E27FC236}">
                  <a16:creationId xmlns:a16="http://schemas.microsoft.com/office/drawing/2014/main" id="{EAAD16D7-5EF2-400E-A835-78D7AA52EE5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1099705</xdr:colOff>
          <xdr:row>1</xdr:row>
          <xdr:rowOff>43296</xdr:rowOff>
        </xdr:from>
        <xdr:to>
          <xdr:col>1</xdr:col>
          <xdr:colOff>2011507</xdr:colOff>
          <xdr:row>6</xdr:row>
          <xdr:rowOff>2599</xdr:rowOff>
        </xdr:to>
        <xdr:sp macro="" textlink="">
          <xdr:nvSpPr>
            <xdr:cNvPr id="41988" name="Object 4" hidden="1">
              <a:extLst>
                <a:ext uri="{63B3BB69-23CF-44E3-9099-C40C66FF867C}">
                  <a14:compatExt spid="_x0000_s41988"/>
                </a:ext>
                <a:ext uri="{FF2B5EF4-FFF2-40B4-BE49-F238E27FC236}">
                  <a16:creationId xmlns:a16="http://schemas.microsoft.com/office/drawing/2014/main" id="{227B9488-10FF-4FBC-8D50-EED887BC27A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54" t="s">
        <v>405</v>
      </c>
      <c r="J1" s="2055"/>
      <c r="K1" s="2055"/>
      <c r="L1" s="2055"/>
      <c r="M1" s="2055"/>
      <c r="N1" s="2055"/>
      <c r="O1" s="2055"/>
      <c r="P1" s="2055"/>
      <c r="Q1" s="2055"/>
      <c r="R1" s="2055"/>
      <c r="S1" s="2055"/>
    </row>
    <row r="2" spans="1:28" ht="12" customHeight="1" x14ac:dyDescent="0.2">
      <c r="A2" s="47" t="s">
        <v>1988</v>
      </c>
      <c r="D2" s="48"/>
      <c r="I2" s="2056" t="s">
        <v>979</v>
      </c>
      <c r="J2" s="2055"/>
      <c r="K2" s="2055"/>
      <c r="L2" s="2055"/>
      <c r="M2" s="2055"/>
      <c r="N2" s="2055"/>
      <c r="O2" s="2055"/>
      <c r="P2" s="2055"/>
      <c r="Q2" s="2055"/>
      <c r="R2" s="2055"/>
      <c r="S2" s="2055"/>
    </row>
    <row r="3" spans="1:28" ht="12" customHeight="1" x14ac:dyDescent="0.2">
      <c r="A3" s="155" t="s">
        <v>1940</v>
      </c>
      <c r="B3" s="156"/>
      <c r="C3" s="156"/>
      <c r="D3" s="157"/>
      <c r="I3" s="2056" t="s">
        <v>52</v>
      </c>
      <c r="J3" s="2055"/>
      <c r="K3" s="2055"/>
      <c r="L3" s="2055"/>
      <c r="M3" s="2055"/>
      <c r="N3" s="2055"/>
      <c r="O3" s="2055"/>
      <c r="P3" s="2055"/>
      <c r="Q3" s="2055"/>
      <c r="R3" s="2055"/>
      <c r="S3" s="2055"/>
    </row>
    <row r="4" spans="1:28" ht="12" customHeight="1" x14ac:dyDescent="0.2">
      <c r="A4" s="37"/>
      <c r="I4" s="2056" t="s">
        <v>524</v>
      </c>
      <c r="J4" s="2055"/>
      <c r="K4" s="2055"/>
      <c r="L4" s="2055"/>
      <c r="M4" s="2055"/>
      <c r="N4" s="2055"/>
      <c r="O4" s="2055"/>
      <c r="P4" s="2055"/>
      <c r="Q4" s="2055"/>
      <c r="R4" s="2055"/>
      <c r="S4" s="2055"/>
    </row>
    <row r="5" spans="1:28" ht="14.1" customHeight="1" x14ac:dyDescent="0.2">
      <c r="B5" s="104" t="s">
        <v>2062</v>
      </c>
      <c r="C5" s="26" t="s">
        <v>910</v>
      </c>
      <c r="D5" s="84"/>
      <c r="E5" s="84"/>
      <c r="H5" s="38"/>
      <c r="I5" s="2064" t="s">
        <v>680</v>
      </c>
      <c r="J5" s="2063"/>
      <c r="K5" s="2063"/>
      <c r="L5" s="2063"/>
      <c r="M5" s="2063"/>
      <c r="N5" s="2063"/>
      <c r="O5" s="2063"/>
      <c r="P5" s="2063"/>
      <c r="Q5" s="2063"/>
      <c r="R5" s="2063"/>
      <c r="S5" s="2063"/>
    </row>
    <row r="6" spans="1:28" ht="14.1" customHeight="1" x14ac:dyDescent="0.2">
      <c r="B6" s="104"/>
      <c r="C6" s="26" t="s">
        <v>911</v>
      </c>
      <c r="D6" s="84"/>
      <c r="E6" s="84"/>
      <c r="I6" s="2062" t="s">
        <v>883</v>
      </c>
      <c r="J6" s="2063"/>
      <c r="K6" s="2063"/>
      <c r="L6" s="2063"/>
      <c r="M6" s="2063"/>
      <c r="N6" s="2063"/>
      <c r="O6" s="2063"/>
      <c r="P6" s="2063"/>
      <c r="Q6" s="2063"/>
      <c r="R6" s="2063"/>
      <c r="S6" s="2063"/>
    </row>
    <row r="7" spans="1:28" ht="12.2" customHeight="1" x14ac:dyDescent="0.2">
      <c r="I7" s="2057">
        <v>43646</v>
      </c>
      <c r="J7" s="2058"/>
      <c r="K7" s="2058"/>
      <c r="L7" s="2058"/>
      <c r="M7" s="2058"/>
      <c r="N7" s="2058"/>
      <c r="O7" s="2058"/>
      <c r="P7" s="2058"/>
      <c r="Q7" s="2058"/>
      <c r="R7" s="2058"/>
      <c r="S7" s="205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9" t="s">
        <v>674</v>
      </c>
      <c r="J9" s="2060"/>
      <c r="K9" s="2060"/>
      <c r="L9" s="2060"/>
      <c r="M9" s="2060"/>
      <c r="N9" s="2060"/>
      <c r="O9" s="2060"/>
      <c r="P9" s="2060"/>
      <c r="Q9" s="2060"/>
      <c r="R9" s="2060"/>
      <c r="S9" s="2061"/>
      <c r="T9" s="2075" t="s">
        <v>533</v>
      </c>
      <c r="U9" s="2076"/>
      <c r="V9" s="2076"/>
      <c r="W9" s="2076"/>
      <c r="X9" s="2076"/>
      <c r="Y9" s="2076"/>
      <c r="Z9" s="2076"/>
      <c r="AA9" s="2077"/>
    </row>
    <row r="10" spans="1:28" ht="13.5" customHeight="1" x14ac:dyDescent="0.2">
      <c r="A10" s="2082" t="s">
        <v>675</v>
      </c>
      <c r="B10" s="2083"/>
      <c r="C10" s="2083"/>
      <c r="D10" s="2083"/>
      <c r="E10" s="2083"/>
      <c r="F10" s="2083"/>
      <c r="G10" s="2083"/>
      <c r="H10" s="2084"/>
      <c r="I10" s="29"/>
      <c r="J10" s="30"/>
      <c r="K10" s="28"/>
      <c r="R10" s="30"/>
      <c r="S10" s="30"/>
      <c r="T10" s="2078"/>
      <c r="U10" s="2063"/>
      <c r="V10" s="2063"/>
      <c r="W10" s="2063"/>
      <c r="X10" s="2063"/>
      <c r="Y10" s="2063"/>
      <c r="Z10" s="2063"/>
      <c r="AA10" s="2069"/>
    </row>
    <row r="11" spans="1:28" ht="14.25" customHeight="1" x14ac:dyDescent="0.2">
      <c r="A11" s="2085" t="s">
        <v>955</v>
      </c>
      <c r="B11" s="2086"/>
      <c r="C11" s="2086"/>
      <c r="D11" s="2086"/>
      <c r="E11" s="2086"/>
      <c r="F11" s="2086"/>
      <c r="G11" s="2086"/>
      <c r="H11" s="2087"/>
      <c r="I11" s="27"/>
      <c r="J11" s="74"/>
      <c r="K11" s="27"/>
      <c r="O11" s="148"/>
      <c r="P11" s="100" t="s">
        <v>201</v>
      </c>
      <c r="Q11" s="30"/>
      <c r="R11" s="28"/>
      <c r="S11" s="27"/>
      <c r="T11" s="2079"/>
      <c r="U11" s="2080"/>
      <c r="V11" s="2080"/>
      <c r="W11" s="2080"/>
      <c r="X11" s="2080"/>
      <c r="Y11" s="2080"/>
      <c r="Z11" s="2080"/>
      <c r="AA11" s="2081"/>
    </row>
    <row r="12" spans="1:28" ht="13.5" customHeight="1" x14ac:dyDescent="0.2">
      <c r="A12" s="85" t="s">
        <v>925</v>
      </c>
      <c r="B12" s="76"/>
      <c r="C12" s="76"/>
      <c r="D12" s="76"/>
      <c r="E12" s="76"/>
      <c r="F12" s="76"/>
      <c r="G12" s="76"/>
      <c r="H12" s="53"/>
      <c r="I12" s="29"/>
      <c r="J12" s="30"/>
      <c r="K12" s="28"/>
      <c r="O12" s="149" t="s">
        <v>2062</v>
      </c>
      <c r="P12" s="100" t="s">
        <v>202</v>
      </c>
      <c r="Q12" s="74"/>
      <c r="R12" s="30"/>
      <c r="S12" s="30"/>
      <c r="T12" s="85" t="s">
        <v>265</v>
      </c>
      <c r="U12" s="51"/>
      <c r="V12" s="51"/>
      <c r="W12" s="51"/>
      <c r="X12" s="51"/>
      <c r="Y12" s="45"/>
      <c r="Z12" s="45"/>
      <c r="AA12" s="46"/>
    </row>
    <row r="13" spans="1:28" ht="13.5" customHeight="1" x14ac:dyDescent="0.2">
      <c r="A13" s="2089">
        <v>51084186025</v>
      </c>
      <c r="B13" s="2090"/>
      <c r="C13" s="2090"/>
      <c r="D13" s="2090"/>
      <c r="E13" s="2090"/>
      <c r="F13" s="2090"/>
      <c r="G13" s="2090"/>
      <c r="H13" s="2091"/>
      <c r="I13" s="31"/>
      <c r="J13" s="30"/>
      <c r="K13" s="28"/>
      <c r="L13" s="30"/>
      <c r="M13" s="30"/>
      <c r="N13" s="30"/>
      <c r="O13" s="30"/>
      <c r="P13" s="30"/>
      <c r="Q13" s="30"/>
      <c r="R13" s="30"/>
      <c r="S13" s="30"/>
      <c r="T13" s="2094" t="s">
        <v>2072</v>
      </c>
      <c r="U13" s="2095"/>
      <c r="V13" s="2095"/>
      <c r="W13" s="2095"/>
      <c r="X13" s="2095"/>
      <c r="Y13" s="2096"/>
      <c r="Z13" s="2096"/>
      <c r="AA13" s="209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88" t="s">
        <v>2063</v>
      </c>
      <c r="B15" s="2092"/>
      <c r="C15" s="2092"/>
      <c r="D15" s="2092"/>
      <c r="E15" s="2092"/>
      <c r="F15" s="2092"/>
      <c r="G15" s="2092"/>
      <c r="H15" s="2093"/>
      <c r="T15" s="2098" t="s">
        <v>2073</v>
      </c>
      <c r="U15" s="2042"/>
      <c r="V15" s="2042"/>
      <c r="W15" s="2042"/>
      <c r="X15" s="2042"/>
      <c r="Y15" s="2099"/>
      <c r="Z15" s="2099"/>
      <c r="AA15" s="210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48" t="s">
        <v>2274</v>
      </c>
      <c r="B17" s="2049"/>
      <c r="C17" s="2049"/>
      <c r="D17" s="2049"/>
      <c r="E17" s="2049"/>
      <c r="F17" s="2049"/>
      <c r="G17" s="2049"/>
      <c r="H17" s="2074"/>
      <c r="T17" s="2105" t="s">
        <v>2074</v>
      </c>
      <c r="U17" s="2106"/>
      <c r="V17" s="2106"/>
      <c r="W17" s="2106"/>
      <c r="X17" s="2106"/>
      <c r="Y17" s="2106"/>
      <c r="Z17" s="2106"/>
      <c r="AA17" s="2107"/>
    </row>
    <row r="18" spans="1:27" ht="13.5" customHeight="1" x14ac:dyDescent="0.2">
      <c r="A18" s="85" t="s">
        <v>530</v>
      </c>
      <c r="B18" s="76"/>
      <c r="C18" s="72"/>
      <c r="D18" s="76"/>
      <c r="E18" s="76"/>
      <c r="F18" s="76"/>
      <c r="G18" s="76"/>
      <c r="H18" s="56"/>
      <c r="I18" s="2073" t="s">
        <v>676</v>
      </c>
      <c r="J18" s="2024"/>
      <c r="K18" s="2024"/>
      <c r="L18" s="2024"/>
      <c r="M18" s="2024"/>
      <c r="N18" s="2024"/>
      <c r="O18" s="2024"/>
      <c r="P18" s="2024"/>
      <c r="Q18" s="2024"/>
      <c r="R18" s="2024"/>
      <c r="S18" s="2025"/>
      <c r="T18" s="85" t="s">
        <v>711</v>
      </c>
      <c r="U18" s="51"/>
      <c r="V18" s="72"/>
      <c r="W18" s="50"/>
      <c r="X18" s="85" t="s">
        <v>266</v>
      </c>
      <c r="Y18" s="81"/>
      <c r="Z18" s="159" t="s">
        <v>677</v>
      </c>
      <c r="AA18" s="46"/>
    </row>
    <row r="19" spans="1:27" ht="13.5" customHeight="1" x14ac:dyDescent="0.2">
      <c r="A19" s="2088" t="s">
        <v>2065</v>
      </c>
      <c r="B19" s="2034"/>
      <c r="C19" s="2034"/>
      <c r="D19" s="2034"/>
      <c r="E19" s="2034"/>
      <c r="F19" s="2034"/>
      <c r="G19" s="2034"/>
      <c r="H19" s="2014"/>
      <c r="I19" s="30"/>
      <c r="J19" s="99"/>
      <c r="K19" s="40"/>
      <c r="L19" s="38"/>
      <c r="M19" s="112" t="s">
        <v>315</v>
      </c>
      <c r="P19" s="27"/>
      <c r="Q19" s="27"/>
      <c r="R19" s="27"/>
      <c r="S19" s="31"/>
      <c r="T19" s="2088" t="s">
        <v>2075</v>
      </c>
      <c r="U19" s="2013"/>
      <c r="V19" s="2013"/>
      <c r="W19" s="2014"/>
      <c r="X19" s="2103" t="s">
        <v>2076</v>
      </c>
      <c r="Y19" s="2104"/>
      <c r="Z19" s="2101">
        <v>60606</v>
      </c>
      <c r="AA19" s="210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12" t="s">
        <v>2066</v>
      </c>
      <c r="B21" s="2013"/>
      <c r="C21" s="2013"/>
      <c r="D21" s="2013"/>
      <c r="E21" s="2013"/>
      <c r="F21" s="2013"/>
      <c r="G21" s="2013"/>
      <c r="H21" s="2014"/>
      <c r="I21" s="2068" t="s">
        <v>678</v>
      </c>
      <c r="J21" s="2063"/>
      <c r="K21" s="2063"/>
      <c r="L21" s="2063"/>
      <c r="M21" s="2063"/>
      <c r="N21" s="2063"/>
      <c r="O21" s="2063"/>
      <c r="P21" s="2063"/>
      <c r="Q21" s="2063"/>
      <c r="R21" s="2063"/>
      <c r="S21" s="2069"/>
      <c r="T21" s="2112" t="s">
        <v>2077</v>
      </c>
      <c r="U21" s="2113"/>
      <c r="V21" s="2113"/>
      <c r="W21" s="2113"/>
      <c r="X21" s="2118" t="s">
        <v>2078</v>
      </c>
      <c r="Y21" s="2119"/>
      <c r="Z21" s="2119"/>
      <c r="AA21" s="2120"/>
    </row>
    <row r="22" spans="1:27" ht="13.5" customHeight="1" x14ac:dyDescent="0.2">
      <c r="A22" s="87" t="s">
        <v>531</v>
      </c>
      <c r="B22" s="59"/>
      <c r="C22" s="59"/>
      <c r="D22" s="59"/>
      <c r="E22" s="59"/>
      <c r="F22" s="59"/>
      <c r="G22" s="59"/>
      <c r="H22" s="60"/>
      <c r="I22" s="2070" t="s">
        <v>1429</v>
      </c>
      <c r="J22" s="2071"/>
      <c r="K22" s="2071"/>
      <c r="L22" s="2071"/>
      <c r="M22" s="2071"/>
      <c r="N22" s="2071"/>
      <c r="O22" s="2071"/>
      <c r="P22" s="2071"/>
      <c r="Q22" s="2071"/>
      <c r="R22" s="2071"/>
      <c r="S22" s="2072"/>
      <c r="T22" s="85" t="s">
        <v>1516</v>
      </c>
      <c r="U22" s="51"/>
      <c r="V22" s="72"/>
      <c r="W22" s="51"/>
      <c r="X22" s="160" t="s">
        <v>1318</v>
      </c>
      <c r="Z22" s="45"/>
      <c r="AA22" s="46"/>
    </row>
    <row r="23" spans="1:27" ht="13.5" customHeight="1" x14ac:dyDescent="0.2">
      <c r="A23" s="2065" t="s">
        <v>2067</v>
      </c>
      <c r="B23" s="2066"/>
      <c r="C23" s="2066"/>
      <c r="D23" s="2066"/>
      <c r="E23" s="2066"/>
      <c r="F23" s="2066"/>
      <c r="G23" s="2066"/>
      <c r="H23" s="2067"/>
      <c r="T23" s="2048"/>
      <c r="U23" s="2111"/>
      <c r="V23" s="2111"/>
      <c r="W23" s="2111"/>
      <c r="X23" s="2115"/>
      <c r="Y23" s="2116"/>
      <c r="Z23" s="2116"/>
      <c r="AA23" s="2117"/>
    </row>
    <row r="24" spans="1:27" ht="14.1" customHeight="1" x14ac:dyDescent="0.2">
      <c r="A24" s="88" t="s">
        <v>677</v>
      </c>
      <c r="B24" s="49"/>
      <c r="C24" s="49"/>
      <c r="D24" s="49"/>
      <c r="E24" s="49"/>
      <c r="F24" s="49"/>
      <c r="G24" s="49"/>
      <c r="H24" s="61"/>
      <c r="J24" s="2035">
        <f>IF(B5="x",IF(AUDITCHECK!D29="AFR form Incomplete.","",IF(AUDITCHECK!D29="Deficit reduction plan is required.","School District must complete a deficit reduction plan in the 2019-2020 Budget",)),"")</f>
        <v>0</v>
      </c>
      <c r="K24" s="2035"/>
      <c r="L24" s="2035"/>
      <c r="M24" s="2035"/>
      <c r="N24" s="2035"/>
      <c r="O24" s="2035"/>
      <c r="P24" s="2035"/>
      <c r="Q24" s="2035"/>
      <c r="R24" s="2035"/>
      <c r="S24" s="2036"/>
      <c r="T24" s="105" t="s">
        <v>531</v>
      </c>
      <c r="U24" s="106"/>
      <c r="V24" s="106"/>
      <c r="W24" s="106"/>
      <c r="X24" s="107"/>
      <c r="Y24" s="107"/>
      <c r="Z24" s="107"/>
      <c r="AA24" s="108"/>
    </row>
    <row r="25" spans="1:27" ht="14.1" customHeight="1" x14ac:dyDescent="0.2">
      <c r="A25" s="2012">
        <v>62704</v>
      </c>
      <c r="B25" s="2013"/>
      <c r="C25" s="2013"/>
      <c r="D25" s="2013"/>
      <c r="E25" s="2013"/>
      <c r="F25" s="2013"/>
      <c r="G25" s="2013"/>
      <c r="H25" s="2014"/>
      <c r="I25" s="113"/>
      <c r="J25" s="2037"/>
      <c r="K25" s="2037"/>
      <c r="L25" s="2037"/>
      <c r="M25" s="2037"/>
      <c r="N25" s="2037"/>
      <c r="O25" s="2037"/>
      <c r="P25" s="2037"/>
      <c r="Q25" s="2037"/>
      <c r="R25" s="2037"/>
      <c r="S25" s="2038"/>
      <c r="T25" s="2108" t="s">
        <v>2079</v>
      </c>
      <c r="U25" s="2109"/>
      <c r="V25" s="2109"/>
      <c r="W25" s="2109"/>
      <c r="X25" s="2109"/>
      <c r="Y25" s="2109"/>
      <c r="Z25" s="2109"/>
      <c r="AA25" s="211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23" t="s">
        <v>1511</v>
      </c>
      <c r="J27" s="2024"/>
      <c r="K27" s="2024"/>
      <c r="L27" s="2024"/>
      <c r="M27" s="2024"/>
      <c r="N27" s="2024"/>
      <c r="O27" s="2024"/>
      <c r="P27" s="2024"/>
      <c r="Q27" s="2024"/>
      <c r="R27" s="2024"/>
      <c r="S27" s="202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2062</v>
      </c>
      <c r="F29" s="141" t="s">
        <v>1316</v>
      </c>
      <c r="G29" s="114"/>
      <c r="I29" s="54"/>
      <c r="J29" s="102"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2062</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34"/>
      <c r="Q35" s="2013"/>
      <c r="R35" s="201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48" t="s">
        <v>2068</v>
      </c>
      <c r="B38" s="2049"/>
      <c r="C38" s="2049"/>
      <c r="D38" s="2049"/>
      <c r="E38" s="2049"/>
      <c r="F38" s="2013"/>
      <c r="G38" s="2013"/>
      <c r="H38" s="2014"/>
      <c r="I38" s="2041"/>
      <c r="J38" s="2042"/>
      <c r="K38" s="2042"/>
      <c r="L38" s="2042"/>
      <c r="M38" s="2042"/>
      <c r="N38" s="2042"/>
      <c r="O38" s="2042"/>
      <c r="P38" s="2043"/>
      <c r="Q38" s="2043"/>
      <c r="R38" s="2043"/>
      <c r="S38" s="2044"/>
      <c r="T38" s="2098"/>
      <c r="U38" s="2042"/>
      <c r="V38" s="2042"/>
      <c r="W38" s="2042"/>
      <c r="X38" s="2043"/>
      <c r="Y38" s="2043"/>
      <c r="Z38" s="2043"/>
      <c r="AA38" s="2044"/>
    </row>
    <row r="39" spans="1:27" ht="12" customHeight="1" x14ac:dyDescent="0.2">
      <c r="A39" s="2018" t="s">
        <v>531</v>
      </c>
      <c r="B39" s="2019"/>
      <c r="C39" s="72"/>
      <c r="D39" s="69"/>
      <c r="E39" s="69"/>
      <c r="F39" s="79"/>
      <c r="G39" s="69"/>
      <c r="H39" s="56"/>
      <c r="I39" s="2018" t="s">
        <v>531</v>
      </c>
      <c r="J39" s="2019"/>
      <c r="K39" s="2019"/>
      <c r="L39" s="2019"/>
      <c r="M39" s="2019"/>
      <c r="N39" s="67"/>
      <c r="O39" s="72"/>
      <c r="P39" s="72"/>
      <c r="Q39" s="78"/>
      <c r="R39" s="72"/>
      <c r="S39" s="56"/>
      <c r="T39" s="72" t="s">
        <v>531</v>
      </c>
      <c r="U39" s="51"/>
      <c r="V39" s="72"/>
      <c r="W39" s="50"/>
      <c r="X39" s="78"/>
      <c r="Y39" s="45"/>
      <c r="Z39" s="45"/>
      <c r="AA39" s="46"/>
    </row>
    <row r="40" spans="1:27" ht="13.5" customHeight="1" x14ac:dyDescent="0.2">
      <c r="A40" s="2026" t="s">
        <v>2069</v>
      </c>
      <c r="B40" s="2027"/>
      <c r="C40" s="2028"/>
      <c r="D40" s="2028"/>
      <c r="E40" s="2028"/>
      <c r="F40" s="2029"/>
      <c r="G40" s="2029"/>
      <c r="H40" s="2030"/>
      <c r="I40" s="2051"/>
      <c r="J40" s="2052"/>
      <c r="K40" s="2052"/>
      <c r="L40" s="2052"/>
      <c r="M40" s="2052"/>
      <c r="N40" s="2052"/>
      <c r="O40" s="2052"/>
      <c r="P40" s="2052"/>
      <c r="Q40" s="2052"/>
      <c r="R40" s="2052"/>
      <c r="S40" s="2053"/>
      <c r="T40" s="2051"/>
      <c r="U40" s="2114"/>
      <c r="V40" s="2052"/>
      <c r="W40" s="2052"/>
      <c r="X40" s="2052"/>
      <c r="Y40" s="2052"/>
      <c r="Z40" s="2052"/>
      <c r="AA40" s="205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0" t="s">
        <v>2070</v>
      </c>
      <c r="B42" s="2032"/>
      <c r="C42" s="2033"/>
      <c r="D42" s="2031" t="s">
        <v>2071</v>
      </c>
      <c r="E42" s="2032"/>
      <c r="F42" s="2032"/>
      <c r="G42" s="2032"/>
      <c r="H42" s="2033"/>
      <c r="I42" s="2015"/>
      <c r="J42" s="2016"/>
      <c r="K42" s="2016"/>
      <c r="L42" s="2016"/>
      <c r="M42" s="2016"/>
      <c r="N42" s="2016"/>
      <c r="O42" s="2017"/>
      <c r="P42" s="2050"/>
      <c r="Q42" s="2016"/>
      <c r="R42" s="2016"/>
      <c r="S42" s="2017"/>
      <c r="T42" s="2015"/>
      <c r="U42" s="2016"/>
      <c r="V42" s="2016"/>
      <c r="W42" s="2017"/>
      <c r="X42" s="2050"/>
      <c r="Y42" s="2016"/>
      <c r="Z42" s="2016"/>
      <c r="AA42" s="201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5"/>
      <c r="B44" s="2046"/>
      <c r="C44" s="2046"/>
      <c r="D44" s="2046"/>
      <c r="E44" s="2046"/>
      <c r="F44" s="2046"/>
      <c r="G44" s="2046"/>
      <c r="H44" s="2047"/>
      <c r="I44" s="2020"/>
      <c r="J44" s="2021"/>
      <c r="K44" s="2021"/>
      <c r="L44" s="2021"/>
      <c r="M44" s="2021"/>
      <c r="N44" s="2021"/>
      <c r="O44" s="2021"/>
      <c r="P44" s="2021"/>
      <c r="Q44" s="2021"/>
      <c r="R44" s="2021"/>
      <c r="S44" s="2022"/>
      <c r="T44" s="2020"/>
      <c r="U44" s="2039"/>
      <c r="V44" s="2039"/>
      <c r="W44" s="2039"/>
      <c r="X44" s="2039"/>
      <c r="Y44" s="2039"/>
      <c r="Z44" s="2021"/>
      <c r="AA44" s="202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A5" sqref="A5:F5"/>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254" t="s">
        <v>1799</v>
      </c>
      <c r="B2" s="1528" t="s">
        <v>1946</v>
      </c>
      <c r="C2" s="714" t="s">
        <v>1947</v>
      </c>
      <c r="D2" s="714" t="s">
        <v>1948</v>
      </c>
      <c r="E2" s="714" t="s">
        <v>1949</v>
      </c>
      <c r="F2" s="714" t="s">
        <v>1950</v>
      </c>
    </row>
    <row r="3" spans="1:6" ht="12" customHeight="1" x14ac:dyDescent="0.2">
      <c r="A3" s="2255"/>
      <c r="B3" s="1525"/>
      <c r="C3" s="1526"/>
      <c r="D3" s="1527" t="s">
        <v>256</v>
      </c>
      <c r="E3" s="1526"/>
      <c r="F3" s="1527" t="s">
        <v>257</v>
      </c>
    </row>
    <row r="4" spans="1:6" ht="13.7" customHeight="1" x14ac:dyDescent="0.2">
      <c r="A4" s="715" t="s">
        <v>1155</v>
      </c>
      <c r="B4" s="1749">
        <f>'Revenues 9-14'!C5</f>
        <v>67680192</v>
      </c>
      <c r="C4" s="1524">
        <v>35446584</v>
      </c>
      <c r="D4" s="1752">
        <f>B4-C4</f>
        <v>32233608</v>
      </c>
      <c r="E4" s="1524">
        <v>68914086</v>
      </c>
      <c r="F4" s="1752">
        <f>E4-C4</f>
        <v>33467502</v>
      </c>
    </row>
    <row r="5" spans="1:6" ht="13.7" customHeight="1" x14ac:dyDescent="0.2">
      <c r="A5" s="715" t="s">
        <v>870</v>
      </c>
      <c r="B5" s="1750">
        <f>'Revenues 9-14'!D5</f>
        <v>13805002</v>
      </c>
      <c r="C5" s="585">
        <v>7220253</v>
      </c>
      <c r="D5" s="1753">
        <f t="shared" ref="D5:D18" si="0">B5-C5</f>
        <v>6584749</v>
      </c>
      <c r="E5" s="585">
        <v>14037379</v>
      </c>
      <c r="F5" s="1753">
        <f>E5-C5</f>
        <v>6817126</v>
      </c>
    </row>
    <row r="6" spans="1:6" ht="13.7" customHeight="1" x14ac:dyDescent="0.2">
      <c r="A6" s="715" t="s">
        <v>411</v>
      </c>
      <c r="B6" s="1750">
        <f>'Revenues 9-14'!E5</f>
        <v>7898792</v>
      </c>
      <c r="C6" s="585">
        <v>4103222</v>
      </c>
      <c r="D6" s="1753">
        <f t="shared" si="0"/>
        <v>3795570</v>
      </c>
      <c r="E6" s="585">
        <v>7977350</v>
      </c>
      <c r="F6" s="1753">
        <f t="shared" ref="F6:F18" si="1">E6-C6</f>
        <v>3874128</v>
      </c>
    </row>
    <row r="7" spans="1:6" ht="13.7" customHeight="1" x14ac:dyDescent="0.2">
      <c r="A7" s="715" t="s">
        <v>155</v>
      </c>
      <c r="B7" s="1750">
        <f>'Revenues 9-14'!F5</f>
        <v>5206540</v>
      </c>
      <c r="C7" s="585">
        <v>2722971</v>
      </c>
      <c r="D7" s="1753">
        <f t="shared" si="0"/>
        <v>2483569</v>
      </c>
      <c r="E7" s="585">
        <v>5293912</v>
      </c>
      <c r="F7" s="1753">
        <f t="shared" si="1"/>
        <v>2570941</v>
      </c>
    </row>
    <row r="8" spans="1:6" ht="13.7" customHeight="1" x14ac:dyDescent="0.2">
      <c r="A8" s="715" t="s">
        <v>1179</v>
      </c>
      <c r="B8" s="1750">
        <f>'Revenues 9-14'!G5</f>
        <v>2756015</v>
      </c>
      <c r="C8" s="585">
        <v>1441757</v>
      </c>
      <c r="D8" s="1753">
        <f t="shared" si="0"/>
        <v>1314258</v>
      </c>
      <c r="E8" s="585">
        <v>2803017</v>
      </c>
      <c r="F8" s="1753">
        <f t="shared" si="1"/>
        <v>1361260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2994170</v>
      </c>
      <c r="C11" s="585">
        <v>1515773</v>
      </c>
      <c r="D11" s="1753">
        <f t="shared" si="0"/>
        <v>1478397</v>
      </c>
      <c r="E11" s="585">
        <v>2946917</v>
      </c>
      <c r="F11" s="1753">
        <f t="shared" si="1"/>
        <v>1431144</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2068997</v>
      </c>
      <c r="C14" s="585">
        <v>1082100</v>
      </c>
      <c r="D14" s="1753">
        <f t="shared" si="0"/>
        <v>986897</v>
      </c>
      <c r="E14" s="585">
        <v>2103783</v>
      </c>
      <c r="F14" s="1753">
        <f t="shared" si="1"/>
        <v>1021683</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2848114</v>
      </c>
      <c r="C16" s="585">
        <v>1489711</v>
      </c>
      <c r="D16" s="1753">
        <f t="shared" si="0"/>
        <v>1358403</v>
      </c>
      <c r="E16" s="585">
        <v>2896248</v>
      </c>
      <c r="F16" s="1753">
        <f t="shared" si="1"/>
        <v>1406537</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105257822</v>
      </c>
      <c r="C19" s="1751">
        <f>SUM(C4:C18)</f>
        <v>55022371</v>
      </c>
      <c r="D19" s="1751">
        <f>SUM(D4:D18)</f>
        <v>50235451</v>
      </c>
      <c r="E19" s="1751">
        <f>SUM(E4:E18)</f>
        <v>106972692</v>
      </c>
      <c r="F19" s="1751">
        <f>SUM(F4:F18)</f>
        <v>51950321</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colorId="8" zoomScale="110" zoomScaleNormal="110" workbookViewId="0">
      <selection activeCell="A5" sqref="A5:F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76" t="s">
        <v>629</v>
      </c>
      <c r="B1" s="2274"/>
      <c r="C1" s="721"/>
    </row>
    <row r="2" spans="1:7" ht="33.75" x14ac:dyDescent="0.2">
      <c r="A2" s="2281" t="s">
        <v>1799</v>
      </c>
      <c r="B2" s="2282"/>
      <c r="C2" s="1884" t="s">
        <v>1951</v>
      </c>
      <c r="D2" s="723" t="s">
        <v>1952</v>
      </c>
      <c r="E2" s="723" t="s">
        <v>1953</v>
      </c>
      <c r="F2" s="1884" t="s">
        <v>1954</v>
      </c>
    </row>
    <row r="3" spans="1:7" ht="15.75" customHeight="1" x14ac:dyDescent="0.2">
      <c r="A3" s="2283" t="s">
        <v>1114</v>
      </c>
      <c r="B3" s="2284"/>
      <c r="C3" s="2277"/>
      <c r="D3" s="2278"/>
      <c r="E3" s="2278"/>
      <c r="F3" s="2279"/>
    </row>
    <row r="4" spans="1:7" ht="12.75" customHeight="1" thickBot="1" x14ac:dyDescent="0.25">
      <c r="A4" s="2271" t="s">
        <v>630</v>
      </c>
      <c r="B4" s="2272"/>
      <c r="C4" s="581"/>
      <c r="D4" s="581"/>
      <c r="E4" s="581"/>
      <c r="F4" s="1755">
        <f>SUM(C4+D4)-E4</f>
        <v>0</v>
      </c>
    </row>
    <row r="5" spans="1:7" ht="15.75" customHeight="1" thickTop="1" x14ac:dyDescent="0.2">
      <c r="A5" s="2275" t="s">
        <v>1110</v>
      </c>
      <c r="B5" s="2270"/>
      <c r="C5" s="2264"/>
      <c r="D5" s="2265"/>
      <c r="E5" s="2265"/>
      <c r="F5" s="226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67" t="s">
        <v>631</v>
      </c>
      <c r="B15" s="2268"/>
      <c r="C15" s="1755">
        <f>SUM(C6:C14)</f>
        <v>0</v>
      </c>
      <c r="D15" s="1755">
        <f>SUM(D6:D14)</f>
        <v>0</v>
      </c>
      <c r="E15" s="1755">
        <f>SUM(E6:E14)</f>
        <v>0</v>
      </c>
      <c r="F15" s="1755">
        <f>SUM(F6:F14)</f>
        <v>0</v>
      </c>
      <c r="G15" s="552"/>
    </row>
    <row r="16" spans="1:7" s="202" customFormat="1" ht="15.75" customHeight="1" thickTop="1" x14ac:dyDescent="0.2">
      <c r="A16" s="2280" t="s">
        <v>1111</v>
      </c>
      <c r="B16" s="2270"/>
      <c r="C16" s="2264"/>
      <c r="D16" s="2265"/>
      <c r="E16" s="2265"/>
      <c r="F16" s="2266"/>
    </row>
    <row r="17" spans="1:11" ht="12.75" customHeight="1" thickBot="1" x14ac:dyDescent="0.25">
      <c r="A17" s="2262" t="s">
        <v>64</v>
      </c>
      <c r="B17" s="2263"/>
      <c r="C17" s="726"/>
      <c r="D17" s="585"/>
      <c r="E17" s="726"/>
      <c r="F17" s="1755">
        <f>SUM(C17+D17)-E17</f>
        <v>0</v>
      </c>
    </row>
    <row r="18" spans="1:11" ht="12.75" customHeight="1" thickTop="1" thickBot="1" x14ac:dyDescent="0.25">
      <c r="A18" s="2262" t="s">
        <v>6</v>
      </c>
      <c r="B18" s="2263"/>
      <c r="C18" s="726"/>
      <c r="D18" s="585"/>
      <c r="E18" s="726"/>
      <c r="F18" s="1755">
        <f>SUM(C18+D18)-E18</f>
        <v>0</v>
      </c>
    </row>
    <row r="19" spans="1:11" ht="12.75" customHeight="1" thickTop="1" thickBot="1" x14ac:dyDescent="0.25">
      <c r="A19" s="2262" t="s">
        <v>388</v>
      </c>
      <c r="B19" s="2263"/>
      <c r="C19" s="726"/>
      <c r="D19" s="585"/>
      <c r="E19" s="726"/>
      <c r="F19" s="1755">
        <f>SUM(C19+D19)-E19</f>
        <v>0</v>
      </c>
    </row>
    <row r="20" spans="1:11" ht="12.75" customHeight="1" thickTop="1" thickBot="1" x14ac:dyDescent="0.25">
      <c r="A20" s="2262" t="s">
        <v>448</v>
      </c>
      <c r="B20" s="2263"/>
      <c r="C20" s="726"/>
      <c r="D20" s="585"/>
      <c r="E20" s="726"/>
      <c r="F20" s="1755">
        <f>SUM(C20+D20)-E20</f>
        <v>0</v>
      </c>
    </row>
    <row r="21" spans="1:11" ht="14.25" thickTop="1" thickBot="1" x14ac:dyDescent="0.25">
      <c r="A21" s="2267" t="s">
        <v>632</v>
      </c>
      <c r="B21" s="2268"/>
      <c r="C21" s="1755">
        <f>SUM(C17:C20)</f>
        <v>0</v>
      </c>
      <c r="D21" s="1755">
        <f>SUM(D17:D20)</f>
        <v>0</v>
      </c>
      <c r="E21" s="1755">
        <f>SUM(E17:E20)</f>
        <v>0</v>
      </c>
      <c r="F21" s="1755">
        <f>SUM(F17:F20)</f>
        <v>0</v>
      </c>
      <c r="G21" s="552"/>
    </row>
    <row r="22" spans="1:11" ht="15.75" customHeight="1" thickTop="1" x14ac:dyDescent="0.2">
      <c r="A22" s="2269" t="s">
        <v>1112</v>
      </c>
      <c r="B22" s="2270"/>
      <c r="C22" s="2264"/>
      <c r="D22" s="2265"/>
      <c r="E22" s="2265"/>
      <c r="F22" s="2266"/>
    </row>
    <row r="23" spans="1:11" ht="13.5" thickBot="1" x14ac:dyDescent="0.25">
      <c r="A23" s="2271" t="s">
        <v>633</v>
      </c>
      <c r="B23" s="2272"/>
      <c r="C23" s="581"/>
      <c r="D23" s="581"/>
      <c r="E23" s="581"/>
      <c r="F23" s="1755">
        <f>SUM(C23+D23)-E23</f>
        <v>0</v>
      </c>
      <c r="G23" s="552"/>
    </row>
    <row r="24" spans="1:11" ht="15.75" customHeight="1" thickTop="1" x14ac:dyDescent="0.2">
      <c r="A24" s="2269" t="s">
        <v>1113</v>
      </c>
      <c r="B24" s="2270"/>
      <c r="C24" s="2264"/>
      <c r="D24" s="2265"/>
      <c r="E24" s="2265"/>
      <c r="F24" s="2266"/>
    </row>
    <row r="25" spans="1:11" ht="13.5" thickBot="1" x14ac:dyDescent="0.25">
      <c r="A25" s="2271" t="s">
        <v>634</v>
      </c>
      <c r="B25" s="2272"/>
      <c r="C25" s="581"/>
      <c r="D25" s="581"/>
      <c r="E25" s="581"/>
      <c r="F25" s="1755">
        <f>SUM(C25+D25)-E25</f>
        <v>0</v>
      </c>
      <c r="G25" s="552"/>
    </row>
    <row r="26" spans="1:11" ht="15.75" customHeight="1" thickTop="1" x14ac:dyDescent="0.2">
      <c r="A26" s="2275" t="s">
        <v>657</v>
      </c>
      <c r="B26" s="2270"/>
      <c r="C26" s="727"/>
      <c r="D26" s="727"/>
      <c r="E26" s="727"/>
      <c r="F26" s="728"/>
    </row>
    <row r="27" spans="1:11" ht="13.5" thickBot="1" x14ac:dyDescent="0.25">
      <c r="A27" s="2267" t="s">
        <v>1070</v>
      </c>
      <c r="B27" s="2268"/>
      <c r="C27" s="585">
        <v>0</v>
      </c>
      <c r="D27" s="585">
        <v>2930000</v>
      </c>
      <c r="E27" s="585">
        <v>40000</v>
      </c>
      <c r="F27" s="1755">
        <f>SUM(C27+D27)-E27</f>
        <v>2890000</v>
      </c>
      <c r="G27" s="552"/>
    </row>
    <row r="28" spans="1:11" ht="7.5" customHeight="1" thickTop="1" x14ac:dyDescent="0.2">
      <c r="A28" s="593"/>
    </row>
    <row r="29" spans="1:11" ht="23.25" customHeight="1" x14ac:dyDescent="0.2">
      <c r="A29" s="2273" t="s">
        <v>582</v>
      </c>
      <c r="B29" s="2274"/>
      <c r="C29" s="729"/>
      <c r="D29" s="729"/>
      <c r="E29" s="729"/>
      <c r="F29" s="729"/>
      <c r="G29" s="729"/>
      <c r="H29" s="729"/>
      <c r="I29" s="729"/>
      <c r="J29" s="729"/>
    </row>
    <row r="30" spans="1:11" ht="33.75" x14ac:dyDescent="0.2">
      <c r="A30" s="1529" t="s">
        <v>1071</v>
      </c>
      <c r="B30" s="730" t="s">
        <v>1124</v>
      </c>
      <c r="C30" s="1885" t="s">
        <v>583</v>
      </c>
      <c r="D30" s="1885" t="s">
        <v>1673</v>
      </c>
      <c r="E30" s="1885" t="s">
        <v>1955</v>
      </c>
      <c r="F30" s="1885" t="s">
        <v>1956</v>
      </c>
      <c r="G30" s="1885" t="s">
        <v>1907</v>
      </c>
      <c r="H30" s="1885" t="s">
        <v>1957</v>
      </c>
      <c r="I30" s="1885" t="s">
        <v>1958</v>
      </c>
      <c r="J30" s="1886" t="s">
        <v>2</v>
      </c>
      <c r="K30" s="731"/>
    </row>
    <row r="31" spans="1:11" ht="12" customHeight="1" x14ac:dyDescent="0.2">
      <c r="A31" s="732" t="s">
        <v>2080</v>
      </c>
      <c r="B31" s="733">
        <v>40101</v>
      </c>
      <c r="C31" s="734">
        <v>3800000</v>
      </c>
      <c r="D31" s="735">
        <v>7</v>
      </c>
      <c r="E31" s="734">
        <v>3800000</v>
      </c>
      <c r="F31" s="734"/>
      <c r="G31" s="734"/>
      <c r="H31" s="734"/>
      <c r="I31" s="1756">
        <f>((E31+F31)-H31)+G31</f>
        <v>3800000</v>
      </c>
      <c r="J31" s="734"/>
      <c r="K31" s="736"/>
    </row>
    <row r="32" spans="1:11" ht="12" customHeight="1" x14ac:dyDescent="0.2">
      <c r="A32" s="732" t="s">
        <v>2081</v>
      </c>
      <c r="B32" s="733">
        <v>40101</v>
      </c>
      <c r="C32" s="734">
        <v>1200000</v>
      </c>
      <c r="D32" s="735">
        <v>7</v>
      </c>
      <c r="E32" s="734">
        <v>1200000</v>
      </c>
      <c r="F32" s="734"/>
      <c r="G32" s="734"/>
      <c r="H32" s="734"/>
      <c r="I32" s="1756">
        <f>((E32+F32)-H32)+G32</f>
        <v>1200000</v>
      </c>
      <c r="J32" s="734"/>
      <c r="K32" s="736"/>
    </row>
    <row r="33" spans="1:11" ht="12" customHeight="1" x14ac:dyDescent="0.2">
      <c r="A33" s="732" t="s">
        <v>2082</v>
      </c>
      <c r="B33" s="733">
        <v>41631</v>
      </c>
      <c r="C33" s="734">
        <v>7775000</v>
      </c>
      <c r="D33" s="735">
        <v>3</v>
      </c>
      <c r="E33" s="734">
        <v>4080000</v>
      </c>
      <c r="F33" s="734"/>
      <c r="G33" s="734"/>
      <c r="H33" s="734">
        <v>2080000</v>
      </c>
      <c r="I33" s="1756">
        <f t="shared" ref="I33:I48" si="1">((E33+F33)-H33)+G33</f>
        <v>2000000</v>
      </c>
      <c r="J33" s="734">
        <v>2000000</v>
      </c>
      <c r="K33" s="736"/>
    </row>
    <row r="34" spans="1:11" ht="12" customHeight="1" x14ac:dyDescent="0.2">
      <c r="A34" s="732" t="s">
        <v>2083</v>
      </c>
      <c r="B34" s="733">
        <v>41729</v>
      </c>
      <c r="C34" s="734">
        <v>45905000</v>
      </c>
      <c r="D34" s="735">
        <v>3</v>
      </c>
      <c r="E34" s="734">
        <v>45905000</v>
      </c>
      <c r="F34" s="734"/>
      <c r="G34" s="734"/>
      <c r="H34" s="734">
        <v>3230000</v>
      </c>
      <c r="I34" s="1756">
        <f t="shared" si="1"/>
        <v>42675000</v>
      </c>
      <c r="J34" s="734">
        <v>37095000</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58680000</v>
      </c>
      <c r="D49" s="745"/>
      <c r="E49" s="1756">
        <f t="shared" ref="E49:J49" si="2">SUM(E31:E48)</f>
        <v>54985000</v>
      </c>
      <c r="F49" s="1756">
        <f t="shared" si="2"/>
        <v>0</v>
      </c>
      <c r="G49" s="1756">
        <f t="shared" si="2"/>
        <v>0</v>
      </c>
      <c r="H49" s="1756">
        <f t="shared" si="2"/>
        <v>5310000</v>
      </c>
      <c r="I49" s="1756">
        <f t="shared" si="2"/>
        <v>49675000</v>
      </c>
      <c r="J49" s="1756">
        <f t="shared" si="2"/>
        <v>39095000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56" t="s">
        <v>584</v>
      </c>
      <c r="C52" s="2257"/>
      <c r="D52" s="2257"/>
      <c r="E52" s="749" t="s">
        <v>845</v>
      </c>
      <c r="F52" s="2258" t="s">
        <v>2084</v>
      </c>
      <c r="G52" s="2259"/>
      <c r="H52" s="736"/>
      <c r="I52" s="736"/>
      <c r="J52" s="746"/>
    </row>
    <row r="53" spans="1:11" ht="11.25" customHeight="1" x14ac:dyDescent="0.2">
      <c r="A53" s="750" t="s">
        <v>913</v>
      </c>
      <c r="B53" s="751" t="s">
        <v>951</v>
      </c>
      <c r="C53" s="746"/>
      <c r="D53" s="737"/>
      <c r="E53" s="749" t="s">
        <v>497</v>
      </c>
      <c r="F53" s="2260"/>
      <c r="G53" s="2261"/>
      <c r="H53" s="736"/>
      <c r="I53" s="736"/>
      <c r="J53" s="746"/>
    </row>
    <row r="54" spans="1:11" ht="11.25" customHeight="1" x14ac:dyDescent="0.2">
      <c r="A54" s="752" t="s">
        <v>914</v>
      </c>
      <c r="B54" s="747" t="s">
        <v>952</v>
      </c>
      <c r="C54" s="746"/>
      <c r="D54" s="737"/>
      <c r="E54" s="749" t="s">
        <v>498</v>
      </c>
      <c r="F54" s="2260"/>
      <c r="G54" s="226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110" zoomScaleNormal="110" workbookViewId="0">
      <selection activeCell="A5" sqref="A5:F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5" t="s">
        <v>856</v>
      </c>
      <c r="B1" s="2286"/>
      <c r="C1" s="2286"/>
      <c r="D1" s="2286"/>
      <c r="E1" s="2286"/>
      <c r="F1" s="2286"/>
      <c r="G1" s="2287"/>
      <c r="H1" s="1530"/>
      <c r="I1" s="760"/>
      <c r="J1" s="433"/>
    </row>
    <row r="2" spans="1:11" ht="26.25" x14ac:dyDescent="0.2">
      <c r="A2" s="2304" t="s">
        <v>1677</v>
      </c>
      <c r="B2" s="2305"/>
      <c r="C2" s="2305"/>
      <c r="D2" s="2305"/>
      <c r="E2" s="2306"/>
      <c r="F2" s="761" t="s">
        <v>904</v>
      </c>
      <c r="G2" s="762" t="s">
        <v>1674</v>
      </c>
      <c r="H2" s="762" t="s">
        <v>410</v>
      </c>
      <c r="I2" s="762" t="s">
        <v>1158</v>
      </c>
      <c r="J2" s="762" t="s">
        <v>1809</v>
      </c>
      <c r="K2" s="762" t="s">
        <v>138</v>
      </c>
    </row>
    <row r="3" spans="1:11" x14ac:dyDescent="0.2">
      <c r="A3" s="2307" t="s">
        <v>1959</v>
      </c>
      <c r="B3" s="2308"/>
      <c r="C3" s="2308"/>
      <c r="D3" s="2308"/>
      <c r="E3" s="2309"/>
      <c r="F3" s="763"/>
      <c r="G3" s="764"/>
      <c r="H3" s="764"/>
      <c r="I3" s="764"/>
      <c r="J3" s="765"/>
      <c r="K3" s="765"/>
    </row>
    <row r="4" spans="1:11" x14ac:dyDescent="0.2">
      <c r="A4" s="2310" t="s">
        <v>369</v>
      </c>
      <c r="B4" s="2311"/>
      <c r="C4" s="2311"/>
      <c r="D4" s="2311"/>
      <c r="E4" s="2257"/>
      <c r="F4" s="766"/>
      <c r="G4" s="767"/>
      <c r="H4" s="768"/>
      <c r="I4" s="767"/>
      <c r="J4" s="769"/>
      <c r="K4" s="769"/>
    </row>
    <row r="5" spans="1:11" x14ac:dyDescent="0.2">
      <c r="A5" s="2288" t="s">
        <v>1069</v>
      </c>
      <c r="B5" s="2289"/>
      <c r="C5" s="2289"/>
      <c r="D5" s="2289"/>
      <c r="E5" s="2290"/>
      <c r="F5" s="770" t="s">
        <v>848</v>
      </c>
      <c r="G5" s="771"/>
      <c r="H5" s="764">
        <v>2068977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70175</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167825</v>
      </c>
    </row>
    <row r="10" spans="1:11" x14ac:dyDescent="0.2">
      <c r="A10" s="2288" t="s">
        <v>1810</v>
      </c>
      <c r="B10" s="2289"/>
      <c r="C10" s="2289"/>
      <c r="D10" s="2289"/>
      <c r="E10" s="2291"/>
      <c r="F10" s="783" t="s">
        <v>862</v>
      </c>
      <c r="G10" s="782"/>
      <c r="H10" s="784"/>
      <c r="I10" s="764"/>
      <c r="J10" s="765"/>
      <c r="K10" s="765"/>
    </row>
    <row r="11" spans="1:11" x14ac:dyDescent="0.2">
      <c r="A11" s="2288" t="s">
        <v>160</v>
      </c>
      <c r="B11" s="2289"/>
      <c r="C11" s="2289"/>
      <c r="D11" s="2289"/>
      <c r="E11" s="2290"/>
      <c r="F11" s="770" t="s">
        <v>852</v>
      </c>
      <c r="G11" s="771"/>
      <c r="H11" s="764"/>
      <c r="I11" s="764"/>
      <c r="J11" s="765"/>
      <c r="K11" s="773"/>
    </row>
    <row r="12" spans="1:11" ht="13.5" thickBot="1" x14ac:dyDescent="0.25">
      <c r="A12" s="2315" t="s">
        <v>905</v>
      </c>
      <c r="B12" s="2316"/>
      <c r="C12" s="2316"/>
      <c r="D12" s="2316"/>
      <c r="E12" s="2317"/>
      <c r="F12" s="1757"/>
      <c r="G12" s="1758">
        <f>SUM(G5:G11)</f>
        <v>0</v>
      </c>
      <c r="H12" s="1758">
        <f>SUM(H5:H11)</f>
        <v>2068977</v>
      </c>
      <c r="I12" s="1758">
        <f>SUM(I5:I11)</f>
        <v>0</v>
      </c>
      <c r="J12" s="1758">
        <f>SUM(J5:J11)</f>
        <v>0</v>
      </c>
      <c r="K12" s="1758">
        <f>SUM(K5:K11)</f>
        <v>238000</v>
      </c>
    </row>
    <row r="13" spans="1:11" ht="13.5" thickTop="1" x14ac:dyDescent="0.2">
      <c r="A13" s="2312" t="s">
        <v>370</v>
      </c>
      <c r="B13" s="2313"/>
      <c r="C13" s="2313"/>
      <c r="D13" s="2313"/>
      <c r="E13" s="2314"/>
      <c r="F13" s="785"/>
      <c r="G13" s="786"/>
      <c r="H13" s="787"/>
      <c r="I13" s="788"/>
      <c r="J13" s="788"/>
      <c r="K13" s="788"/>
    </row>
    <row r="14" spans="1:11" x14ac:dyDescent="0.2">
      <c r="A14" s="2295" t="s">
        <v>456</v>
      </c>
      <c r="B14" s="2295"/>
      <c r="C14" s="2295"/>
      <c r="D14" s="2295"/>
      <c r="E14" s="2296"/>
      <c r="F14" s="789" t="s">
        <v>854</v>
      </c>
      <c r="G14" s="782"/>
      <c r="H14" s="764">
        <v>27086239</v>
      </c>
      <c r="I14" s="771"/>
      <c r="J14" s="773"/>
      <c r="K14" s="765">
        <v>340421</v>
      </c>
    </row>
    <row r="15" spans="1:11" x14ac:dyDescent="0.2">
      <c r="A15" s="2289" t="s">
        <v>4</v>
      </c>
      <c r="B15" s="2289"/>
      <c r="C15" s="2289"/>
      <c r="D15" s="2289"/>
      <c r="E15" s="2290"/>
      <c r="F15" s="789" t="s">
        <v>855</v>
      </c>
      <c r="G15" s="771"/>
      <c r="H15" s="764"/>
      <c r="I15" s="764"/>
      <c r="J15" s="765"/>
      <c r="K15" s="765"/>
    </row>
    <row r="16" spans="1:11" x14ac:dyDescent="0.2">
      <c r="A16" s="2289" t="s">
        <v>298</v>
      </c>
      <c r="B16" s="2289"/>
      <c r="C16" s="2289"/>
      <c r="D16" s="2289"/>
      <c r="E16" s="2290"/>
      <c r="F16" s="789" t="s">
        <v>923</v>
      </c>
      <c r="G16" s="772"/>
      <c r="H16" s="767"/>
      <c r="I16" s="767"/>
      <c r="J16" s="769"/>
      <c r="K16" s="769"/>
    </row>
    <row r="17" spans="1:11" x14ac:dyDescent="0.2">
      <c r="A17" s="2320" t="s">
        <v>935</v>
      </c>
      <c r="B17" s="2320"/>
      <c r="C17" s="2320"/>
      <c r="D17" s="2320"/>
      <c r="E17" s="2321"/>
      <c r="F17" s="790"/>
      <c r="G17" s="791"/>
      <c r="H17" s="792"/>
      <c r="I17" s="792"/>
      <c r="J17" s="793"/>
      <c r="K17" s="794"/>
    </row>
    <row r="18" spans="1:11" x14ac:dyDescent="0.2">
      <c r="A18" s="2299" t="s">
        <v>368</v>
      </c>
      <c r="B18" s="2300"/>
      <c r="C18" s="2300"/>
      <c r="D18" s="2300"/>
      <c r="E18" s="2301"/>
      <c r="F18" s="789" t="s">
        <v>932</v>
      </c>
      <c r="G18" s="782"/>
      <c r="H18" s="782"/>
      <c r="I18" s="782"/>
      <c r="J18" s="765"/>
      <c r="K18" s="795"/>
    </row>
    <row r="19" spans="1:11" ht="21.75" customHeight="1" x14ac:dyDescent="0.2">
      <c r="A19" s="2297" t="s">
        <v>1806</v>
      </c>
      <c r="B19" s="2297"/>
      <c r="C19" s="2297"/>
      <c r="D19" s="2297"/>
      <c r="E19" s="2298"/>
      <c r="F19" s="789" t="s">
        <v>933</v>
      </c>
      <c r="G19" s="782"/>
      <c r="H19" s="782"/>
      <c r="I19" s="782"/>
      <c r="J19" s="765"/>
      <c r="K19" s="795"/>
    </row>
    <row r="20" spans="1:11" x14ac:dyDescent="0.2">
      <c r="A20" s="2299" t="s">
        <v>1811</v>
      </c>
      <c r="B20" s="2300"/>
      <c r="C20" s="2300"/>
      <c r="D20" s="2300"/>
      <c r="E20" s="2301"/>
      <c r="F20" s="789" t="s">
        <v>934</v>
      </c>
      <c r="G20" s="782"/>
      <c r="H20" s="782"/>
      <c r="I20" s="782"/>
      <c r="J20" s="765"/>
      <c r="K20" s="795"/>
    </row>
    <row r="21" spans="1:11" ht="13.5" thickBot="1" x14ac:dyDescent="0.25">
      <c r="A21" s="2318" t="s">
        <v>638</v>
      </c>
      <c r="B21" s="2318"/>
      <c r="C21" s="2318"/>
      <c r="D21" s="2318"/>
      <c r="E21" s="2318"/>
      <c r="F21" s="1759"/>
      <c r="G21" s="792"/>
      <c r="H21" s="796"/>
      <c r="I21" s="796"/>
      <c r="J21" s="1760">
        <f>SUM(J18:J20)</f>
        <v>0</v>
      </c>
      <c r="K21" s="793"/>
    </row>
    <row r="22" spans="1:11" ht="13.5" thickTop="1" x14ac:dyDescent="0.2">
      <c r="A22" s="2289" t="s">
        <v>1812</v>
      </c>
      <c r="B22" s="2289"/>
      <c r="C22" s="2289"/>
      <c r="D22" s="2289"/>
      <c r="E22" s="2290"/>
      <c r="F22" s="789" t="s">
        <v>862</v>
      </c>
      <c r="G22" s="782"/>
      <c r="H22" s="764"/>
      <c r="I22" s="764"/>
      <c r="J22" s="797"/>
      <c r="K22" s="765"/>
    </row>
    <row r="23" spans="1:11" ht="13.5" thickBot="1" x14ac:dyDescent="0.25">
      <c r="A23" s="2319" t="s">
        <v>906</v>
      </c>
      <c r="B23" s="2318"/>
      <c r="C23" s="2318"/>
      <c r="D23" s="2318"/>
      <c r="E23" s="2318"/>
      <c r="F23" s="1761"/>
      <c r="G23" s="1758">
        <f>SUM(G14:G16,G21,G22)</f>
        <v>0</v>
      </c>
      <c r="H23" s="1758">
        <f>SUM(H14:H16,H21,H22)</f>
        <v>27086239</v>
      </c>
      <c r="I23" s="1758">
        <f>SUM(I14:I16,I21,I22)</f>
        <v>0</v>
      </c>
      <c r="J23" s="1758">
        <f>SUM(J14:J16,J21,J22)</f>
        <v>0</v>
      </c>
      <c r="K23" s="1758">
        <f>SUM(K14:K16,K21,K22)</f>
        <v>340421</v>
      </c>
    </row>
    <row r="24" spans="1:11" ht="14.25" thickTop="1" thickBot="1" x14ac:dyDescent="0.25">
      <c r="A24" s="2319" t="s">
        <v>1960</v>
      </c>
      <c r="B24" s="2318"/>
      <c r="C24" s="2318"/>
      <c r="D24" s="2318"/>
      <c r="E24" s="2318"/>
      <c r="F24" s="1762"/>
      <c r="G24" s="1763">
        <f>SUM(G3,G12)-G23</f>
        <v>0</v>
      </c>
      <c r="H24" s="1763">
        <f>SUM(H3,H12)-H23</f>
        <v>-25017262</v>
      </c>
      <c r="I24" s="1763">
        <f>SUM(I3,I12)-I23</f>
        <v>0</v>
      </c>
      <c r="J24" s="1763">
        <f>SUM(J3,J12)-J23</f>
        <v>0</v>
      </c>
      <c r="K24" s="1763">
        <f>SUM(K3,K12)-K23</f>
        <v>-102421</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-25017262</v>
      </c>
      <c r="I26" s="1758">
        <f>I24-I25</f>
        <v>0</v>
      </c>
      <c r="J26" s="1758">
        <f>J24-J25</f>
        <v>0</v>
      </c>
      <c r="K26" s="1758">
        <f>K24-K25</f>
        <v>-102421</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2062</v>
      </c>
      <c r="E30" s="808" t="s">
        <v>768</v>
      </c>
      <c r="F30" s="202"/>
      <c r="G30" s="805"/>
    </row>
    <row r="31" spans="1:11" x14ac:dyDescent="0.2">
      <c r="A31" s="809"/>
      <c r="D31" s="237"/>
      <c r="E31" s="810" t="s">
        <v>769</v>
      </c>
      <c r="F31" s="811" t="s">
        <v>539</v>
      </c>
      <c r="G31" s="764"/>
      <c r="H31" s="2292"/>
      <c r="I31" s="2293"/>
      <c r="J31" s="2293"/>
      <c r="K31" s="2293"/>
    </row>
    <row r="32" spans="1:11" x14ac:dyDescent="0.2">
      <c r="A32" s="809"/>
      <c r="B32" s="237"/>
      <c r="C32" s="237"/>
      <c r="D32" s="237"/>
      <c r="E32" s="805"/>
      <c r="F32" s="811" t="s">
        <v>540</v>
      </c>
      <c r="G32" s="764"/>
      <c r="H32" s="2294"/>
      <c r="I32" s="2293"/>
      <c r="J32" s="2293"/>
      <c r="K32" s="2293"/>
    </row>
    <row r="33" spans="1:11" ht="1.5" customHeight="1" x14ac:dyDescent="0.2">
      <c r="A33" s="812" t="s">
        <v>1169</v>
      </c>
      <c r="B33" s="364"/>
      <c r="C33" s="364"/>
      <c r="D33" s="364"/>
      <c r="E33" s="364"/>
      <c r="F33" s="364"/>
      <c r="G33" s="813"/>
      <c r="H33" s="2294"/>
      <c r="I33" s="2293"/>
      <c r="J33" s="2293"/>
      <c r="K33" s="2293"/>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89" t="s">
        <v>541</v>
      </c>
      <c r="B41" s="2302"/>
      <c r="C41" s="2302"/>
      <c r="D41" s="2302"/>
      <c r="E41" s="2302"/>
      <c r="F41" s="230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A5" sqref="A5:F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24" t="s">
        <v>1905</v>
      </c>
      <c r="B1" s="2325"/>
      <c r="C1" s="2326"/>
      <c r="D1" s="826"/>
      <c r="E1" s="827"/>
      <c r="F1" s="827"/>
      <c r="G1" s="828"/>
      <c r="H1" s="829"/>
      <c r="I1" s="830"/>
      <c r="J1" s="2322"/>
      <c r="K1" s="2323"/>
      <c r="L1" s="2323"/>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1719381</v>
      </c>
      <c r="D5" s="841">
        <v>0</v>
      </c>
      <c r="E5" s="841">
        <v>0</v>
      </c>
      <c r="F5" s="1760">
        <f>(C5+D5)-E5</f>
        <v>1719381</v>
      </c>
      <c r="G5" s="837"/>
      <c r="H5" s="842"/>
      <c r="I5" s="842"/>
      <c r="J5" s="842"/>
      <c r="K5" s="793"/>
      <c r="L5" s="1769">
        <f>F5-K5</f>
        <v>1719381</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192834524</v>
      </c>
      <c r="D8" s="844">
        <v>0</v>
      </c>
      <c r="E8" s="844">
        <v>0</v>
      </c>
      <c r="F8" s="1760">
        <f>(C8+D8)-E8</f>
        <v>192834524</v>
      </c>
      <c r="G8" s="843">
        <v>50</v>
      </c>
      <c r="H8" s="765">
        <v>97231479</v>
      </c>
      <c r="I8" s="765">
        <v>5333778</v>
      </c>
      <c r="J8" s="765">
        <v>0</v>
      </c>
      <c r="K8" s="1769">
        <f>(H8+I8)-J8</f>
        <v>102565257</v>
      </c>
      <c r="L8" s="1769">
        <f>F8-K8</f>
        <v>90269267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2984288</v>
      </c>
      <c r="D10" s="846">
        <v>0</v>
      </c>
      <c r="E10" s="846">
        <v>0</v>
      </c>
      <c r="F10" s="1764">
        <f>(C10+D10)-E10</f>
        <v>2984288</v>
      </c>
      <c r="G10" s="843">
        <v>20</v>
      </c>
      <c r="H10" s="847">
        <v>2189963</v>
      </c>
      <c r="I10" s="847">
        <v>79823</v>
      </c>
      <c r="J10" s="847">
        <v>0</v>
      </c>
      <c r="K10" s="1769">
        <f>(H10+I10)-J10</f>
        <v>2269786</v>
      </c>
      <c r="L10" s="1769">
        <f>F10-K10</f>
        <v>714502</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f>4365251+1271332</f>
        <v>5636583</v>
      </c>
      <c r="D12" s="844">
        <v>551407</v>
      </c>
      <c r="E12" s="844">
        <f>237802+227449</f>
        <v>465251</v>
      </c>
      <c r="F12" s="1760">
        <f>(C12+D12)-E12</f>
        <v>5722739</v>
      </c>
      <c r="G12" s="843">
        <v>10</v>
      </c>
      <c r="H12" s="765">
        <v>3836867</v>
      </c>
      <c r="I12" s="765">
        <f>360878+100128</f>
        <v>461006</v>
      </c>
      <c r="J12" s="765">
        <f>229997+188360</f>
        <v>418357</v>
      </c>
      <c r="K12" s="1769">
        <f>(H12+I12)-J12</f>
        <v>3879516</v>
      </c>
      <c r="L12" s="1769">
        <f>F12-K12</f>
        <v>1843223</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0</v>
      </c>
      <c r="D15" s="844">
        <f>146236+301000</f>
        <v>447236</v>
      </c>
      <c r="E15" s="844">
        <v>0</v>
      </c>
      <c r="F15" s="1760">
        <f>(C15+D15)-E15</f>
        <v>447236</v>
      </c>
      <c r="G15" s="849" t="s">
        <v>862</v>
      </c>
      <c r="H15" s="781"/>
      <c r="I15" s="781"/>
      <c r="J15" s="781"/>
      <c r="K15" s="781"/>
      <c r="L15" s="1769">
        <f>F15-K15</f>
        <v>447236</v>
      </c>
    </row>
    <row r="16" spans="1:14" ht="15" customHeight="1" thickTop="1" thickBot="1" x14ac:dyDescent="0.25">
      <c r="A16" s="1765" t="s">
        <v>643</v>
      </c>
      <c r="B16" s="1766">
        <v>200</v>
      </c>
      <c r="C16" s="1760">
        <f>SUM(C3,C5:C6,C8:C10,C12:C15)</f>
        <v>203174776</v>
      </c>
      <c r="D16" s="1760">
        <f>SUM(D3,D5:D6,D8:D10,D12:D15)</f>
        <v>998643</v>
      </c>
      <c r="E16" s="1760">
        <f>SUM(E3,E5:E6,E8:E10,E12:E15)</f>
        <v>465251</v>
      </c>
      <c r="F16" s="1760">
        <f>SUM(F3,F5:F6,F8:F10,F12:F15)</f>
        <v>203708168</v>
      </c>
      <c r="G16" s="843"/>
      <c r="H16" s="1760">
        <f>SUM(H3,H6,H8:H10,H12:H14,)</f>
        <v>103258309</v>
      </c>
      <c r="I16" s="1760">
        <f>SUM(I3,I6,I8:I10,I12:I14,)</f>
        <v>5874607</v>
      </c>
      <c r="J16" s="1760">
        <f>SUM(J3,J6,J8:J10,J12:J14,)</f>
        <v>418357</v>
      </c>
      <c r="K16" s="1760">
        <f>(H16+I16)-J16</f>
        <v>108714559</v>
      </c>
      <c r="L16" s="1760">
        <f>F16-K16</f>
        <v>94993609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399016</v>
      </c>
      <c r="G17" s="837">
        <v>10</v>
      </c>
      <c r="H17" s="769"/>
      <c r="I17" s="1769">
        <f>F17/G17</f>
        <v>39901.599999999999</v>
      </c>
      <c r="J17" s="769"/>
      <c r="K17" s="795"/>
      <c r="L17" s="795"/>
    </row>
    <row r="18" spans="1:12" ht="14.25" thickTop="1" thickBot="1" x14ac:dyDescent="0.25">
      <c r="A18" s="1767" t="s">
        <v>685</v>
      </c>
      <c r="B18" s="1768"/>
      <c r="C18" s="771"/>
      <c r="D18" s="771"/>
      <c r="E18" s="771"/>
      <c r="F18" s="850"/>
      <c r="G18" s="851"/>
      <c r="H18" s="773"/>
      <c r="I18" s="1760">
        <f>SUM(I16,I17)</f>
        <v>5914508.5999999996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163" activePane="bottomLeft" state="frozen"/>
      <selection activeCell="A5" sqref="A5:F5"/>
      <selection pane="bottomLeft" activeCell="A5" sqref="A5:F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330" t="s">
        <v>1970</v>
      </c>
      <c r="B1" s="2331"/>
      <c r="C1" s="2331"/>
      <c r="D1" s="2331"/>
      <c r="E1" s="2331"/>
      <c r="F1" s="2332"/>
      <c r="G1" s="855"/>
    </row>
    <row r="2" spans="1:7" ht="15" customHeight="1" thickBot="1" x14ac:dyDescent="0.25">
      <c r="A2" s="2333" t="s">
        <v>477</v>
      </c>
      <c r="B2" s="2334"/>
      <c r="C2" s="2334"/>
      <c r="D2" s="2334"/>
      <c r="E2" s="2334"/>
      <c r="F2" s="233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336"/>
      <c r="B5" s="2337"/>
      <c r="C5" s="2337"/>
      <c r="D5" s="2337"/>
      <c r="E5" s="2337"/>
      <c r="F5" s="2337"/>
    </row>
    <row r="6" spans="1:7" ht="13.5" customHeight="1" thickBot="1" x14ac:dyDescent="0.25">
      <c r="A6" s="2327" t="s">
        <v>1104</v>
      </c>
      <c r="B6" s="2328"/>
      <c r="C6" s="2328"/>
      <c r="D6" s="2328"/>
      <c r="E6" s="2328"/>
      <c r="F6" s="232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157743564</v>
      </c>
      <c r="G8" s="865"/>
    </row>
    <row r="9" spans="1:7" x14ac:dyDescent="0.2">
      <c r="A9" s="869" t="s">
        <v>460</v>
      </c>
      <c r="B9" s="870" t="s">
        <v>1873</v>
      </c>
      <c r="C9" s="871"/>
      <c r="D9" s="869" t="s">
        <v>501</v>
      </c>
      <c r="E9" s="868"/>
      <c r="F9" s="1909">
        <f>'Expenditures 15-22'!K151</f>
        <v>14965966</v>
      </c>
      <c r="G9" s="872"/>
    </row>
    <row r="10" spans="1:7" x14ac:dyDescent="0.2">
      <c r="A10" s="869" t="s">
        <v>499</v>
      </c>
      <c r="B10" s="870" t="s">
        <v>1874</v>
      </c>
      <c r="C10" s="871"/>
      <c r="D10" s="869" t="s">
        <v>501</v>
      </c>
      <c r="E10" s="868"/>
      <c r="F10" s="1909">
        <f>'Expenditures 15-22'!K174</f>
        <v>7404593</v>
      </c>
      <c r="G10" s="872"/>
    </row>
    <row r="11" spans="1:7" x14ac:dyDescent="0.2">
      <c r="A11" s="869" t="s">
        <v>461</v>
      </c>
      <c r="B11" s="870" t="s">
        <v>1875</v>
      </c>
      <c r="C11" s="871"/>
      <c r="D11" s="869" t="s">
        <v>501</v>
      </c>
      <c r="E11" s="868"/>
      <c r="F11" s="1909">
        <f>'Expenditures 15-22'!K210</f>
        <v>11504828</v>
      </c>
      <c r="G11" s="872"/>
    </row>
    <row r="12" spans="1:7" x14ac:dyDescent="0.2">
      <c r="A12" s="869" t="s">
        <v>462</v>
      </c>
      <c r="B12" s="870" t="s">
        <v>1876</v>
      </c>
      <c r="C12" s="871"/>
      <c r="D12" s="869" t="s">
        <v>501</v>
      </c>
      <c r="E12" s="868"/>
      <c r="F12" s="1909">
        <f>'Expenditures 15-22'!K295</f>
        <v>6065482</v>
      </c>
      <c r="G12" s="872"/>
    </row>
    <row r="13" spans="1:7" x14ac:dyDescent="0.2">
      <c r="A13" s="869" t="s">
        <v>106</v>
      </c>
      <c r="B13" s="870" t="s">
        <v>1877</v>
      </c>
      <c r="C13" s="871"/>
      <c r="D13" s="869" t="s">
        <v>501</v>
      </c>
      <c r="E13" s="868"/>
      <c r="F13" s="1909">
        <f>'Expenditures 15-22'!K342</f>
        <v>3626243</v>
      </c>
      <c r="G13" s="873"/>
    </row>
    <row r="14" spans="1:7" ht="12" customHeight="1" thickBot="1" x14ac:dyDescent="0.25">
      <c r="A14" s="1770"/>
      <c r="B14" s="1771"/>
      <c r="C14" s="1772"/>
      <c r="D14" s="1773" t="s">
        <v>501</v>
      </c>
      <c r="E14" s="1774" t="s">
        <v>958</v>
      </c>
      <c r="F14" s="1775">
        <f>SUM(F8:F13)</f>
        <v>201310676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4">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1997</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1998817</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1767352</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364140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39695</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2161065</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4761653</v>
      </c>
      <c r="G52" s="865"/>
    </row>
    <row r="53" spans="1:7" x14ac:dyDescent="0.2">
      <c r="A53" s="869" t="s">
        <v>459</v>
      </c>
      <c r="B53" s="869" t="s">
        <v>1475</v>
      </c>
      <c r="C53" s="889">
        <f>'Expenditures 15-22'!B102</f>
        <v>4000</v>
      </c>
      <c r="D53" s="888" t="str">
        <f>'Expenditures 15-22'!A102</f>
        <v>Total Payments to Other Govt Units</v>
      </c>
      <c r="E53" s="868"/>
      <c r="F53" s="1913">
        <f>'Expenditures 15-22'!K102</f>
        <v>4970223</v>
      </c>
      <c r="G53" s="865"/>
    </row>
    <row r="54" spans="1:7" x14ac:dyDescent="0.2">
      <c r="A54" s="869" t="s">
        <v>459</v>
      </c>
      <c r="B54" s="869" t="s">
        <v>1476</v>
      </c>
      <c r="C54" s="889" t="s">
        <v>982</v>
      </c>
      <c r="D54" s="885" t="s">
        <v>1095</v>
      </c>
      <c r="E54" s="868"/>
      <c r="F54" s="1913">
        <f>'Expenditures 15-22'!G114</f>
        <v>300677</v>
      </c>
      <c r="G54" s="865"/>
    </row>
    <row r="55" spans="1:7" x14ac:dyDescent="0.2">
      <c r="A55" s="869" t="s">
        <v>459</v>
      </c>
      <c r="B55" s="869" t="s">
        <v>1477</v>
      </c>
      <c r="C55" s="889" t="s">
        <v>982</v>
      </c>
      <c r="D55" s="885" t="s">
        <v>291</v>
      </c>
      <c r="E55" s="868"/>
      <c r="F55" s="1913">
        <f>'Expenditures 15-22'!I114</f>
        <v>327695</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3">
        <f>'Expenditures 15-22'!K139</f>
        <v>0</v>
      </c>
      <c r="G57" s="865"/>
    </row>
    <row r="58" spans="1:7" x14ac:dyDescent="0.2">
      <c r="A58" s="869" t="s">
        <v>460</v>
      </c>
      <c r="B58" s="869" t="s">
        <v>1879</v>
      </c>
      <c r="C58" s="886" t="s">
        <v>982</v>
      </c>
      <c r="D58" s="885" t="s">
        <v>1095</v>
      </c>
      <c r="E58" s="868"/>
      <c r="F58" s="1915">
        <f>'Expenditures 15-22'!G151</f>
        <v>119965</v>
      </c>
      <c r="G58" s="865"/>
    </row>
    <row r="59" spans="1:7" x14ac:dyDescent="0.2">
      <c r="A59" s="893" t="s">
        <v>460</v>
      </c>
      <c r="B59" s="856" t="s">
        <v>1880</v>
      </c>
      <c r="C59" s="894" t="s">
        <v>982</v>
      </c>
      <c r="D59" s="856" t="s">
        <v>291</v>
      </c>
      <c r="F59" s="1916">
        <f>'Expenditures 15-22'!I151</f>
        <v>71321</v>
      </c>
      <c r="G59" s="865"/>
    </row>
    <row r="60" spans="1:7" x14ac:dyDescent="0.2">
      <c r="A60" s="893" t="s">
        <v>499</v>
      </c>
      <c r="B60" s="856" t="s">
        <v>1881</v>
      </c>
      <c r="C60" s="894">
        <v>4000</v>
      </c>
      <c r="D60" s="856" t="s">
        <v>312</v>
      </c>
      <c r="F60" s="1914">
        <f>'Expenditures 15-22'!K160</f>
        <v>0</v>
      </c>
      <c r="G60" s="865"/>
    </row>
    <row r="61" spans="1:7" x14ac:dyDescent="0.2">
      <c r="A61" s="895" t="s">
        <v>499</v>
      </c>
      <c r="B61" s="895" t="s">
        <v>1882</v>
      </c>
      <c r="C61" s="896" t="str">
        <f>'Expenditures 15-22'!B170</f>
        <v>5300</v>
      </c>
      <c r="D61" s="897" t="s">
        <v>311</v>
      </c>
      <c r="E61" s="879"/>
      <c r="F61" s="1913">
        <f>'Expenditures 15-22'!K170</f>
        <v>5310000</v>
      </c>
      <c r="G61" s="865"/>
    </row>
    <row r="62" spans="1:7" x14ac:dyDescent="0.2">
      <c r="A62" s="869" t="s">
        <v>461</v>
      </c>
      <c r="B62" s="869" t="s">
        <v>1883</v>
      </c>
      <c r="C62" s="886">
        <f>'Expenditures 15-22'!B185</f>
        <v>3000</v>
      </c>
      <c r="D62" s="876" t="s">
        <v>449</v>
      </c>
      <c r="E62" s="868"/>
      <c r="F62" s="191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1885</v>
      </c>
      <c r="C64" s="896" t="str">
        <f>'Expenditures 15-22'!B206</f>
        <v>5300</v>
      </c>
      <c r="D64" s="892" t="s">
        <v>311</v>
      </c>
      <c r="E64" s="868"/>
      <c r="F64" s="1913">
        <f>'Expenditures 15-22'!K206</f>
        <v>0</v>
      </c>
      <c r="G64" s="865"/>
    </row>
    <row r="65" spans="1:8" x14ac:dyDescent="0.2">
      <c r="A65" s="869" t="s">
        <v>461</v>
      </c>
      <c r="B65" s="869" t="s">
        <v>1886</v>
      </c>
      <c r="C65" s="886" t="s">
        <v>982</v>
      </c>
      <c r="D65" s="885" t="s">
        <v>1095</v>
      </c>
      <c r="E65" s="868"/>
      <c r="F65" s="1913">
        <f>'Expenditures 15-22'!G210</f>
        <v>0</v>
      </c>
      <c r="G65" s="865"/>
    </row>
    <row r="66" spans="1:8" x14ac:dyDescent="0.2">
      <c r="A66" s="869" t="s">
        <v>461</v>
      </c>
      <c r="B66" s="869" t="s">
        <v>1887</v>
      </c>
      <c r="C66" s="886" t="s">
        <v>982</v>
      </c>
      <c r="D66" s="885" t="s">
        <v>291</v>
      </c>
      <c r="E66" s="868"/>
      <c r="F66" s="1913">
        <f>'Expenditures 15-22'!I210</f>
        <v>0</v>
      </c>
      <c r="G66" s="865"/>
    </row>
    <row r="67" spans="1:8" x14ac:dyDescent="0.2">
      <c r="A67" s="869" t="s">
        <v>462</v>
      </c>
      <c r="B67" s="869" t="s">
        <v>1888</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61325</v>
      </c>
      <c r="G68" s="865"/>
    </row>
    <row r="69" spans="1:8" x14ac:dyDescent="0.2">
      <c r="A69" s="869" t="s">
        <v>462</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1890</v>
      </c>
      <c r="C70" s="886">
        <f>'Expenditures 15-22'!B221</f>
        <v>1300</v>
      </c>
      <c r="D70" s="887" t="str">
        <f>'Expenditures 15-22'!A221</f>
        <v>Adult/Continuing Education Programs</v>
      </c>
      <c r="E70" s="868"/>
      <c r="F70" s="1913">
        <f>'Expenditures 15-22'!K221</f>
        <v>0</v>
      </c>
      <c r="G70" s="865"/>
    </row>
    <row r="71" spans="1:8" x14ac:dyDescent="0.2">
      <c r="A71" s="869" t="s">
        <v>462</v>
      </c>
      <c r="B71" s="869" t="s">
        <v>1891</v>
      </c>
      <c r="C71" s="886">
        <f>'Expenditures 15-22'!B224</f>
        <v>1600</v>
      </c>
      <c r="D71" s="887" t="str">
        <f>'Expenditures 15-22'!A224</f>
        <v>Summer School Programs</v>
      </c>
      <c r="E71" s="868"/>
      <c r="F71" s="1913">
        <f>'Expenditures 15-22'!K224</f>
        <v>712</v>
      </c>
      <c r="G71" s="865"/>
    </row>
    <row r="72" spans="1:8" x14ac:dyDescent="0.2">
      <c r="A72" s="869" t="s">
        <v>462</v>
      </c>
      <c r="B72" s="869" t="s">
        <v>1892</v>
      </c>
      <c r="C72" s="886">
        <f>'Expenditures 15-22'!B280</f>
        <v>3000</v>
      </c>
      <c r="D72" s="876" t="s">
        <v>449</v>
      </c>
      <c r="E72" s="868"/>
      <c r="F72" s="1913">
        <f>'Expenditures 15-22'!K280</f>
        <v>47203</v>
      </c>
      <c r="G72" s="865"/>
    </row>
    <row r="73" spans="1:8" x14ac:dyDescent="0.2">
      <c r="A73" s="869" t="s">
        <v>462</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1894</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958</v>
      </c>
      <c r="F76" s="1778">
        <f>SUM(F18:F74)</f>
        <v>22301843</v>
      </c>
      <c r="G76" s="865"/>
    </row>
    <row r="77" spans="1:8" s="893" customFormat="1" ht="12" customHeight="1" thickTop="1" thickBot="1" x14ac:dyDescent="0.25">
      <c r="A77" s="1779"/>
      <c r="B77" s="1776"/>
      <c r="C77" s="1772"/>
      <c r="D77" s="1777" t="s">
        <v>1896</v>
      </c>
      <c r="E77" s="1774"/>
      <c r="F77" s="1780">
        <f>(F14-F76)</f>
        <v>179008833</v>
      </c>
      <c r="G77" s="869"/>
    </row>
    <row r="78" spans="1:8" s="893" customFormat="1" ht="12" customHeight="1" thickTop="1" x14ac:dyDescent="0.2">
      <c r="A78" s="1781"/>
      <c r="B78" s="1776"/>
      <c r="C78" s="1772"/>
      <c r="D78" s="1777" t="s">
        <v>2057</v>
      </c>
      <c r="E78" s="1774"/>
      <c r="F78" s="898">
        <v>11788.7</v>
      </c>
      <c r="G78" s="899"/>
      <c r="H78" s="869"/>
    </row>
    <row r="79" spans="1:8" s="893" customFormat="1" ht="12" customHeight="1" thickBot="1" x14ac:dyDescent="0.25">
      <c r="A79" s="1782"/>
      <c r="B79" s="1776"/>
      <c r="C79" s="1772"/>
      <c r="D79" s="1777" t="s">
        <v>1897</v>
      </c>
      <c r="E79" s="1774" t="s">
        <v>958</v>
      </c>
      <c r="F79" s="1783">
        <f>IF(F78&gt;0,F77/F78," Complete Line 78")</f>
        <v>15184.781443246498</v>
      </c>
      <c r="G79" s="869"/>
    </row>
    <row r="80" spans="1:8" s="893" customFormat="1" ht="8.25" customHeight="1" thickTop="1" x14ac:dyDescent="0.2">
      <c r="A80" s="900"/>
      <c r="B80" s="869"/>
      <c r="C80" s="871"/>
      <c r="D80" s="901"/>
      <c r="E80" s="868"/>
      <c r="F80" s="902"/>
      <c r="G80" s="869"/>
    </row>
    <row r="81" spans="1:7" s="893" customFormat="1" ht="12" thickBot="1" x14ac:dyDescent="0.25">
      <c r="A81" s="2327" t="s">
        <v>1105</v>
      </c>
      <c r="B81" s="2328"/>
      <c r="C81" s="2328"/>
      <c r="D81" s="2328"/>
      <c r="E81" s="2328"/>
      <c r="F81" s="232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286663</v>
      </c>
      <c r="G94" s="912"/>
    </row>
    <row r="95" spans="1:7" x14ac:dyDescent="0.2">
      <c r="A95" s="908" t="s">
        <v>140</v>
      </c>
      <c r="B95" s="908" t="s">
        <v>175</v>
      </c>
      <c r="C95" s="910">
        <v>1700</v>
      </c>
      <c r="D95" s="918" t="str">
        <f>'Revenues 9-14'!A82</f>
        <v>Total District/School Activity Income</v>
      </c>
      <c r="E95" s="906"/>
      <c r="F95" s="1789">
        <f>SUM('Revenues 9-14'!C82,'Revenues 9-14'!D82)</f>
        <v>135681</v>
      </c>
      <c r="G95" s="912"/>
    </row>
    <row r="96" spans="1:7" x14ac:dyDescent="0.2">
      <c r="A96" s="908" t="s">
        <v>459</v>
      </c>
      <c r="B96" s="908" t="s">
        <v>176</v>
      </c>
      <c r="C96" s="910">
        <f>'Revenues 9-14'!B84</f>
        <v>1811</v>
      </c>
      <c r="D96" s="911" t="str">
        <f>'Revenues 9-14'!A84</f>
        <v>Rentals - Regular Textbooks</v>
      </c>
      <c r="E96" s="906"/>
      <c r="F96" s="1789">
        <f>'Revenues 9-14'!C84</f>
        <v>224579</v>
      </c>
      <c r="G96" s="912"/>
    </row>
    <row r="97" spans="1:7" x14ac:dyDescent="0.2">
      <c r="A97" s="908" t="s">
        <v>459</v>
      </c>
      <c r="B97" s="908" t="s">
        <v>177</v>
      </c>
      <c r="C97" s="910">
        <f>'Revenues 9-14'!B87</f>
        <v>1819</v>
      </c>
      <c r="D97" s="911" t="str">
        <f>'Revenues 9-14'!A87</f>
        <v>Rentals - Other (Describe &amp; Itemize)</v>
      </c>
      <c r="E97" s="906"/>
      <c r="F97" s="1789">
        <f>'Revenues 9-14'!C87</f>
        <v>42864</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755132</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1355715</v>
      </c>
      <c r="G104" s="912"/>
    </row>
    <row r="105" spans="1:7" x14ac:dyDescent="0.2">
      <c r="A105" s="908" t="s">
        <v>503</v>
      </c>
      <c r="B105" s="908" t="s">
        <v>1998</v>
      </c>
      <c r="C105" s="913">
        <v>3100</v>
      </c>
      <c r="D105" s="919" t="str">
        <f>'Revenues 9-14'!A132</f>
        <v>Total Special Education</v>
      </c>
      <c r="E105" s="906"/>
      <c r="F105" s="1789">
        <f>SUM('Revenues 9-14'!C132:D132,'Revenues 9-14'!F132)</f>
        <v>803381</v>
      </c>
      <c r="G105" s="912"/>
    </row>
    <row r="106" spans="1:7" x14ac:dyDescent="0.2">
      <c r="A106" s="908" t="s">
        <v>673</v>
      </c>
      <c r="B106" s="908" t="s">
        <v>1999</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2000</v>
      </c>
      <c r="C107" s="920">
        <v>3300</v>
      </c>
      <c r="D107" s="911" t="str">
        <f>'Revenues 9-14'!A145</f>
        <v>Total Bilingual Ed</v>
      </c>
      <c r="E107" s="906"/>
      <c r="F107" s="1789">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9">
        <f>'Revenues 9-14'!C146</f>
        <v>143954</v>
      </c>
      <c r="G108" s="912"/>
    </row>
    <row r="109" spans="1:7" x14ac:dyDescent="0.2">
      <c r="A109" s="908" t="s">
        <v>673</v>
      </c>
      <c r="B109" s="908" t="s">
        <v>2002</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9">
        <f>SUM('Revenues 9-14'!C148,'Revenues 9-14'!D148)</f>
        <v>167825</v>
      </c>
      <c r="G110" s="912"/>
    </row>
    <row r="111" spans="1:7" x14ac:dyDescent="0.2">
      <c r="A111" s="908" t="s">
        <v>668</v>
      </c>
      <c r="B111" s="908" t="s">
        <v>2004</v>
      </c>
      <c r="C111" s="922">
        <v>3500</v>
      </c>
      <c r="D111" s="911" t="str">
        <f>'Revenues 9-14'!A155</f>
        <v>Total Transportation</v>
      </c>
      <c r="E111" s="906"/>
      <c r="F111" s="1789">
        <f>SUM('Revenues 9-14'!C155,'Revenues 9-14'!D155,'Revenues 9-14'!F155,'Revenues 9-14'!G155)</f>
        <v>7690872</v>
      </c>
      <c r="G111" s="912"/>
    </row>
    <row r="112" spans="1:7" x14ac:dyDescent="0.2">
      <c r="A112" s="908" t="s">
        <v>459</v>
      </c>
      <c r="B112" s="908" t="s">
        <v>2005</v>
      </c>
      <c r="C112" s="920">
        <f>'Revenues 9-14'!B156</f>
        <v>3610</v>
      </c>
      <c r="D112" s="911" t="str">
        <f>'Revenues 9-14'!A156</f>
        <v>Learning Improvement - Change Grants</v>
      </c>
      <c r="E112" s="906"/>
      <c r="F112" s="1789">
        <f>'Revenues 9-14'!C156</f>
        <v>0</v>
      </c>
      <c r="G112" s="912"/>
    </row>
    <row r="113" spans="1:7" x14ac:dyDescent="0.2">
      <c r="A113" s="908" t="s">
        <v>668</v>
      </c>
      <c r="B113" s="908" t="s">
        <v>2006</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7">
        <f>SUM('Revenues 9-14'!C163:G163)</f>
        <v>0</v>
      </c>
      <c r="G118" s="912"/>
    </row>
    <row r="119" spans="1:7" x14ac:dyDescent="0.2">
      <c r="A119" s="923" t="s">
        <v>504</v>
      </c>
      <c r="B119" s="923" t="s">
        <v>2012</v>
      </c>
      <c r="C119" s="924">
        <f>'Revenues 9-14'!B164</f>
        <v>3815</v>
      </c>
      <c r="D119" s="925" t="str">
        <f>'Revenues 9-14'!A164</f>
        <v>State Charter Schools</v>
      </c>
      <c r="E119" s="906"/>
      <c r="F119" s="1907">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9">
        <f>'Revenues 9-14'!D167</f>
        <v>0</v>
      </c>
      <c r="G120" s="930"/>
    </row>
    <row r="121" spans="1:7" x14ac:dyDescent="0.2">
      <c r="A121" s="927" t="s">
        <v>500</v>
      </c>
      <c r="B121" s="927" t="s">
        <v>2014</v>
      </c>
      <c r="C121" s="928">
        <f>'Revenues 9-14'!B168</f>
        <v>3999</v>
      </c>
      <c r="D121" s="929" t="s">
        <v>543</v>
      </c>
      <c r="E121" s="931"/>
      <c r="F121" s="1789">
        <f>SUM('Revenues 9-14'!C168:G168,'Revenues 9-14'!J168)</f>
        <v>743725</v>
      </c>
      <c r="G121" s="930"/>
    </row>
    <row r="122" spans="1:7" x14ac:dyDescent="0.2">
      <c r="A122" s="927" t="s">
        <v>459</v>
      </c>
      <c r="B122" s="927" t="s">
        <v>2015</v>
      </c>
      <c r="C122" s="932">
        <f>'Revenues 9-14'!B177</f>
        <v>4045</v>
      </c>
      <c r="D122" s="929" t="str">
        <f>'Revenues 9-14'!A177 &amp; " (Subtract)"</f>
        <v>Head Start (Subtract)</v>
      </c>
      <c r="E122" s="906"/>
      <c r="F122" s="1789">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2017</v>
      </c>
      <c r="C124" s="932">
        <v>4100</v>
      </c>
      <c r="D124" s="933" t="str">
        <f>'Revenues 9-14'!A188</f>
        <v>Total Title V</v>
      </c>
      <c r="E124" s="906"/>
      <c r="F124" s="1789">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9">
        <f>SUM('Revenues 9-14'!C198,'Revenues 9-14'!G198)</f>
        <v>8754390</v>
      </c>
      <c r="G125" s="930"/>
    </row>
    <row r="126" spans="1:7" x14ac:dyDescent="0.2">
      <c r="A126" s="927" t="s">
        <v>668</v>
      </c>
      <c r="B126" s="927" t="s">
        <v>2019</v>
      </c>
      <c r="C126" s="932">
        <v>4300</v>
      </c>
      <c r="D126" s="933" t="str">
        <f>'Revenues 9-14'!A204</f>
        <v>Total Title I</v>
      </c>
      <c r="E126" s="906"/>
      <c r="F126" s="1789">
        <f>SUM('Revenues 9-14'!C204,'Revenues 9-14'!D204,'Revenues 9-14'!F204,'Revenues 9-14'!G204)</f>
        <v>10708490</v>
      </c>
      <c r="G126" s="930"/>
    </row>
    <row r="127" spans="1:7" x14ac:dyDescent="0.2">
      <c r="A127" s="927" t="s">
        <v>668</v>
      </c>
      <c r="B127" s="927" t="s">
        <v>2020</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89">
        <f>SUM('Revenues 9-14'!C213:D213,'Revenues 9-14'!F213:G213)</f>
        <v>4182416</v>
      </c>
      <c r="G128" s="930"/>
    </row>
    <row r="129" spans="1:7" x14ac:dyDescent="0.2">
      <c r="A129" s="927" t="s">
        <v>668</v>
      </c>
      <c r="B129" s="927" t="s">
        <v>2022</v>
      </c>
      <c r="C129" s="932">
        <f>'Revenues 9-14'!B214</f>
        <v>4625</v>
      </c>
      <c r="D129" s="933" t="str">
        <f>'Revenues 9-14'!A214</f>
        <v>Fed - Spec Education - IDEA - Room &amp; Board</v>
      </c>
      <c r="E129" s="906"/>
      <c r="F129" s="1789">
        <f>SUM('Revenues 9-14'!C214,'Revenues 9-14'!D214,'Revenues 9-14'!F214,'Revenues 9-14'!G214)</f>
        <v>610300</v>
      </c>
      <c r="G129" s="930"/>
    </row>
    <row r="130" spans="1:7" x14ac:dyDescent="0.2">
      <c r="A130" s="927" t="s">
        <v>668</v>
      </c>
      <c r="B130" s="927" t="s">
        <v>2023</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2024</v>
      </c>
      <c r="C132" s="932">
        <v>4700</v>
      </c>
      <c r="D132" s="929" t="str">
        <f>'Revenues 9-14'!A221</f>
        <v>Total CTE - Perkins</v>
      </c>
      <c r="E132" s="906"/>
      <c r="F132" s="1789">
        <f>SUM('Revenues 9-14'!C221,'Revenues 9-14'!D221,'Revenues 9-14'!G221)</f>
        <v>70366</v>
      </c>
      <c r="G132" s="930">
        <v>6303</v>
      </c>
    </row>
    <row r="133" spans="1:7" s="867" customFormat="1" hidden="1" x14ac:dyDescent="0.2">
      <c r="A133" s="934" t="s">
        <v>206</v>
      </c>
      <c r="B133" s="934" t="s">
        <v>2025</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9">
        <v>0</v>
      </c>
      <c r="G138" s="905"/>
    </row>
    <row r="139" spans="1:7" s="867" customFormat="1" hidden="1" x14ac:dyDescent="0.2">
      <c r="A139" s="934" t="s">
        <v>206</v>
      </c>
      <c r="B139" s="934" t="s">
        <v>2031</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2039</v>
      </c>
      <c r="C157" s="940" t="s">
        <v>841</v>
      </c>
      <c r="D157" s="941" t="s">
        <v>777</v>
      </c>
      <c r="E157" s="942"/>
      <c r="F157" s="1789">
        <f>SUM(F133:F156)</f>
        <v>0</v>
      </c>
      <c r="G157" s="905"/>
    </row>
    <row r="158" spans="1:7" s="867" customFormat="1" x14ac:dyDescent="0.2">
      <c r="A158" s="938" t="s">
        <v>459</v>
      </c>
      <c r="B158" s="939" t="s">
        <v>2040</v>
      </c>
      <c r="C158" s="940" t="s">
        <v>1427</v>
      </c>
      <c r="D158" s="941" t="s">
        <v>1428</v>
      </c>
      <c r="E158" s="942"/>
      <c r="F158" s="1789">
        <f>SUM('Revenues 9-14'!C253)</f>
        <v>0</v>
      </c>
      <c r="G158" s="905"/>
    </row>
    <row r="159" spans="1:7" s="867" customFormat="1" x14ac:dyDescent="0.2">
      <c r="A159" s="938" t="s">
        <v>500</v>
      </c>
      <c r="B159" s="939" t="s">
        <v>2041</v>
      </c>
      <c r="C159" s="940" t="s">
        <v>1466</v>
      </c>
      <c r="D159" s="941" t="s">
        <v>1467</v>
      </c>
      <c r="E159" s="942"/>
      <c r="F159" s="1789">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9">
        <f>SUM('Revenues 9-14'!C255,'Revenues 9-14'!F255,'Revenues 9-14'!G255)</f>
        <v>22033</v>
      </c>
      <c r="G160" s="943">
        <v>6306</v>
      </c>
    </row>
    <row r="161" spans="1:7" x14ac:dyDescent="0.2">
      <c r="A161" s="927" t="s">
        <v>5</v>
      </c>
      <c r="B161" s="927" t="s">
        <v>2043</v>
      </c>
      <c r="C161" s="932">
        <f>'Revenues 9-14'!B256</f>
        <v>4909</v>
      </c>
      <c r="D161" s="929" t="str">
        <f>'Revenues 9-14'!A256</f>
        <v>Title III - Language Inst Program - Limited Eng (LIPLEP)</v>
      </c>
      <c r="E161" s="906"/>
      <c r="F161" s="1789">
        <f>SUM('Revenues 9-14'!C256,'Revenues 9-14'!F256,'Revenues 9-14'!G256)</f>
        <v>31563</v>
      </c>
      <c r="G161" s="943"/>
    </row>
    <row r="162" spans="1:7" x14ac:dyDescent="0.2">
      <c r="A162" s="927" t="s">
        <v>668</v>
      </c>
      <c r="B162" s="927" t="s">
        <v>2044</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7">
        <f>SUM('Revenues 9-14'!C259,'Revenues 9-14'!D259,'Revenues 9-14'!F259,'Revenues 9-14'!G259)</f>
        <v>1152424</v>
      </c>
      <c r="G164" s="930"/>
    </row>
    <row r="165" spans="1:7" x14ac:dyDescent="0.2">
      <c r="A165" s="927" t="s">
        <v>668</v>
      </c>
      <c r="B165" s="927" t="s">
        <v>2047</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9">
        <f>SUM('Revenues 9-14'!C263:D263,'Revenues 9-14'!F263:G263)</f>
        <v>453106</v>
      </c>
      <c r="G168" s="947">
        <v>6320</v>
      </c>
    </row>
    <row r="169" spans="1:7" x14ac:dyDescent="0.2">
      <c r="A169" s="927" t="s">
        <v>668</v>
      </c>
      <c r="B169" s="927" t="s">
        <v>2049</v>
      </c>
      <c r="C169" s="932">
        <f>'Revenues 9-14'!B264</f>
        <v>4992</v>
      </c>
      <c r="D169" s="933" t="str">
        <f>'Revenues 9-14'!A264</f>
        <v>Medicaid Matching Funds - Fee-for-Service Program</v>
      </c>
      <c r="E169" s="906"/>
      <c r="F169" s="1789">
        <f>SUM('Revenues 9-14'!C264:D264,'Revenues 9-14'!F264:G264)</f>
        <v>770859</v>
      </c>
      <c r="G169" s="947"/>
    </row>
    <row r="170" spans="1:7" x14ac:dyDescent="0.2">
      <c r="A170" s="948" t="s">
        <v>668</v>
      </c>
      <c r="B170" s="944" t="s">
        <v>2050</v>
      </c>
      <c r="C170" s="945">
        <f>'Revenues 9-14'!B265</f>
        <v>4999</v>
      </c>
      <c r="D170" s="946" t="str">
        <f>'Revenues 9-14'!A265</f>
        <v>Other Restricted Revenue from Federal Sources (Describe &amp; Itemize)</v>
      </c>
      <c r="E170" s="906"/>
      <c r="F170" s="1789">
        <f>SUM('Revenues 9-14'!C265:D265,'Revenues 9-14'!F265:G265)</f>
        <v>426624</v>
      </c>
      <c r="G170" s="927"/>
    </row>
    <row r="171" spans="1:7" x14ac:dyDescent="0.2">
      <c r="A171" s="1918" t="s">
        <v>5</v>
      </c>
      <c r="B171" s="1919" t="s">
        <v>1916</v>
      </c>
      <c r="C171" s="1920">
        <v>3100</v>
      </c>
      <c r="D171" s="1921" t="s">
        <v>1918</v>
      </c>
      <c r="E171" s="906"/>
      <c r="F171" s="1906"/>
      <c r="G171" s="927"/>
    </row>
    <row r="172" spans="1:7" x14ac:dyDescent="0.2">
      <c r="A172" s="1918" t="s">
        <v>664</v>
      </c>
      <c r="B172" s="1919" t="s">
        <v>1916</v>
      </c>
      <c r="C172" s="1920">
        <v>3300</v>
      </c>
      <c r="D172" s="1921" t="s">
        <v>1919</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2051</v>
      </c>
      <c r="E174" s="1787" t="s">
        <v>958</v>
      </c>
      <c r="F174" s="1788">
        <f>SUM(F84:F132,F157:F172)</f>
        <v>39532962</v>
      </c>
    </row>
    <row r="175" spans="1:7" ht="12" customHeight="1" x14ac:dyDescent="0.2">
      <c r="A175" s="1770"/>
      <c r="B175" s="1784"/>
      <c r="C175" s="1785"/>
      <c r="D175" s="1786" t="s">
        <v>2052</v>
      </c>
      <c r="E175" s="1787"/>
      <c r="F175" s="1789">
        <f>'PCTC-OEPP 27-28'!F77-F174</f>
        <v>139475871</v>
      </c>
    </row>
    <row r="176" spans="1:7" ht="12" customHeight="1" x14ac:dyDescent="0.2">
      <c r="A176" s="1770"/>
      <c r="B176" s="1784"/>
      <c r="C176" s="1785"/>
      <c r="D176" s="1786" t="s">
        <v>1814</v>
      </c>
      <c r="E176" s="1787"/>
      <c r="F176" s="1789">
        <f>'Cap Outlay Deprec 26'!I18</f>
        <v>5914508.5999999996</v>
      </c>
    </row>
    <row r="177" spans="1:7" ht="12" customHeight="1" x14ac:dyDescent="0.2">
      <c r="A177" s="1770"/>
      <c r="B177" s="1784"/>
      <c r="C177" s="1785"/>
      <c r="D177" s="1786" t="s">
        <v>2053</v>
      </c>
      <c r="E177" s="1787"/>
      <c r="F177" s="1789">
        <f>F175+F176</f>
        <v>145390379.59999999</v>
      </c>
    </row>
    <row r="178" spans="1:7" ht="12" customHeight="1" x14ac:dyDescent="0.2">
      <c r="A178" s="1770"/>
      <c r="B178" s="1790"/>
      <c r="C178" s="1785"/>
      <c r="D178" s="1786" t="str">
        <f>D78</f>
        <v>9 Month ADA from District Average Daily Attendance/Prior General State Aid Inquiry 2018-2019</v>
      </c>
      <c r="E178" s="1787"/>
      <c r="F178" s="1791">
        <f>'PCTC-OEPP 27-28'!F78</f>
        <v>11788.7</v>
      </c>
      <c r="G178" s="930"/>
    </row>
    <row r="179" spans="1:7" ht="12" customHeight="1" thickBot="1" x14ac:dyDescent="0.25">
      <c r="A179" s="1770"/>
      <c r="B179" s="1790"/>
      <c r="C179" s="1785"/>
      <c r="D179" s="1786" t="s">
        <v>2054</v>
      </c>
      <c r="E179" s="1787" t="s">
        <v>1545</v>
      </c>
      <c r="F179" s="1792">
        <f>F177/F178</f>
        <v>12333.029053245904</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1989</v>
      </c>
      <c r="B182" s="1923"/>
      <c r="C182" s="1924"/>
      <c r="D182" s="1923"/>
      <c r="E182" s="1924"/>
      <c r="F182" s="1923"/>
      <c r="G182" s="1923"/>
    </row>
    <row r="183" spans="1:7" s="1922" customFormat="1" ht="12.2" customHeight="1" x14ac:dyDescent="0.2">
      <c r="A183" s="1925" t="s">
        <v>1991</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2"/>
  <sheetViews>
    <sheetView showGridLines="0" zoomScaleNormal="100" workbookViewId="0">
      <selection activeCell="A4" sqref="A4:G5"/>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341" t="s">
        <v>1815</v>
      </c>
      <c r="B4" s="2342"/>
      <c r="C4" s="2342"/>
      <c r="D4" s="2342"/>
      <c r="E4" s="2342"/>
      <c r="F4" s="2342"/>
      <c r="G4" s="2343"/>
    </row>
    <row r="5" spans="1:7" x14ac:dyDescent="0.25">
      <c r="A5" s="2344"/>
      <c r="B5" s="2345"/>
      <c r="C5" s="2345"/>
      <c r="D5" s="2345"/>
      <c r="E5" s="2345"/>
      <c r="F5" s="2345"/>
      <c r="G5" s="2346"/>
    </row>
    <row r="6" spans="1:7" ht="18.75" x14ac:dyDescent="0.25">
      <c r="A6" s="1937" t="s">
        <v>2061</v>
      </c>
      <c r="B6" s="1938"/>
      <c r="C6" s="1938"/>
      <c r="D6" s="1938"/>
      <c r="E6" s="1938"/>
      <c r="F6" s="1938"/>
      <c r="G6" s="1939"/>
    </row>
    <row r="7" spans="1:7" ht="18.75" x14ac:dyDescent="0.25">
      <c r="A7" s="1534" t="s">
        <v>1816</v>
      </c>
      <c r="B7" s="1535"/>
      <c r="C7" s="1535"/>
      <c r="D7" s="1535"/>
      <c r="E7" s="1535"/>
      <c r="F7" s="1535"/>
      <c r="G7" s="1536"/>
    </row>
    <row r="8" spans="1:7" ht="30.75" customHeight="1" x14ac:dyDescent="0.25">
      <c r="A8" s="2347" t="s">
        <v>1928</v>
      </c>
      <c r="B8" s="2348"/>
      <c r="C8" s="2348"/>
      <c r="D8" s="2348"/>
      <c r="E8" s="2348"/>
      <c r="F8" s="2348"/>
      <c r="G8" s="2349"/>
    </row>
    <row r="9" spans="1:7" ht="15.75" customHeight="1" x14ac:dyDescent="0.25">
      <c r="A9" s="2350" t="s">
        <v>1903</v>
      </c>
      <c r="B9" s="2351"/>
      <c r="C9" s="2351"/>
      <c r="D9" s="2351"/>
      <c r="E9" s="2351"/>
      <c r="F9" s="2351"/>
      <c r="G9" s="2352"/>
    </row>
    <row r="10" spans="1:7" ht="35.25" customHeight="1" x14ac:dyDescent="0.25">
      <c r="A10" s="2347" t="s">
        <v>2060</v>
      </c>
      <c r="B10" s="2348"/>
      <c r="C10" s="2348"/>
      <c r="D10" s="2348"/>
      <c r="E10" s="2348"/>
      <c r="F10" s="2348"/>
      <c r="G10" s="2349"/>
    </row>
    <row r="11" spans="1:7" ht="15" customHeight="1" x14ac:dyDescent="0.25">
      <c r="A11" s="1537" t="s">
        <v>1817</v>
      </c>
      <c r="B11" s="1538"/>
      <c r="C11" s="1538"/>
      <c r="D11" s="1538"/>
      <c r="E11" s="1538"/>
      <c r="F11" s="1538"/>
      <c r="G11" s="1539"/>
    </row>
    <row r="12" spans="1:7" ht="17.25" customHeight="1" x14ac:dyDescent="0.25">
      <c r="A12" s="2347" t="s">
        <v>1930</v>
      </c>
      <c r="B12" s="2348"/>
      <c r="C12" s="2348"/>
      <c r="D12" s="2348"/>
      <c r="E12" s="2348"/>
      <c r="F12" s="2348"/>
      <c r="G12" s="2349"/>
    </row>
    <row r="13" spans="1:7" ht="15" customHeight="1" x14ac:dyDescent="0.25">
      <c r="A13" s="1537" t="s">
        <v>1822</v>
      </c>
      <c r="B13" s="1538"/>
      <c r="C13" s="1538"/>
      <c r="D13" s="1538"/>
      <c r="E13" s="1538"/>
      <c r="F13" s="1538"/>
      <c r="G13" s="1539"/>
    </row>
    <row r="14" spans="1:7" ht="32.25" customHeight="1" x14ac:dyDescent="0.25">
      <c r="A14" s="2338" t="s">
        <v>1971</v>
      </c>
      <c r="B14" s="2339"/>
      <c r="C14" s="2339"/>
      <c r="D14" s="2339"/>
      <c r="E14" s="2339"/>
      <c r="F14" s="2339"/>
      <c r="G14" s="2340"/>
    </row>
    <row r="15" spans="1:7" x14ac:dyDescent="0.25">
      <c r="A15" s="1661" t="s">
        <v>1830</v>
      </c>
      <c r="B15" s="1662"/>
      <c r="C15" s="1662"/>
      <c r="D15" s="1662"/>
      <c r="E15" s="1662"/>
      <c r="F15" s="1662"/>
      <c r="G15" s="1663"/>
    </row>
    <row r="16" spans="1:7" ht="61.5" customHeight="1" x14ac:dyDescent="0.25">
      <c r="A16" s="1546" t="s">
        <v>1823</v>
      </c>
      <c r="B16" s="1546" t="s">
        <v>1824</v>
      </c>
      <c r="C16" s="1546" t="s">
        <v>1825</v>
      </c>
      <c r="D16" s="1547" t="s">
        <v>1826</v>
      </c>
      <c r="E16" s="1547" t="s">
        <v>1818</v>
      </c>
      <c r="F16" s="1547" t="s">
        <v>1827</v>
      </c>
      <c r="G16" s="1547" t="s">
        <v>1828</v>
      </c>
    </row>
    <row r="17" spans="1:8" x14ac:dyDescent="0.25">
      <c r="A17" s="1648" t="s">
        <v>1831</v>
      </c>
      <c r="B17" s="1649" t="s">
        <v>1821</v>
      </c>
      <c r="C17" s="1650" t="s">
        <v>1819</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2009" t="s">
        <v>2240</v>
      </c>
      <c r="B18" s="2010" t="s">
        <v>2249</v>
      </c>
      <c r="C18" s="2011" t="s">
        <v>2250</v>
      </c>
      <c r="D18" s="1844">
        <v>62625</v>
      </c>
      <c r="E18" s="1540">
        <f t="shared" ref="E18:E142" si="0">IF(D18&lt;=25000,D18,IF(D18&gt;25000,25000,0))</f>
        <v>25000</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37625</v>
      </c>
      <c r="H18" s="1647"/>
    </row>
    <row r="19" spans="1:8" x14ac:dyDescent="0.25">
      <c r="A19" s="2009" t="s">
        <v>2241</v>
      </c>
      <c r="B19" s="2010" t="s">
        <v>2251</v>
      </c>
      <c r="C19" s="2011" t="s">
        <v>2258</v>
      </c>
      <c r="D19" s="1844">
        <v>33660</v>
      </c>
      <c r="E19" s="1540">
        <f t="shared" ref="E19:E141" si="2">IF(D19&lt;=25000,D19,IF(D19&gt;25000,25000,0))</f>
        <v>25000</v>
      </c>
      <c r="F19" s="1936">
        <f t="shared" si="1"/>
        <v>25000</v>
      </c>
      <c r="G19" s="1793">
        <f t="shared" ref="G19:G141" si="3">IF(F19=0,0,D19-F19)</f>
        <v>8660</v>
      </c>
    </row>
    <row r="20" spans="1:8" x14ac:dyDescent="0.25">
      <c r="A20" s="2009" t="s">
        <v>2242</v>
      </c>
      <c r="B20" s="2010" t="s">
        <v>2252</v>
      </c>
      <c r="C20" s="2011" t="s">
        <v>2259</v>
      </c>
      <c r="D20" s="1844">
        <v>192000</v>
      </c>
      <c r="E20" s="1540">
        <f t="shared" si="2"/>
        <v>25000</v>
      </c>
      <c r="F20" s="1936">
        <f t="shared" si="1"/>
        <v>25000</v>
      </c>
      <c r="G20" s="1793">
        <f t="shared" si="3"/>
        <v>167000</v>
      </c>
    </row>
    <row r="21" spans="1:8" x14ac:dyDescent="0.25">
      <c r="A21" s="2009" t="s">
        <v>2241</v>
      </c>
      <c r="B21" s="2010" t="s">
        <v>2251</v>
      </c>
      <c r="C21" s="2011" t="s">
        <v>2260</v>
      </c>
      <c r="D21" s="1844">
        <v>80000</v>
      </c>
      <c r="E21" s="1540">
        <f t="shared" si="2"/>
        <v>25000</v>
      </c>
      <c r="F21" s="1936">
        <f t="shared" si="1"/>
        <v>25000</v>
      </c>
      <c r="G21" s="1793">
        <f t="shared" si="3"/>
        <v>55000</v>
      </c>
    </row>
    <row r="22" spans="1:8" x14ac:dyDescent="0.25">
      <c r="A22" s="2009" t="s">
        <v>2243</v>
      </c>
      <c r="B22" s="2010" t="s">
        <v>2253</v>
      </c>
      <c r="C22" s="2011" t="s">
        <v>2261</v>
      </c>
      <c r="D22" s="1844">
        <v>67562</v>
      </c>
      <c r="E22" s="1540">
        <f t="shared" si="2"/>
        <v>25000</v>
      </c>
      <c r="F22" s="1936">
        <f t="shared" si="1"/>
        <v>25000</v>
      </c>
      <c r="G22" s="1793">
        <f t="shared" si="3"/>
        <v>42562</v>
      </c>
    </row>
    <row r="23" spans="1:8" x14ac:dyDescent="0.25">
      <c r="A23" s="2009" t="s">
        <v>2244</v>
      </c>
      <c r="B23" s="2010" t="s">
        <v>2254</v>
      </c>
      <c r="C23" s="2011" t="s">
        <v>2262</v>
      </c>
      <c r="D23" s="1844">
        <v>42000</v>
      </c>
      <c r="E23" s="1540">
        <f t="shared" si="2"/>
        <v>25000</v>
      </c>
      <c r="F23" s="1936">
        <f t="shared" si="1"/>
        <v>25000</v>
      </c>
      <c r="G23" s="1793">
        <f t="shared" si="3"/>
        <v>17000</v>
      </c>
    </row>
    <row r="24" spans="1:8" x14ac:dyDescent="0.25">
      <c r="A24" s="2009" t="s">
        <v>2241</v>
      </c>
      <c r="B24" s="2010" t="s">
        <v>2251</v>
      </c>
      <c r="C24" s="2011" t="s">
        <v>2263</v>
      </c>
      <c r="D24" s="1844">
        <v>73200</v>
      </c>
      <c r="E24" s="1540">
        <f t="shared" si="2"/>
        <v>25000</v>
      </c>
      <c r="F24" s="1936">
        <f t="shared" si="1"/>
        <v>25000</v>
      </c>
      <c r="G24" s="1793">
        <f t="shared" si="3"/>
        <v>48200</v>
      </c>
    </row>
    <row r="25" spans="1:8" x14ac:dyDescent="0.25">
      <c r="A25" s="2009" t="s">
        <v>2241</v>
      </c>
      <c r="B25" s="2010" t="s">
        <v>2251</v>
      </c>
      <c r="C25" s="2011" t="s">
        <v>2264</v>
      </c>
      <c r="D25" s="1844">
        <v>40592</v>
      </c>
      <c r="E25" s="1540">
        <f t="shared" si="2"/>
        <v>25000</v>
      </c>
      <c r="F25" s="1936">
        <f t="shared" si="1"/>
        <v>25000</v>
      </c>
      <c r="G25" s="1793">
        <f t="shared" si="3"/>
        <v>15592</v>
      </c>
    </row>
    <row r="26" spans="1:8" x14ac:dyDescent="0.25">
      <c r="A26" s="2009" t="s">
        <v>2245</v>
      </c>
      <c r="B26" s="2010" t="s">
        <v>2255</v>
      </c>
      <c r="C26" s="2011" t="s">
        <v>2265</v>
      </c>
      <c r="D26" s="1844">
        <v>86770</v>
      </c>
      <c r="E26" s="1540">
        <f t="shared" si="2"/>
        <v>25000</v>
      </c>
      <c r="F26" s="1936">
        <f t="shared" si="1"/>
        <v>25000</v>
      </c>
      <c r="G26" s="1793">
        <f t="shared" si="3"/>
        <v>61770</v>
      </c>
    </row>
    <row r="27" spans="1:8" x14ac:dyDescent="0.25">
      <c r="A27" s="2009" t="s">
        <v>2245</v>
      </c>
      <c r="B27" s="2010" t="s">
        <v>2255</v>
      </c>
      <c r="C27" s="2011" t="s">
        <v>2265</v>
      </c>
      <c r="D27" s="1844">
        <v>87837</v>
      </c>
      <c r="E27" s="1540">
        <f t="shared" si="2"/>
        <v>25000</v>
      </c>
      <c r="F27" s="1936">
        <f t="shared" si="1"/>
        <v>25000</v>
      </c>
      <c r="G27" s="1793">
        <f t="shared" si="3"/>
        <v>62837</v>
      </c>
    </row>
    <row r="28" spans="1:8" x14ac:dyDescent="0.25">
      <c r="A28" s="2009" t="s">
        <v>2246</v>
      </c>
      <c r="B28" s="2010" t="s">
        <v>2257</v>
      </c>
      <c r="C28" s="2011" t="s">
        <v>2266</v>
      </c>
      <c r="D28" s="1844">
        <v>61032</v>
      </c>
      <c r="E28" s="1540">
        <f t="shared" si="2"/>
        <v>25000</v>
      </c>
      <c r="F28" s="1936">
        <f t="shared" si="1"/>
        <v>25000</v>
      </c>
      <c r="G28" s="1793">
        <f t="shared" si="3"/>
        <v>36032</v>
      </c>
    </row>
    <row r="29" spans="1:8" x14ac:dyDescent="0.25">
      <c r="A29" s="2009" t="s">
        <v>2247</v>
      </c>
      <c r="B29" s="2010" t="s">
        <v>2256</v>
      </c>
      <c r="C29" s="2011" t="s">
        <v>2267</v>
      </c>
      <c r="D29" s="1844">
        <v>64890</v>
      </c>
      <c r="E29" s="1540">
        <f t="shared" si="2"/>
        <v>25000</v>
      </c>
      <c r="F29" s="1936">
        <f t="shared" si="1"/>
        <v>25000</v>
      </c>
      <c r="G29" s="1793">
        <f t="shared" si="3"/>
        <v>39890</v>
      </c>
    </row>
    <row r="30" spans="1:8" x14ac:dyDescent="0.25">
      <c r="A30" s="2009" t="s">
        <v>2247</v>
      </c>
      <c r="B30" s="2010" t="s">
        <v>2256</v>
      </c>
      <c r="C30" s="2011" t="s">
        <v>2268</v>
      </c>
      <c r="D30" s="1844">
        <v>217398</v>
      </c>
      <c r="E30" s="1540">
        <f t="shared" si="2"/>
        <v>25000</v>
      </c>
      <c r="F30" s="1936">
        <f t="shared" si="1"/>
        <v>25000</v>
      </c>
      <c r="G30" s="1793">
        <f t="shared" si="3"/>
        <v>192398</v>
      </c>
    </row>
    <row r="31" spans="1:8" x14ac:dyDescent="0.25">
      <c r="A31" s="2009" t="s">
        <v>2248</v>
      </c>
      <c r="B31" s="2010" t="s">
        <v>2269</v>
      </c>
      <c r="C31" s="2011" t="s">
        <v>2270</v>
      </c>
      <c r="D31" s="1844">
        <v>239310</v>
      </c>
      <c r="E31" s="1540">
        <f t="shared" si="2"/>
        <v>25000</v>
      </c>
      <c r="F31" s="1936">
        <f t="shared" si="1"/>
        <v>25000</v>
      </c>
      <c r="G31" s="1793">
        <f t="shared" si="3"/>
        <v>214310</v>
      </c>
    </row>
    <row r="32" spans="1:8" x14ac:dyDescent="0.25">
      <c r="A32" s="2009" t="s">
        <v>2248</v>
      </c>
      <c r="B32" s="2010" t="s">
        <v>2269</v>
      </c>
      <c r="C32" s="2011" t="s">
        <v>2271</v>
      </c>
      <c r="D32" s="1844">
        <v>31294</v>
      </c>
      <c r="E32" s="1540">
        <f t="shared" si="2"/>
        <v>25000</v>
      </c>
      <c r="F32" s="1936">
        <f t="shared" si="1"/>
        <v>25000</v>
      </c>
      <c r="G32" s="1793">
        <f t="shared" si="3"/>
        <v>6294</v>
      </c>
    </row>
    <row r="33" spans="1:7" x14ac:dyDescent="0.25">
      <c r="A33" s="2009" t="s">
        <v>2245</v>
      </c>
      <c r="B33" s="2010" t="s">
        <v>2255</v>
      </c>
      <c r="C33" s="2011" t="s">
        <v>2272</v>
      </c>
      <c r="D33" s="1844">
        <v>104589</v>
      </c>
      <c r="E33" s="1540">
        <f t="shared" si="2"/>
        <v>25000</v>
      </c>
      <c r="F33" s="1936">
        <f t="shared" si="1"/>
        <v>25000</v>
      </c>
      <c r="G33" s="1793">
        <f t="shared" si="3"/>
        <v>79589</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1484759</v>
      </c>
      <c r="E142" s="1541">
        <f t="shared" si="0"/>
        <v>25000</v>
      </c>
      <c r="F142" s="1932">
        <f>SUM(F18:F141)</f>
        <v>400000</v>
      </c>
      <c r="G142" s="1795">
        <f>SUM(G18:G141)</f>
        <v>1084759</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colorId="8" zoomScale="110" zoomScaleNormal="110" workbookViewId="0">
      <selection activeCell="A5" sqref="A5:F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53" t="s">
        <v>1679</v>
      </c>
      <c r="B5" s="2354"/>
      <c r="C5" s="2354"/>
      <c r="D5" s="2354"/>
      <c r="E5" s="2354"/>
      <c r="F5" s="2354"/>
      <c r="G5" s="235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358" t="s">
        <v>1972</v>
      </c>
      <c r="B11" s="2359"/>
      <c r="C11" s="2359"/>
      <c r="D11" s="2360"/>
      <c r="E11" s="977">
        <v>830937</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100966110</v>
      </c>
      <c r="F19" s="1799"/>
      <c r="G19" s="1801">
        <f>'Expenditures 15-22'!K33-SUM('Expenditures 15-22'!G33,'Expenditures 15-22'!I33)+'Expenditures 15-22'!D229</f>
        <v>100966110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13966693</v>
      </c>
      <c r="F21" s="1802"/>
      <c r="G21" s="1805">
        <f>'Expenditures 15-22'!K42-SUM('Expenditures 15-22'!G42,'Expenditures 15-22'!I42)+'Expenditures 15-22'!K120-SUM('Expenditures 15-22'!G120,'Expenditures 15-22'!I120)+'Expenditures 15-22'!K180-SUM('Expenditures 15-22'!G180,'Expenditures 15-22'!I180)+'Expenditures 15-22'!D238</f>
        <v>13966693</v>
      </c>
      <c r="H21" s="987"/>
      <c r="I21" s="162"/>
    </row>
    <row r="22" spans="1:9" s="668" customFormat="1" ht="12" customHeight="1" x14ac:dyDescent="0.2">
      <c r="A22" s="994" t="s">
        <v>564</v>
      </c>
      <c r="B22" s="995"/>
      <c r="C22" s="993">
        <v>2200</v>
      </c>
      <c r="D22" s="1802"/>
      <c r="E22" s="1804">
        <f>'Expenditures 15-22'!K47-SUM('Expenditures 15-22'!G47,'Expenditures 15-22'!I47)+'Expenditures 15-22'!D243</f>
        <v>7090006</v>
      </c>
      <c r="F22" s="1802"/>
      <c r="G22" s="1805">
        <f>'Expenditures 15-22'!K47-SUM('Expenditures 15-22'!G47,'Expenditures 15-22'!I47)+'Expenditures 15-22'!D243</f>
        <v>7090006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6120487</v>
      </c>
      <c r="F23" s="1802"/>
      <c r="G23" s="1804">
        <f>'Expenditures 15-22'!K53-SUM('Expenditures 15-22'!G53,'Expenditures 15-22'!I53)+'Expenditures 15-22'!D257+'Expenditures 15-22'!K330-SUM('Expenditures 15-22'!G330,'Expenditures 15-22'!I330)</f>
        <v>6120487</v>
      </c>
      <c r="H23" s="987"/>
      <c r="I23" s="162"/>
    </row>
    <row r="24" spans="1:9" s="668" customFormat="1" ht="12" customHeight="1" x14ac:dyDescent="0.2">
      <c r="A24" s="994" t="s">
        <v>566</v>
      </c>
      <c r="B24" s="995"/>
      <c r="C24" s="993">
        <v>2400</v>
      </c>
      <c r="D24" s="1802"/>
      <c r="E24" s="1804">
        <f>'Expenditures 15-22'!K57-SUM('Expenditures 15-22'!G57,'Expenditures 15-22'!I57)+'Expenditures 15-22'!D261</f>
        <v>10118139</v>
      </c>
      <c r="F24" s="1802"/>
      <c r="G24" s="1805">
        <f>'Expenditures 15-22'!K57-SUM('Expenditures 15-22'!G57,'Expenditures 15-22'!I57)+'Expenditures 15-22'!D261</f>
        <v>10118139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342173</v>
      </c>
      <c r="E26" s="1804">
        <f>'Expenditures 15-22'!K122-SUM('Expenditures 15-22'!G122,'Expenditures 15-22'!I122)+E7</f>
        <v>393511</v>
      </c>
      <c r="F26" s="1804">
        <f>'Expenditures 15-22'!K59-SUM('Expenditures 15-22'!G59,'Expenditures 15-22'!I59)+'Expenditures 15-22'!D263-E7</f>
        <v>342173</v>
      </c>
      <c r="G26" s="1805">
        <f>'Expenditures 15-22'!K122-SUM('Expenditures 15-22'!G122,'Expenditures 15-22'!I122)+E7</f>
        <v>393511</v>
      </c>
      <c r="H26" s="987"/>
      <c r="I26" s="162"/>
    </row>
    <row r="27" spans="1:9" s="668" customFormat="1" ht="12" customHeight="1" x14ac:dyDescent="0.2">
      <c r="A27" s="994" t="s">
        <v>463</v>
      </c>
      <c r="B27" s="997"/>
      <c r="C27" s="993">
        <v>2520</v>
      </c>
      <c r="D27" s="1804">
        <f>'Expenditures 15-22'!K60-SUM('Expenditures 15-22'!G60,'Expenditures 15-22'!I60)+'Expenditures 15-22'!D264-E8</f>
        <v>1070407</v>
      </c>
      <c r="E27" s="1804">
        <f>E8</f>
        <v>0</v>
      </c>
      <c r="F27" s="1804">
        <f>'Expenditures 15-22'!K60-SUM('Expenditures 15-22'!G60,'Expenditures 15-22'!I60)+'Expenditures 15-22'!D264-E8</f>
        <v>1070407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15669719</v>
      </c>
      <c r="F28" s="1806">
        <f>'Expenditures 15-22'!K61-SUM('Expenditures 15-22'!G61,'Expenditures 15-22'!I61)+'Expenditures 15-22'!K124-SUM('Expenditures 15-22'!G124,'Expenditures 15-22'!I124)+'Expenditures 15-22'!D266-E9</f>
        <v>15669719</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13016381</v>
      </c>
      <c r="F29" s="1802"/>
      <c r="G29" s="1805">
        <f>'Expenditures 15-22'!K62-SUM('Expenditures 15-22'!G62,'Expenditures 15-22'!I62)+'Expenditures 15-22'!K125-SUM('Expenditures 15-22'!G125,'Expenditures 15-22'!I125)+'Expenditures 15-22'!K182-SUM('Expenditures 15-22'!G182,'Expenditures 15-22'!I182)+'Expenditures 15-22'!D267</f>
        <v>13016381</v>
      </c>
      <c r="H29" s="985"/>
    </row>
    <row r="30" spans="1:9" ht="12" customHeight="1" x14ac:dyDescent="0.2">
      <c r="A30" s="994" t="s">
        <v>100</v>
      </c>
      <c r="B30" s="997"/>
      <c r="C30" s="993">
        <v>2560</v>
      </c>
      <c r="D30" s="1802"/>
      <c r="E30" s="1804">
        <f>'Expenditures 15-22'!K63-SUM('Expenditures 15-22'!G63,'Expenditures 15-22'!I63)+'Expenditures 15-22'!D268-E10</f>
        <v>9157130</v>
      </c>
      <c r="F30" s="1802"/>
      <c r="G30" s="1804">
        <f>'Expenditures 15-22'!K63-SUM('Expenditures 15-22'!G63,'Expenditures 15-22'!I63)+'Expenditures 15-22'!D268-E10</f>
        <v>9157130</v>
      </c>
    </row>
    <row r="31" spans="1:9" ht="12" customHeight="1" x14ac:dyDescent="0.2">
      <c r="A31" s="994" t="s">
        <v>101</v>
      </c>
      <c r="B31" s="997"/>
      <c r="C31" s="993">
        <v>2570</v>
      </c>
      <c r="D31" s="1804">
        <f>'Expenditures 15-22'!K64-SUM('Expenditures 15-22'!G64,'Expenditures 15-22'!I64)+'Expenditures 15-22'!D269-E12</f>
        <v>107430</v>
      </c>
      <c r="E31" s="1804">
        <f>E12</f>
        <v>0</v>
      </c>
      <c r="F31" s="1804">
        <f>'Expenditures 15-22'!K64-SUM('Expenditures 15-22'!G64,'Expenditures 15-22'!I64)+'Expenditures 15-22'!D269-E12</f>
        <v>107430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263529</v>
      </c>
      <c r="F33" s="1802"/>
      <c r="G33" s="1804">
        <f>'Expenditures 15-22'!K67-SUM('Expenditures 15-22'!G67,'Expenditures 15-22'!I67)+'Expenditures 15-22'!D272</f>
        <v>263529</v>
      </c>
    </row>
    <row r="34" spans="1:7" ht="12" customHeight="1" x14ac:dyDescent="0.2">
      <c r="A34" s="994" t="s">
        <v>520</v>
      </c>
      <c r="B34" s="997"/>
      <c r="C34" s="993">
        <v>2620</v>
      </c>
      <c r="D34" s="1802"/>
      <c r="E34" s="1804">
        <f>'Expenditures 15-22'!K68-SUM('Expenditures 15-22'!G68,'Expenditures 15-22'!I68)+'Expenditures 15-22'!D273</f>
        <v>660893</v>
      </c>
      <c r="F34" s="1802"/>
      <c r="G34" s="1804">
        <f>'Expenditures 15-22'!K68-SUM('Expenditures 15-22'!G68,'Expenditures 15-22'!I68)+'Expenditures 15-22'!D273</f>
        <v>660893</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2087034</v>
      </c>
      <c r="E36" s="1804">
        <f>E13</f>
        <v>0</v>
      </c>
      <c r="F36" s="1804">
        <f>'Expenditures 15-22'!K70-SUM('Expenditures 15-22'!G70,'Expenditures 15-22'!I70)+'Expenditures 15-22'!D275-E13</f>
        <v>2087034</v>
      </c>
      <c r="G36" s="1804">
        <f>E13</f>
        <v>0</v>
      </c>
    </row>
    <row r="37" spans="1:7" ht="12" customHeight="1" x14ac:dyDescent="0.2">
      <c r="A37" s="994" t="s">
        <v>404</v>
      </c>
      <c r="B37" s="997"/>
      <c r="C37" s="993">
        <v>2660</v>
      </c>
      <c r="D37" s="1804">
        <f>'Expenditures 15-22'!K71-SUM('Expenditures 15-22'!G71,'Expenditures 15-22'!I71)+'Expenditures 15-22'!D276-E14</f>
        <v>1677519</v>
      </c>
      <c r="E37" s="1804">
        <f>E14</f>
        <v>0</v>
      </c>
      <c r="F37" s="1804">
        <f>'Expenditures 15-22'!K71-SUM('Expenditures 15-22'!G71,'Expenditures 15-22'!I71)+'Expenditures 15-22'!D276-E14</f>
        <v>1677519</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124143</v>
      </c>
      <c r="F38" s="1802"/>
      <c r="G38" s="1804">
        <f>'Expenditures 15-22'!K73-SUM('Expenditures 15-22'!G73,'Expenditures 15-22'!I73)+'Expenditures 15-22'!K128-SUM('Expenditures 15-22'!G128,'Expenditures 15-22'!I128)+'Expenditures 15-22'!K183-SUM('Expenditures 15-22'!G183,'Expenditures 15-22'!I183)+'Expenditures 15-22'!D278</f>
        <v>124143</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4808856</v>
      </c>
      <c r="F39" s="1802"/>
      <c r="G39" s="1804">
        <f>'Expenditures 15-22'!K75-SUM('Expenditures 15-22'!G75,'Expenditures 15-22'!I75)+'Expenditures 15-22'!K130-SUM('Expenditures 15-22'!G130,'Expenditures 15-22'!I130)+'Expenditures 15-22'!K185-SUM('Expenditures 15-22'!G185,'Expenditures 15-22'!I185)+'Expenditures 15-22'!D280</f>
        <v>4808856</v>
      </c>
    </row>
    <row r="40" spans="1:7" ht="12" customHeight="1" x14ac:dyDescent="0.2">
      <c r="A40" s="990" t="s">
        <v>1820</v>
      </c>
      <c r="B40" s="991"/>
      <c r="C40" s="993"/>
      <c r="D40" s="1802"/>
      <c r="E40" s="1806">
        <f>-'Contracts Paid in CY 29'!G142</f>
        <v>-1084759</v>
      </c>
      <c r="F40" s="1802"/>
      <c r="G40" s="1806">
        <f>-'Contracts Paid in CY 29'!G142</f>
        <v>-1084759</v>
      </c>
    </row>
    <row r="41" spans="1:7" ht="12" customHeight="1" x14ac:dyDescent="0.2">
      <c r="A41" s="998" t="s">
        <v>156</v>
      </c>
      <c r="B41" s="999"/>
      <c r="C41" s="1000"/>
      <c r="D41" s="1806">
        <f>SUM(D19:D39)</f>
        <v>5284563</v>
      </c>
      <c r="E41" s="1806">
        <f>SUM(E19:E40)</f>
        <v>181270838</v>
      </c>
      <c r="F41" s="1806">
        <f>SUM(F19:F39)</f>
        <v>20954282</v>
      </c>
      <c r="G41" s="1806">
        <f>SUM(G19:G40)</f>
        <v>165601119</v>
      </c>
    </row>
    <row r="42" spans="1:7" x14ac:dyDescent="0.2">
      <c r="A42" s="987"/>
      <c r="B42" s="162"/>
      <c r="C42" s="1001"/>
      <c r="D42" s="2356" t="s">
        <v>522</v>
      </c>
      <c r="E42" s="2357"/>
      <c r="F42" s="1002" t="s">
        <v>523</v>
      </c>
      <c r="G42" s="1003"/>
    </row>
    <row r="43" spans="1:7" ht="12" customHeight="1" x14ac:dyDescent="0.2">
      <c r="A43" s="987"/>
      <c r="B43" s="162"/>
      <c r="C43" s="1001"/>
      <c r="D43" s="1807" t="s">
        <v>473</v>
      </c>
      <c r="E43" s="1808">
        <f>D41</f>
        <v>5284563</v>
      </c>
      <c r="F43" s="1807" t="s">
        <v>473</v>
      </c>
      <c r="G43" s="1808">
        <f>F41</f>
        <v>20954282</v>
      </c>
    </row>
    <row r="44" spans="1:7" ht="12" customHeight="1" x14ac:dyDescent="0.2">
      <c r="A44" s="987"/>
      <c r="B44" s="162"/>
      <c r="C44" s="1001"/>
      <c r="D44" s="1807" t="s">
        <v>474</v>
      </c>
      <c r="E44" s="1808">
        <f>E41</f>
        <v>181270838</v>
      </c>
      <c r="F44" s="1807" t="s">
        <v>474</v>
      </c>
      <c r="G44" s="1808">
        <f>G41</f>
        <v>165601119</v>
      </c>
    </row>
    <row r="45" spans="1:7" ht="12" customHeight="1" x14ac:dyDescent="0.2">
      <c r="A45" s="987"/>
      <c r="B45" s="162"/>
      <c r="C45" s="162"/>
      <c r="D45" s="1809" t="s">
        <v>1006</v>
      </c>
      <c r="E45" s="1810">
        <f>(E43/E44)</f>
        <v>2.9152858001351548E-2</v>
      </c>
      <c r="F45" s="1809" t="s">
        <v>1006</v>
      </c>
      <c r="G45" s="1810">
        <f>(G43/G44)</f>
        <v>0.12653466429776963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L97"/>
  <sheetViews>
    <sheetView showGridLines="0" zoomScale="110" zoomScaleNormal="110" workbookViewId="0">
      <pane ySplit="4" topLeftCell="A23" activePane="bottomLeft" state="frozen"/>
      <selection activeCell="A47" sqref="A47"/>
      <selection pane="bottomLeft" activeCell="F45" sqref="F4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75" t="s">
        <v>1379</v>
      </c>
      <c r="B1" s="2375"/>
      <c r="C1" s="2375"/>
      <c r="D1" s="2375"/>
      <c r="E1" s="2375"/>
      <c r="F1" s="2375"/>
    </row>
    <row r="2" spans="1:10" x14ac:dyDescent="0.2">
      <c r="A2" s="1887" t="s">
        <v>1908</v>
      </c>
      <c r="B2" s="1848"/>
      <c r="C2" s="1887"/>
      <c r="D2" s="1848"/>
      <c r="E2" s="1848"/>
      <c r="F2" s="1849"/>
    </row>
    <row r="3" spans="1:10" x14ac:dyDescent="0.2">
      <c r="A3" s="1887" t="s">
        <v>1973</v>
      </c>
      <c r="B3" s="1848"/>
      <c r="C3" s="1887"/>
      <c r="D3" s="1848"/>
      <c r="E3" s="1848"/>
      <c r="F3" s="1849"/>
    </row>
    <row r="4" spans="1:10" ht="3.75" customHeight="1" x14ac:dyDescent="0.2">
      <c r="A4" s="1848"/>
      <c r="B4" s="1848"/>
      <c r="C4" s="1848"/>
      <c r="D4" s="1848"/>
      <c r="E4" s="1848"/>
      <c r="F4" s="1849"/>
    </row>
    <row r="5" spans="1:10" ht="15" x14ac:dyDescent="0.25">
      <c r="A5" s="2376" t="s">
        <v>1546</v>
      </c>
      <c r="B5" s="2377"/>
      <c r="C5" s="2378"/>
      <c r="D5" s="2378"/>
      <c r="E5" s="2378"/>
      <c r="F5" s="2378"/>
    </row>
    <row r="6" spans="1:10" ht="12" customHeight="1" x14ac:dyDescent="0.25">
      <c r="A6" s="1850"/>
      <c r="B6" s="1851"/>
      <c r="C6" s="2379" t="str">
        <f>COVER!A17</f>
        <v>Springfield SD 186</v>
      </c>
      <c r="D6" s="2379"/>
      <c r="E6" s="2379"/>
      <c r="F6" s="1852"/>
    </row>
    <row r="7" spans="1:10" ht="11.25" customHeight="1" thickBot="1" x14ac:dyDescent="0.3">
      <c r="A7" s="1850"/>
      <c r="B7" s="1851"/>
      <c r="C7" s="2380">
        <f>COVER!A13</f>
        <v>51084186025</v>
      </c>
      <c r="D7" s="2380"/>
      <c r="E7" s="2380"/>
      <c r="F7" s="1852"/>
    </row>
    <row r="8" spans="1:10" ht="25.5" customHeight="1" thickBot="1" x14ac:dyDescent="0.25">
      <c r="A8" s="1893" t="s">
        <v>1904</v>
      </c>
      <c r="B8" s="1853" t="s">
        <v>2062</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381"/>
      <c r="D35" s="2381"/>
      <c r="E35" s="2381"/>
      <c r="F35" s="2382"/>
    </row>
    <row r="36" spans="1:11" ht="12" customHeight="1" x14ac:dyDescent="0.2">
      <c r="A36" s="2364"/>
      <c r="B36" s="2365"/>
      <c r="C36" s="2365"/>
      <c r="D36" s="2365"/>
      <c r="E36" s="2365"/>
      <c r="F36" s="2366"/>
    </row>
    <row r="37" spans="1:11" ht="12" customHeight="1" x14ac:dyDescent="0.2">
      <c r="A37" s="2364"/>
      <c r="B37" s="2365"/>
      <c r="C37" s="2365"/>
      <c r="D37" s="2365"/>
      <c r="E37" s="2365"/>
      <c r="F37" s="2366"/>
    </row>
    <row r="38" spans="1:11" ht="12" customHeight="1" x14ac:dyDescent="0.2">
      <c r="A38" s="2367"/>
      <c r="B38" s="2368"/>
      <c r="C38" s="2368"/>
      <c r="D38" s="2368"/>
      <c r="E38" s="2368"/>
      <c r="F38" s="2369"/>
    </row>
    <row r="39" spans="1:11" ht="4.5" hidden="1" customHeight="1" x14ac:dyDescent="0.2">
      <c r="A39" s="1873"/>
      <c r="B39" s="1873"/>
      <c r="C39" s="1873"/>
      <c r="D39" s="1873"/>
      <c r="E39" s="1873"/>
      <c r="F39" s="1873"/>
    </row>
    <row r="40" spans="1:11" s="1870" customFormat="1" ht="12" customHeight="1" x14ac:dyDescent="0.25">
      <c r="A40" s="1874" t="s">
        <v>1391</v>
      </c>
      <c r="B40" s="1875"/>
      <c r="C40" s="2370"/>
      <c r="D40" s="2370"/>
      <c r="E40" s="2370"/>
      <c r="F40" s="2371"/>
      <c r="H40" s="1879"/>
      <c r="I40" s="1879"/>
      <c r="J40" s="1879"/>
      <c r="K40" s="1879"/>
    </row>
    <row r="41" spans="1:11" s="1870" customFormat="1" ht="12" customHeight="1" x14ac:dyDescent="0.25">
      <c r="A41" s="2372"/>
      <c r="B41" s="2373"/>
      <c r="C41" s="2373"/>
      <c r="D41" s="2373"/>
      <c r="E41" s="2373"/>
      <c r="F41" s="2374"/>
      <c r="H41" s="1879"/>
      <c r="I41" s="1879"/>
      <c r="J41" s="1879"/>
      <c r="K41" s="1879"/>
    </row>
    <row r="42" spans="1:11" s="1870" customFormat="1" ht="12" customHeight="1" x14ac:dyDescent="0.25">
      <c r="A42" s="2372"/>
      <c r="B42" s="2373"/>
      <c r="C42" s="2373"/>
      <c r="D42" s="2373"/>
      <c r="E42" s="2373"/>
      <c r="F42" s="2374"/>
      <c r="H42" s="1879"/>
      <c r="I42" s="1879"/>
      <c r="J42" s="1879"/>
      <c r="K42" s="1879"/>
    </row>
    <row r="43" spans="1:11" s="1870" customFormat="1" ht="15" x14ac:dyDescent="0.25">
      <c r="A43" s="2361"/>
      <c r="B43" s="2362"/>
      <c r="C43" s="2362"/>
      <c r="D43" s="2362"/>
      <c r="E43" s="2362"/>
      <c r="F43" s="2363"/>
      <c r="H43" s="1879"/>
      <c r="I43" s="1879"/>
      <c r="J43" s="1879"/>
      <c r="K43" s="1879"/>
    </row>
    <row r="44" spans="1:11" s="1870" customFormat="1" ht="12" hidden="1" customHeight="1" x14ac:dyDescent="0.25">
      <c r="A44" s="2361"/>
      <c r="B44" s="2362"/>
      <c r="C44" s="2362"/>
      <c r="D44" s="2362"/>
      <c r="E44" s="2362"/>
      <c r="F44" s="236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colorId="8" zoomScale="110" zoomScaleNormal="110" workbookViewId="0">
      <selection activeCell="N15" sqref="N1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88" t="str">
        <f>COVER!A17</f>
        <v>Springfield SD 186</v>
      </c>
      <c r="J6" s="2389"/>
      <c r="Q6" s="1664"/>
    </row>
    <row r="7" spans="1:17" x14ac:dyDescent="0.2">
      <c r="A7" s="2390" t="s">
        <v>869</v>
      </c>
      <c r="B7" s="2391"/>
      <c r="C7" s="2391"/>
      <c r="D7" s="2391"/>
      <c r="E7" s="2392"/>
      <c r="F7" s="1017"/>
      <c r="G7" s="1009"/>
      <c r="H7" s="1016" t="s">
        <v>372</v>
      </c>
      <c r="I7" s="2393">
        <f>COVER!A13</f>
        <v>51084186025</v>
      </c>
      <c r="J7" s="239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1974</v>
      </c>
      <c r="F9" s="1023"/>
      <c r="G9" s="1023"/>
      <c r="H9" s="1896"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94" t="s">
        <v>481</v>
      </c>
      <c r="B11" s="2395"/>
      <c r="C11" s="239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336271</v>
      </c>
      <c r="F12" s="1039"/>
      <c r="G12" s="1811">
        <f t="shared" ref="G12:G18" si="0">SUM(E12:F12)</f>
        <v>336271</v>
      </c>
      <c r="H12" s="1040">
        <v>334445</v>
      </c>
      <c r="I12" s="1039"/>
      <c r="J12" s="1811">
        <f t="shared" ref="J12:J18" si="1">SUM(H12:I12)</f>
        <v>334445</v>
      </c>
    </row>
    <row r="13" spans="1:17" ht="15" customHeight="1" x14ac:dyDescent="0.2">
      <c r="A13" s="1035">
        <v>2</v>
      </c>
      <c r="B13" s="1036" t="s">
        <v>42</v>
      </c>
      <c r="C13" s="1037"/>
      <c r="D13" s="1038">
        <v>2330</v>
      </c>
      <c r="E13" s="1811">
        <f>'Expenditures 15-22'!K51</f>
        <v>1126257</v>
      </c>
      <c r="F13" s="1039"/>
      <c r="G13" s="1811">
        <f t="shared" si="0"/>
        <v>1126257</v>
      </c>
      <c r="H13" s="1040">
        <v>1094685</v>
      </c>
      <c r="I13" s="1039"/>
      <c r="J13" s="1811">
        <f t="shared" si="1"/>
        <v>1094685</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1068</v>
      </c>
      <c r="C15" s="1037"/>
      <c r="D15" s="1038">
        <v>2510</v>
      </c>
      <c r="E15" s="1811">
        <f>'Expenditures 15-22'!K59</f>
        <v>244604</v>
      </c>
      <c r="F15" s="1811">
        <f>'Expenditures 15-22'!K122</f>
        <v>395888</v>
      </c>
      <c r="G15" s="1811">
        <f t="shared" si="0"/>
        <v>640492</v>
      </c>
      <c r="H15" s="1040">
        <v>287623</v>
      </c>
      <c r="I15" s="1040">
        <v>427189</v>
      </c>
      <c r="J15" s="1811">
        <f t="shared" si="1"/>
        <v>714812</v>
      </c>
    </row>
    <row r="16" spans="1:17" ht="15" customHeight="1" x14ac:dyDescent="0.2">
      <c r="A16" s="1035">
        <v>5</v>
      </c>
      <c r="B16" s="1036" t="s">
        <v>101</v>
      </c>
      <c r="C16" s="1037"/>
      <c r="D16" s="1038">
        <v>2570</v>
      </c>
      <c r="E16" s="1811">
        <f>'Expenditures 15-22'!K64</f>
        <v>92473</v>
      </c>
      <c r="F16" s="1039"/>
      <c r="G16" s="1811">
        <f t="shared" si="0"/>
        <v>92473</v>
      </c>
      <c r="H16" s="1040">
        <v>146073</v>
      </c>
      <c r="I16" s="1039"/>
      <c r="J16" s="1811">
        <f t="shared" si="1"/>
        <v>146073</v>
      </c>
    </row>
    <row r="17" spans="1:10" ht="15" customHeight="1" x14ac:dyDescent="0.2">
      <c r="A17" s="1035">
        <v>6</v>
      </c>
      <c r="B17" s="1036" t="s">
        <v>1060</v>
      </c>
      <c r="C17" s="1037"/>
      <c r="D17" s="1038">
        <v>2610</v>
      </c>
      <c r="E17" s="1811">
        <f>'Expenditures 15-22'!K67</f>
        <v>266547</v>
      </c>
      <c r="F17" s="1039"/>
      <c r="G17" s="1811">
        <f t="shared" si="0"/>
        <v>266547</v>
      </c>
      <c r="H17" s="1040">
        <v>79050</v>
      </c>
      <c r="I17" s="1039"/>
      <c r="J17" s="1811">
        <f t="shared" si="1"/>
        <v>79050</v>
      </c>
    </row>
    <row r="18" spans="1:10" ht="22.5" customHeight="1" x14ac:dyDescent="0.2">
      <c r="A18" s="1042">
        <v>7</v>
      </c>
      <c r="B18" s="2397" t="s">
        <v>7</v>
      </c>
      <c r="C18" s="2398"/>
      <c r="D18" s="239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2066152</v>
      </c>
      <c r="F19" s="1813">
        <f t="shared" si="2"/>
        <v>395888</v>
      </c>
      <c r="G19" s="1813">
        <f t="shared" si="2"/>
        <v>2462040</v>
      </c>
      <c r="H19" s="1813">
        <f t="shared" si="2"/>
        <v>1941876</v>
      </c>
      <c r="I19" s="1813">
        <f t="shared" si="2"/>
        <v>427189</v>
      </c>
      <c r="J19" s="1813">
        <f t="shared" si="2"/>
        <v>2369065</v>
      </c>
    </row>
    <row r="20" spans="1:10" ht="13.5" thickTop="1" x14ac:dyDescent="0.2">
      <c r="A20" s="1035">
        <v>9</v>
      </c>
      <c r="B20" s="2400" t="s">
        <v>1976</v>
      </c>
      <c r="C20" s="2400"/>
      <c r="D20" s="2401"/>
      <c r="E20" s="1046"/>
      <c r="F20" s="1046"/>
      <c r="G20" s="1046"/>
      <c r="H20" s="1046"/>
      <c r="I20" s="1046"/>
      <c r="J20" s="1814">
        <f>IF(AND(G19&gt;0,J19&gt;0),(((J19-G19)/G19)),"Enter Budget Data")</f>
        <v>-3.7763399457360562E-2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406"/>
      <c r="D26" s="2406"/>
      <c r="E26" s="1050"/>
      <c r="F26" s="2405"/>
      <c r="G26" s="2405"/>
    </row>
    <row r="27" spans="1:10" x14ac:dyDescent="0.2">
      <c r="B27" s="1047"/>
      <c r="C27" s="1051" t="s">
        <v>1033</v>
      </c>
      <c r="D27" s="1052"/>
      <c r="E27" s="1053"/>
      <c r="F27" s="2402" t="s">
        <v>1509</v>
      </c>
      <c r="G27" s="2402"/>
    </row>
    <row r="28" spans="1:10" ht="28.5" customHeight="1" x14ac:dyDescent="0.2">
      <c r="B28" s="1047"/>
      <c r="C28" s="2404"/>
      <c r="D28" s="2404"/>
      <c r="E28" s="1054"/>
      <c r="F28" s="2404"/>
      <c r="G28" s="2404"/>
    </row>
    <row r="29" spans="1:10" x14ac:dyDescent="0.2">
      <c r="B29" s="1047"/>
      <c r="C29" s="1055" t="s">
        <v>1561</v>
      </c>
      <c r="E29" s="1056"/>
      <c r="F29" s="2403" t="s">
        <v>1510</v>
      </c>
      <c r="G29" s="240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85" t="s">
        <v>132</v>
      </c>
      <c r="D33" s="2386"/>
      <c r="E33" s="2386"/>
      <c r="F33" s="2386"/>
      <c r="G33" s="2386"/>
      <c r="H33" s="2386"/>
      <c r="I33" s="2386"/>
    </row>
    <row r="34" spans="1:10" ht="10.35" customHeight="1" x14ac:dyDescent="0.2">
      <c r="C34" s="2386"/>
      <c r="D34" s="2386"/>
      <c r="E34" s="2386"/>
      <c r="F34" s="2386"/>
      <c r="G34" s="2386"/>
      <c r="H34" s="2386"/>
      <c r="I34" s="2386"/>
    </row>
    <row r="35" spans="1:10" ht="7.5" customHeight="1" x14ac:dyDescent="0.2">
      <c r="C35" s="1062"/>
    </row>
    <row r="36" spans="1:10" ht="13.5" customHeight="1" x14ac:dyDescent="0.2">
      <c r="B36" s="1061"/>
      <c r="C36" s="2387" t="s">
        <v>1978</v>
      </c>
      <c r="D36" s="2386"/>
      <c r="E36" s="2386"/>
      <c r="F36" s="2386"/>
      <c r="G36" s="2386"/>
      <c r="H36" s="2386"/>
      <c r="I36" s="2386"/>
      <c r="J36" s="1063"/>
    </row>
    <row r="37" spans="1:10" ht="22.5" customHeight="1" x14ac:dyDescent="0.2">
      <c r="C37" s="2386"/>
      <c r="D37" s="2386"/>
      <c r="E37" s="2386"/>
      <c r="F37" s="2386"/>
      <c r="G37" s="2386"/>
      <c r="H37" s="2386"/>
      <c r="I37" s="2386"/>
      <c r="J37" s="1063"/>
    </row>
    <row r="38" spans="1:10" ht="7.5" customHeight="1" x14ac:dyDescent="0.2">
      <c r="C38" s="1062"/>
      <c r="D38" s="1064"/>
      <c r="E38" s="1065"/>
      <c r="F38" s="1066"/>
      <c r="G38" s="1065"/>
    </row>
    <row r="39" spans="1:10" ht="13.5" customHeight="1" x14ac:dyDescent="0.2">
      <c r="B39" s="1061"/>
      <c r="C39" s="2383" t="s">
        <v>882</v>
      </c>
      <c r="D39" s="2384"/>
      <c r="E39" s="2384"/>
      <c r="F39" s="2384"/>
      <c r="G39" s="2384"/>
      <c r="H39" s="2384"/>
      <c r="I39" s="238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N15" sqref="N1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2085</v>
      </c>
    </row>
    <row r="6" spans="1:2" x14ac:dyDescent="0.2">
      <c r="A6" s="1068">
        <v>2</v>
      </c>
      <c r="B6" s="329" t="s">
        <v>2086</v>
      </c>
    </row>
    <row r="7" spans="1:2" x14ac:dyDescent="0.2">
      <c r="A7" s="1068">
        <v>3</v>
      </c>
      <c r="B7" s="329" t="s">
        <v>2087</v>
      </c>
    </row>
    <row r="8" spans="1:2" x14ac:dyDescent="0.2">
      <c r="A8" s="1068">
        <v>4</v>
      </c>
      <c r="B8" s="329" t="s">
        <v>2088</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Springfield SD 186</v>
      </c>
    </row>
    <row r="65" spans="2:2" x14ac:dyDescent="0.2">
      <c r="B65" s="1070">
        <f>COVER!A13</f>
        <v>51084186025</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B25" sqref="B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6" t="s">
        <v>1611</v>
      </c>
    </row>
    <row r="23" spans="1:5" x14ac:dyDescent="0.2">
      <c r="A23" s="168"/>
      <c r="B23" s="162" t="s">
        <v>1853</v>
      </c>
      <c r="D23" s="167" t="s">
        <v>637</v>
      </c>
      <c r="E23" s="183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24" t="s">
        <v>1065</v>
      </c>
      <c r="B35" s="2124"/>
      <c r="C35" s="2124"/>
      <c r="D35" s="2124"/>
      <c r="E35" s="212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21" t="s">
        <v>691</v>
      </c>
      <c r="B40" s="2121"/>
      <c r="C40" s="2121"/>
      <c r="D40" s="2121"/>
      <c r="E40" s="2121"/>
    </row>
    <row r="41" spans="1:5" x14ac:dyDescent="0.2">
      <c r="A41" s="2122" t="s">
        <v>1608</v>
      </c>
      <c r="B41" s="2122"/>
      <c r="C41" s="2122"/>
      <c r="D41" s="2122"/>
      <c r="E41" s="2122"/>
    </row>
    <row r="42" spans="1:5" ht="12.75" customHeight="1" x14ac:dyDescent="0.2">
      <c r="A42" s="2123" t="s">
        <v>1022</v>
      </c>
      <c r="B42" s="2123"/>
      <c r="C42" s="2123"/>
      <c r="D42" s="2123"/>
      <c r="E42" s="2123"/>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N15" sqref="N1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zoomScale="110" zoomScaleNormal="110" workbookViewId="0">
      <selection activeCell="A6" sqref="A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407" t="s">
        <v>1685</v>
      </c>
      <c r="B18" s="240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41985" r:id="rId4">
          <objectPr defaultSize="0" autoPict="0" r:id="rId5">
            <anchor moveWithCells="1">
              <from>
                <xdr:col>1</xdr:col>
                <xdr:colOff>981075</xdr:colOff>
                <xdr:row>7</xdr:row>
                <xdr:rowOff>133350</xdr:rowOff>
              </from>
              <to>
                <xdr:col>1</xdr:col>
                <xdr:colOff>1876425</xdr:colOff>
                <xdr:row>11</xdr:row>
                <xdr:rowOff>123825</xdr:rowOff>
              </to>
            </anchor>
          </objectPr>
        </oleObject>
      </mc:Choice>
      <mc:Fallback>
        <oleObject progId="PDF" dvAspect="DVASPECT_ICON" shapeId="41985" r:id="rId4"/>
      </mc:Fallback>
    </mc:AlternateContent>
    <mc:AlternateContent xmlns:mc="http://schemas.openxmlformats.org/markup-compatibility/2006">
      <mc:Choice Requires="x14">
        <oleObject progId="PDF" dvAspect="DVASPECT_ICON" shapeId="41986" r:id="rId6">
          <objectPr defaultSize="0" autoPict="0" r:id="rId7">
            <anchor moveWithCells="1">
              <from>
                <xdr:col>0</xdr:col>
                <xdr:colOff>85725</xdr:colOff>
                <xdr:row>7</xdr:row>
                <xdr:rowOff>133350</xdr:rowOff>
              </from>
              <to>
                <xdr:col>1</xdr:col>
                <xdr:colOff>866775</xdr:colOff>
                <xdr:row>11</xdr:row>
                <xdr:rowOff>123825</xdr:rowOff>
              </to>
            </anchor>
          </objectPr>
        </oleObject>
      </mc:Choice>
      <mc:Fallback>
        <oleObject progId="PDF" dvAspect="DVASPECT_ICON" shapeId="41986" r:id="rId6"/>
      </mc:Fallback>
    </mc:AlternateContent>
    <mc:AlternateContent xmlns:mc="http://schemas.openxmlformats.org/markup-compatibility/2006">
      <mc:Choice Requires="x14">
        <oleObject progId="Acrobat Document" dvAspect="DVASPECT_ICON" shapeId="41987" r:id="rId8">
          <objectPr defaultSize="0" r:id="rId9">
            <anchor moveWithCells="1">
              <from>
                <xdr:col>1</xdr:col>
                <xdr:colOff>38100</xdr:colOff>
                <xdr:row>1</xdr:row>
                <xdr:rowOff>28575</xdr:rowOff>
              </from>
              <to>
                <xdr:col>1</xdr:col>
                <xdr:colOff>952500</xdr:colOff>
                <xdr:row>5</xdr:row>
                <xdr:rowOff>152400</xdr:rowOff>
              </to>
            </anchor>
          </objectPr>
        </oleObject>
      </mc:Choice>
      <mc:Fallback>
        <oleObject progId="Acrobat Document" dvAspect="DVASPECT_ICON" shapeId="41987" r:id="rId8"/>
      </mc:Fallback>
    </mc:AlternateContent>
    <mc:AlternateContent xmlns:mc="http://schemas.openxmlformats.org/markup-compatibility/2006">
      <mc:Choice Requires="x14">
        <oleObject progId="Acrobat Document" dvAspect="DVASPECT_ICON" shapeId="41988" r:id="rId10">
          <objectPr defaultSize="0" r:id="rId11">
            <anchor moveWithCells="1">
              <from>
                <xdr:col>1</xdr:col>
                <xdr:colOff>1095375</xdr:colOff>
                <xdr:row>1</xdr:row>
                <xdr:rowOff>47625</xdr:rowOff>
              </from>
              <to>
                <xdr:col>1</xdr:col>
                <xdr:colOff>2009775</xdr:colOff>
                <xdr:row>6</xdr:row>
                <xdr:rowOff>0</xdr:rowOff>
              </to>
            </anchor>
          </objectPr>
        </oleObject>
      </mc:Choice>
      <mc:Fallback>
        <oleObject progId="Acrobat Document" dvAspect="DVASPECT_ICON" shapeId="41988"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N15" sqref="N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08" t="s">
        <v>1690</v>
      </c>
      <c r="B1" s="2409"/>
      <c r="C1" s="2409"/>
      <c r="D1" s="2409"/>
      <c r="E1" s="2409"/>
      <c r="F1" s="2410"/>
    </row>
    <row r="2" spans="1:8" ht="45" customHeight="1" x14ac:dyDescent="0.2">
      <c r="A2" s="2418" t="s">
        <v>1982</v>
      </c>
      <c r="B2" s="2419"/>
      <c r="C2" s="2419"/>
      <c r="D2" s="2419"/>
      <c r="E2" s="2419"/>
      <c r="F2" s="2420"/>
      <c r="G2" s="1074"/>
      <c r="H2" s="1074"/>
    </row>
    <row r="3" spans="1:8" ht="57" customHeight="1" x14ac:dyDescent="0.2">
      <c r="A3" s="2421" t="s">
        <v>1686</v>
      </c>
      <c r="B3" s="2422"/>
      <c r="C3" s="2422"/>
      <c r="D3" s="2422"/>
      <c r="E3" s="2422"/>
      <c r="F3" s="2423"/>
      <c r="G3" s="1074"/>
      <c r="H3" s="1074"/>
    </row>
    <row r="4" spans="1:8" ht="14.25" customHeight="1" x14ac:dyDescent="0.2">
      <c r="A4" s="2427" t="s">
        <v>1983</v>
      </c>
      <c r="B4" s="2428"/>
      <c r="C4" s="2428"/>
      <c r="D4" s="2428"/>
      <c r="E4" s="2428"/>
      <c r="F4" s="2429"/>
      <c r="G4" s="1074"/>
      <c r="H4" s="1074"/>
    </row>
    <row r="5" spans="1:8" ht="14.25" customHeight="1" x14ac:dyDescent="0.2">
      <c r="A5" s="2430" t="s">
        <v>1979</v>
      </c>
      <c r="B5" s="2431"/>
      <c r="C5" s="2431"/>
      <c r="D5" s="2431"/>
      <c r="E5" s="2431"/>
      <c r="F5" s="2432"/>
      <c r="G5" s="1074"/>
      <c r="H5" s="1074"/>
    </row>
    <row r="6" spans="1:8" s="1075" customFormat="1" ht="41.25" customHeight="1" x14ac:dyDescent="0.2">
      <c r="A6" s="2424" t="s">
        <v>1691</v>
      </c>
      <c r="B6" s="2425"/>
      <c r="C6" s="2425"/>
      <c r="D6" s="2425"/>
      <c r="E6" s="2425"/>
      <c r="F6" s="242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161100452</v>
      </c>
      <c r="C8" s="1815">
        <f>'Acct Summary 7-8'!D8</f>
        <v>15520701</v>
      </c>
      <c r="D8" s="1815">
        <f>'Acct Summary 7-8'!F8</f>
        <v>13183865</v>
      </c>
      <c r="E8" s="1815">
        <f>'Acct Summary 7-8'!I8</f>
        <v>32</v>
      </c>
      <c r="F8" s="1815">
        <f>SUM(B8:E8)</f>
        <v>189805050</v>
      </c>
    </row>
    <row r="9" spans="1:8" s="1079" customFormat="1" ht="14.25" customHeight="1" thickBot="1" x14ac:dyDescent="0.25">
      <c r="A9" s="1078" t="s">
        <v>1369</v>
      </c>
      <c r="B9" s="1816">
        <f>'Acct Summary 7-8'!C17</f>
        <v>157743564</v>
      </c>
      <c r="C9" s="1816">
        <f>'Acct Summary 7-8'!D17</f>
        <v>14965966</v>
      </c>
      <c r="D9" s="1816">
        <f>'Acct Summary 7-8'!F17</f>
        <v>11504828</v>
      </c>
      <c r="E9" s="1815"/>
      <c r="F9" s="1815">
        <f>SUM(B9:E9)</f>
        <v>184214358</v>
      </c>
    </row>
    <row r="10" spans="1:8" s="1079" customFormat="1" ht="14.25" thickTop="1" thickBot="1" x14ac:dyDescent="0.25">
      <c r="A10" s="1080" t="s">
        <v>1370</v>
      </c>
      <c r="B10" s="1817">
        <f>(B8-B9)</f>
        <v>3356888</v>
      </c>
      <c r="C10" s="1817">
        <f>(C8-C9)</f>
        <v>554735</v>
      </c>
      <c r="D10" s="1817">
        <f>(D8-D9)</f>
        <v>1679037</v>
      </c>
      <c r="E10" s="1816">
        <f>(E8-E9)</f>
        <v>32</v>
      </c>
      <c r="F10" s="1818">
        <f>SUM(F8-F9)</f>
        <v>5590692</v>
      </c>
    </row>
    <row r="11" spans="1:8" s="1079" customFormat="1" ht="14.25" thickTop="1" thickBot="1" x14ac:dyDescent="0.25">
      <c r="A11" s="1081" t="s">
        <v>1980</v>
      </c>
      <c r="B11" s="1819">
        <f>'Acct Summary 7-8'!C81</f>
        <v>16547281</v>
      </c>
      <c r="C11" s="1819">
        <f>'Acct Summary 7-8'!D81</f>
        <v>2114675</v>
      </c>
      <c r="D11" s="1819">
        <f>'Acct Summary 7-8'!F81</f>
        <v>2547497</v>
      </c>
      <c r="E11" s="1819">
        <f>'Acct Summary 7-8'!I81</f>
        <v>15551384</v>
      </c>
      <c r="F11" s="1820">
        <f>SUM(B11:E11)</f>
        <v>36760837</v>
      </c>
    </row>
    <row r="12" spans="1:8" ht="16.5" customHeight="1" thickTop="1" x14ac:dyDescent="0.2">
      <c r="A12" s="1082"/>
      <c r="B12" s="1083"/>
      <c r="C12" s="2412" t="str">
        <f>IF(AND(F10&lt;0,F11&gt;=0,ABS(F10*3)&gt;ABS(F11)),A16,IF(AND(F10&lt;0,F11&gt;0,ABS(F10*3)&lt;=ABS(F11)),A17,IF(AND(F10&lt;0,F11&lt;0),A16,IF(F11=0,A19,A18))))</f>
        <v>Balanced - no deficit reduction plan is required.</v>
      </c>
      <c r="D12" s="2413"/>
      <c r="E12" s="2413"/>
      <c r="F12" s="2414"/>
    </row>
    <row r="13" spans="1:8" ht="19.5" customHeight="1" x14ac:dyDescent="0.2">
      <c r="A13" s="1084"/>
      <c r="B13" s="1085"/>
      <c r="C13" s="2412"/>
      <c r="D13" s="2413"/>
      <c r="E13" s="2413"/>
      <c r="F13" s="2414"/>
      <c r="H13" s="1074"/>
    </row>
    <row r="14" spans="1:8" ht="19.5" customHeight="1" x14ac:dyDescent="0.2">
      <c r="A14" s="1084"/>
      <c r="B14" s="1085"/>
      <c r="C14" s="2412"/>
      <c r="D14" s="2413"/>
      <c r="E14" s="2413"/>
      <c r="F14" s="2414"/>
      <c r="H14" s="1074"/>
    </row>
    <row r="15" spans="1:8" ht="17.25" customHeight="1" x14ac:dyDescent="0.2">
      <c r="A15" s="1084"/>
      <c r="B15" s="1085"/>
      <c r="C15" s="2415"/>
      <c r="D15" s="2416"/>
      <c r="E15" s="2416"/>
      <c r="F15" s="2417"/>
      <c r="H15" s="1074"/>
    </row>
    <row r="16" spans="1:8" s="310" customFormat="1" ht="51.75" hidden="1" customHeight="1" x14ac:dyDescent="0.2">
      <c r="A16" s="2411" t="s">
        <v>1687</v>
      </c>
      <c r="B16" s="2411"/>
      <c r="C16" s="2411"/>
      <c r="D16" s="2411"/>
      <c r="E16" s="241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Q73" sqref="Q7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433" t="s">
        <v>665</v>
      </c>
      <c r="B3" s="2434"/>
      <c r="C3" s="2434"/>
      <c r="D3" s="2435"/>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444" t="s">
        <v>1504</v>
      </c>
      <c r="D7" s="2445"/>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436" t="s">
        <v>1008</v>
      </c>
      <c r="B15" s="2437"/>
      <c r="C15" s="2437"/>
      <c r="D15" s="2438"/>
    </row>
    <row r="16" spans="1:4" s="668" customFormat="1" ht="24" customHeight="1" x14ac:dyDescent="0.2">
      <c r="A16" s="2439" t="s">
        <v>663</v>
      </c>
      <c r="B16" s="2440"/>
      <c r="C16" s="2440"/>
      <c r="D16" s="244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448" t="s">
        <v>314</v>
      </c>
      <c r="D21" s="2449"/>
    </row>
    <row r="22" spans="1:10" ht="12.75" x14ac:dyDescent="0.2">
      <c r="A22" s="1139"/>
      <c r="B22" s="1140">
        <v>2</v>
      </c>
      <c r="C22" s="2446" t="s">
        <v>1524</v>
      </c>
      <c r="D22" s="2447"/>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450" t="s">
        <v>536</v>
      </c>
      <c r="D43" s="245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442" t="s">
        <v>784</v>
      </c>
      <c r="D56" s="244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442" t="s">
        <v>1696</v>
      </c>
      <c r="D70" s="244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51084186025</v>
      </c>
    </row>
    <row r="3" spans="1:2" x14ac:dyDescent="0.2">
      <c r="A3" t="s">
        <v>956</v>
      </c>
      <c r="B3" s="138" t="str">
        <f>COVER!A15</f>
        <v>Sangamon</v>
      </c>
    </row>
    <row r="4" spans="1:2" x14ac:dyDescent="0.2">
      <c r="A4" t="s">
        <v>1007</v>
      </c>
      <c r="B4" s="138" t="str">
        <f>COVER!A17</f>
        <v>Springfield SD 186</v>
      </c>
    </row>
    <row r="5" spans="1:2" x14ac:dyDescent="0.2">
      <c r="A5" t="s">
        <v>704</v>
      </c>
      <c r="B5" s="138" t="str">
        <f>COVER!A38</f>
        <v>Jennifer Gill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f>COVER!T23</f>
        <v>0</v>
      </c>
    </row>
    <row r="16" spans="1:2" x14ac:dyDescent="0.2">
      <c r="A16" t="s">
        <v>422</v>
      </c>
      <c r="B16" s="138" t="str">
        <f>COVER!T13</f>
        <v>RSM US LLP</v>
      </c>
    </row>
    <row r="17" spans="1:2" x14ac:dyDescent="0.2">
      <c r="A17" t="s">
        <v>884</v>
      </c>
      <c r="B17" s="138" t="str">
        <f>COVER!T15</f>
        <v>Katie Barry</v>
      </c>
    </row>
    <row r="18" spans="1:2" x14ac:dyDescent="0.2">
      <c r="A18" t="s">
        <v>1150</v>
      </c>
      <c r="B18" s="138" t="str">
        <f>COVER!T17</f>
        <v>1 South Wacker Drive, Suite 800</v>
      </c>
    </row>
    <row r="19" spans="1:2" x14ac:dyDescent="0.2">
      <c r="A19" t="s">
        <v>886</v>
      </c>
      <c r="B19" s="138" t="str">
        <f>COVER!T25</f>
        <v>katie.barry@rsmus.com</v>
      </c>
    </row>
    <row r="20" spans="1:2" x14ac:dyDescent="0.2">
      <c r="A20" t="s">
        <v>887</v>
      </c>
      <c r="B20" s="138" t="str">
        <f>COVER!T19</f>
        <v>Chicago</v>
      </c>
    </row>
    <row r="21" spans="1:2" x14ac:dyDescent="0.2">
      <c r="A21" t="s">
        <v>479</v>
      </c>
      <c r="B21" s="138" t="str">
        <f>COVER!X19</f>
        <v>IL</v>
      </c>
    </row>
    <row r="22" spans="1:2" x14ac:dyDescent="0.2">
      <c r="A22" t="s">
        <v>888</v>
      </c>
      <c r="B22" s="138">
        <f>COVER!Z19</f>
        <v>60606</v>
      </c>
    </row>
    <row r="23" spans="1:2" x14ac:dyDescent="0.2">
      <c r="A23" t="s">
        <v>1152</v>
      </c>
      <c r="B23" s="138" t="str">
        <f>COVER!T21</f>
        <v>312.634.4415</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35374</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34489186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476102</v>
      </c>
      <c r="D72" s="2" t="str">
        <f t="shared" si="0"/>
        <v>Error?</v>
      </c>
    </row>
    <row r="73" spans="1:4" x14ac:dyDescent="0.2">
      <c r="A73" s="5">
        <v>12</v>
      </c>
      <c r="B73" s="138">
        <f>'Assets-Liab 5-6'!C5</f>
        <v>34133886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79410082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37537155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62862801</v>
      </c>
      <c r="C91" s="2" t="s">
        <v>573</v>
      </c>
      <c r="D91" s="2" t="str">
        <f t="shared" si="0"/>
        <v>Error?</v>
      </c>
    </row>
    <row r="92" spans="1:4" x14ac:dyDescent="0.2">
      <c r="A92" s="5">
        <v>31</v>
      </c>
      <c r="B92" s="138">
        <f>'Assets-Liab 5-6'!C39</f>
        <v>16547281</v>
      </c>
      <c r="D92" s="2" t="str">
        <f t="shared" si="0"/>
        <v>Error?</v>
      </c>
    </row>
    <row r="93" spans="1:4" x14ac:dyDescent="0.2">
      <c r="A93" s="5">
        <v>32</v>
      </c>
      <c r="B93" s="138">
        <f>'Assets-Liab 5-6'!C41</f>
        <v>79410082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6817126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5729333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13097130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7018689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10982455</v>
      </c>
      <c r="C122" s="2" t="s">
        <v>573</v>
      </c>
      <c r="D122" s="2" t="str">
        <f t="shared" si="0"/>
        <v>Error?</v>
      </c>
    </row>
    <row r="123" spans="1:4" x14ac:dyDescent="0.2">
      <c r="A123" s="5">
        <v>62</v>
      </c>
      <c r="B123" s="138">
        <f>'Assets-Liab 5-6'!D39</f>
        <v>2114675</v>
      </c>
      <c r="D123" s="2" t="str">
        <f t="shared" si="0"/>
        <v>Error?</v>
      </c>
    </row>
    <row r="124" spans="1:4" x14ac:dyDescent="0.2">
      <c r="A124" s="5">
        <v>63</v>
      </c>
      <c r="B124" s="138">
        <f>'Assets-Liab 5-6'!D41</f>
        <v>13097130</v>
      </c>
      <c r="C124" s="2" t="s">
        <v>573</v>
      </c>
      <c r="D124" s="2" t="str">
        <f t="shared" si="0"/>
        <v>Error?</v>
      </c>
    </row>
    <row r="125" spans="1:4" x14ac:dyDescent="0.2">
      <c r="A125" s="10">
        <v>64</v>
      </c>
      <c r="D125" s="2" t="str">
        <f t="shared" si="0"/>
        <v>OK</v>
      </c>
    </row>
    <row r="126" spans="1:4" x14ac:dyDescent="0.2">
      <c r="A126" s="5">
        <v>65</v>
      </c>
      <c r="B126" s="138">
        <f>'Assets-Liab 5-6'!E6</f>
        <v>3874127</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8644047</v>
      </c>
      <c r="D129" s="2" t="str">
        <f t="shared" si="1"/>
        <v>Error?</v>
      </c>
    </row>
    <row r="130" spans="1:4" x14ac:dyDescent="0.2">
      <c r="A130" s="5">
        <v>69</v>
      </c>
      <c r="B130" s="138">
        <f>'Assets-Liab 5-6'!E12</f>
        <v>0</v>
      </c>
      <c r="D130" s="2" t="str">
        <f t="shared" si="1"/>
        <v>Error?</v>
      </c>
    </row>
    <row r="131" spans="1:4" x14ac:dyDescent="0.2">
      <c r="A131" s="5">
        <v>70</v>
      </c>
      <c r="B131" s="138">
        <f>'Assets-Liab 5-6'!E13</f>
        <v>12518174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3988675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3988675</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12518174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2570940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4245661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14766241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9069761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12218744</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14766241</v>
      </c>
      <c r="C171" s="2" t="s">
        <v>573</v>
      </c>
      <c r="D171" s="2" t="str">
        <f t="shared" si="1"/>
        <v>Error?</v>
      </c>
    </row>
    <row r="172" spans="1:4" x14ac:dyDescent="0.2">
      <c r="A172" s="10">
        <v>111</v>
      </c>
      <c r="D172" s="2" t="str">
        <f t="shared" si="1"/>
        <v>OK</v>
      </c>
    </row>
    <row r="173" spans="1:4" x14ac:dyDescent="0.2">
      <c r="A173" s="5">
        <v>112</v>
      </c>
      <c r="B173" s="138">
        <f>'Assets-Liab 5-6'!G6</f>
        <v>2767796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2908728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5676524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2849633</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5653695</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5676524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1719381</v>
      </c>
      <c r="D273" s="2" t="str">
        <f t="shared" si="3"/>
        <v>Error?</v>
      </c>
    </row>
    <row r="274" spans="1:4" x14ac:dyDescent="0.2">
      <c r="A274" s="5">
        <v>213</v>
      </c>
      <c r="B274" s="138">
        <f>'Assets-Liab 5-6'!M17</f>
        <v>90269267</v>
      </c>
      <c r="D274" s="2" t="str">
        <f t="shared" si="3"/>
        <v>Error?</v>
      </c>
    </row>
    <row r="275" spans="1:4" x14ac:dyDescent="0.2">
      <c r="A275" s="5">
        <v>214</v>
      </c>
      <c r="B275" s="138">
        <f>'Assets-Liab 5-6'!M18</f>
        <v>714502</v>
      </c>
      <c r="D275" s="2" t="str">
        <f t="shared" si="3"/>
        <v>Error?</v>
      </c>
    </row>
    <row r="276" spans="1:4" x14ac:dyDescent="0.2">
      <c r="A276" s="5">
        <v>215</v>
      </c>
      <c r="B276" s="138">
        <f>'Assets-Liab 5-6'!M19</f>
        <v>1843223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94993609</v>
      </c>
      <c r="C279" s="2" t="s">
        <v>573</v>
      </c>
      <c r="D279" s="2" t="str">
        <f t="shared" si="3"/>
        <v>Error?</v>
      </c>
    </row>
    <row r="280" spans="1:4" x14ac:dyDescent="0.2">
      <c r="A280" s="5">
        <v>219</v>
      </c>
      <c r="B280" s="138">
        <f>'Assets-Liab 5-6'!M40</f>
        <v>94993609</v>
      </c>
      <c r="D280" s="2" t="str">
        <f t="shared" si="3"/>
        <v>Error?</v>
      </c>
    </row>
    <row r="281" spans="1:4" x14ac:dyDescent="0.2">
      <c r="A281" s="5">
        <v>220</v>
      </c>
      <c r="B281" s="138">
        <f>'Assets-Liab 5-6'!M41</f>
        <v>94993609</v>
      </c>
      <c r="C281" s="2" t="s">
        <v>573</v>
      </c>
      <c r="D281" s="2" t="str">
        <f t="shared" si="3"/>
        <v>Error?</v>
      </c>
    </row>
    <row r="282" spans="1:4" x14ac:dyDescent="0.2">
      <c r="A282" s="5">
        <v>221</v>
      </c>
      <c r="B282" s="138">
        <f>'Assets-Liab 5-6'!N21</f>
        <v>10580000</v>
      </c>
      <c r="D282" s="2" t="str">
        <f t="shared" si="3"/>
        <v>Error?</v>
      </c>
    </row>
    <row r="283" spans="1:4" x14ac:dyDescent="0.2">
      <c r="A283" s="5">
        <v>222</v>
      </c>
      <c r="B283" s="138">
        <f>'Assets-Liab 5-6'!N22</f>
        <v>39095000</v>
      </c>
      <c r="D283" s="2" t="str">
        <f t="shared" si="3"/>
        <v>Error?</v>
      </c>
    </row>
    <row r="284" spans="1:4" x14ac:dyDescent="0.2">
      <c r="A284" s="5">
        <v>223</v>
      </c>
      <c r="B284" s="138">
        <f>'Assets-Liab 5-6'!N23</f>
        <v>49675000</v>
      </c>
      <c r="C284" s="2" t="s">
        <v>573</v>
      </c>
      <c r="D284" s="2" t="str">
        <f t="shared" si="3"/>
        <v>Error?</v>
      </c>
    </row>
    <row r="285" spans="1:4" x14ac:dyDescent="0.2">
      <c r="A285" s="5">
        <v>224</v>
      </c>
      <c r="B285" s="138">
        <f>'Assets-Liab 5-6'!N36</f>
        <v>49675000</v>
      </c>
      <c r="D285" s="2" t="str">
        <f t="shared" si="3"/>
        <v>Error?</v>
      </c>
    </row>
    <row r="286" spans="1:4" x14ac:dyDescent="0.2">
      <c r="A286" s="10">
        <v>225</v>
      </c>
      <c r="D286" s="2" t="str">
        <f t="shared" si="3"/>
        <v>OK</v>
      </c>
    </row>
    <row r="287" spans="1:4" x14ac:dyDescent="0.2">
      <c r="A287" s="5">
        <v>226</v>
      </c>
      <c r="B287" s="138">
        <f>'Assets-Liab 5-6'!N37</f>
        <v>49675000</v>
      </c>
      <c r="C287" s="2" t="s">
        <v>573</v>
      </c>
      <c r="D287" s="2" t="str">
        <f t="shared" si="3"/>
        <v>Error?</v>
      </c>
    </row>
    <row r="288" spans="1:4" x14ac:dyDescent="0.2">
      <c r="A288" s="5">
        <v>227</v>
      </c>
      <c r="B288" s="138">
        <f>'Assets-Liab 5-6'!N41</f>
        <v>49675000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44480181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12786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271740</v>
      </c>
      <c r="D716" s="2" t="str">
        <f t="shared" si="10"/>
        <v>Error?</v>
      </c>
    </row>
    <row r="717" spans="1:4" x14ac:dyDescent="0.2">
      <c r="A717" s="5">
        <v>656</v>
      </c>
      <c r="B717" s="138">
        <f>'Expenditures 15-22'!C13</f>
        <v>807421</v>
      </c>
      <c r="D717" s="2" t="str">
        <f t="shared" si="10"/>
        <v>Error?</v>
      </c>
    </row>
    <row r="718" spans="1:4" x14ac:dyDescent="0.2">
      <c r="A718" s="5">
        <v>657</v>
      </c>
      <c r="B718" s="138">
        <f>'Expenditures 15-22'!C14</f>
        <v>795327</v>
      </c>
      <c r="D718" s="2" t="str">
        <f t="shared" si="10"/>
        <v>Error?</v>
      </c>
    </row>
    <row r="719" spans="1:4" x14ac:dyDescent="0.2">
      <c r="A719" s="5">
        <v>658</v>
      </c>
      <c r="B719" s="138">
        <f>'Expenditures 15-22'!C15</f>
        <v>34500</v>
      </c>
      <c r="D719" s="2" t="str">
        <f t="shared" si="10"/>
        <v>Error?</v>
      </c>
    </row>
    <row r="720" spans="1:4" x14ac:dyDescent="0.2">
      <c r="A720" s="5">
        <v>659</v>
      </c>
      <c r="B720" s="138">
        <f>'Expenditures 15-22'!C33</f>
        <v>72612650</v>
      </c>
      <c r="C720" s="2" t="s">
        <v>573</v>
      </c>
      <c r="D720" s="2" t="str">
        <f t="shared" si="10"/>
        <v>Error?</v>
      </c>
    </row>
    <row r="721" spans="1:4" x14ac:dyDescent="0.2">
      <c r="A721" s="5">
        <v>660</v>
      </c>
      <c r="B721" s="138">
        <f>'Expenditures 15-22'!C36</f>
        <v>3072401</v>
      </c>
      <c r="D721" s="2" t="str">
        <f t="shared" si="10"/>
        <v>Error?</v>
      </c>
    </row>
    <row r="722" spans="1:4" x14ac:dyDescent="0.2">
      <c r="A722" s="5">
        <v>661</v>
      </c>
      <c r="B722" s="138">
        <f>'Expenditures 15-22'!C37</f>
        <v>1627126</v>
      </c>
      <c r="D722" s="2" t="str">
        <f t="shared" si="10"/>
        <v>Error?</v>
      </c>
    </row>
    <row r="723" spans="1:4" x14ac:dyDescent="0.2">
      <c r="A723" s="5">
        <v>662</v>
      </c>
      <c r="B723" s="138">
        <f>'Expenditures 15-22'!C38</f>
        <v>1702879</v>
      </c>
      <c r="D723" s="2" t="str">
        <f t="shared" si="10"/>
        <v>Error?</v>
      </c>
    </row>
    <row r="724" spans="1:4" x14ac:dyDescent="0.2">
      <c r="A724" s="5">
        <v>663</v>
      </c>
      <c r="B724" s="138">
        <f>'Expenditures 15-22'!C39</f>
        <v>1131201</v>
      </c>
      <c r="D724" s="2" t="str">
        <f t="shared" si="10"/>
        <v>Error?</v>
      </c>
    </row>
    <row r="725" spans="1:4" x14ac:dyDescent="0.2">
      <c r="A725" s="5">
        <v>664</v>
      </c>
      <c r="B725" s="138">
        <f>'Expenditures 15-22'!C40</f>
        <v>3084098</v>
      </c>
      <c r="D725" s="2" t="str">
        <f t="shared" si="10"/>
        <v>Error?</v>
      </c>
    </row>
    <row r="726" spans="1:4" x14ac:dyDescent="0.2">
      <c r="A726" s="5">
        <v>665</v>
      </c>
      <c r="B726" s="138">
        <f>'Expenditures 15-22'!C41</f>
        <v>297389</v>
      </c>
      <c r="D726" s="2" t="str">
        <f t="shared" si="10"/>
        <v>Error?</v>
      </c>
    </row>
    <row r="727" spans="1:4" x14ac:dyDescent="0.2">
      <c r="A727" s="5">
        <v>666</v>
      </c>
      <c r="B727" s="138">
        <f>'Expenditures 15-22'!C42</f>
        <v>10915094</v>
      </c>
      <c r="C727" s="2" t="s">
        <v>573</v>
      </c>
      <c r="D727" s="2" t="str">
        <f t="shared" si="10"/>
        <v>Error?</v>
      </c>
    </row>
    <row r="728" spans="1:4" x14ac:dyDescent="0.2">
      <c r="A728" s="5">
        <v>667</v>
      </c>
      <c r="B728" s="138">
        <f>'Expenditures 15-22'!C44</f>
        <v>3449163</v>
      </c>
      <c r="D728" s="2" t="str">
        <f t="shared" si="10"/>
        <v>Error?</v>
      </c>
    </row>
    <row r="729" spans="1:4" x14ac:dyDescent="0.2">
      <c r="A729" s="5">
        <v>668</v>
      </c>
      <c r="B729" s="138">
        <f>'Expenditures 15-22'!C45</f>
        <v>702175</v>
      </c>
      <c r="D729" s="2" t="str">
        <f t="shared" si="10"/>
        <v>Error?</v>
      </c>
    </row>
    <row r="730" spans="1:4" x14ac:dyDescent="0.2">
      <c r="A730" s="5">
        <v>669</v>
      </c>
      <c r="B730" s="138">
        <f>'Expenditures 15-22'!C46</f>
        <v>50280</v>
      </c>
      <c r="D730" s="2" t="str">
        <f t="shared" si="10"/>
        <v>Error?</v>
      </c>
    </row>
    <row r="731" spans="1:4" x14ac:dyDescent="0.2">
      <c r="A731" s="5">
        <v>670</v>
      </c>
      <c r="B731" s="138">
        <f>'Expenditures 15-22'!C47</f>
        <v>4201618</v>
      </c>
      <c r="C731" s="2" t="s">
        <v>573</v>
      </c>
      <c r="D731" s="2" t="str">
        <f t="shared" si="10"/>
        <v>Error?</v>
      </c>
    </row>
    <row r="732" spans="1:4" x14ac:dyDescent="0.2">
      <c r="A732" s="5">
        <v>671</v>
      </c>
      <c r="B732" s="138">
        <f>'Expenditures 15-22'!C49</f>
        <v>66860</v>
      </c>
      <c r="D732" s="2" t="str">
        <f t="shared" si="10"/>
        <v>Error?</v>
      </c>
    </row>
    <row r="733" spans="1:4" x14ac:dyDescent="0.2">
      <c r="A733" s="5">
        <v>672</v>
      </c>
      <c r="B733" s="138">
        <f>'Expenditures 15-22'!C50</f>
        <v>277819</v>
      </c>
      <c r="D733" s="2" t="str">
        <f t="shared" si="10"/>
        <v>Error?</v>
      </c>
    </row>
    <row r="734" spans="1:4" x14ac:dyDescent="0.2">
      <c r="A734" s="5">
        <v>673</v>
      </c>
      <c r="B734" s="138">
        <f>'Expenditures 15-22'!C53</f>
        <v>1176891</v>
      </c>
      <c r="C734" s="2" t="s">
        <v>573</v>
      </c>
      <c r="D734" s="2" t="str">
        <f t="shared" si="10"/>
        <v>Error?</v>
      </c>
    </row>
    <row r="735" spans="1:4" x14ac:dyDescent="0.2">
      <c r="A735" s="5">
        <v>674</v>
      </c>
      <c r="B735" s="138">
        <f>'Expenditures 15-22'!C55</f>
        <v>8007098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8007098</v>
      </c>
      <c r="C737" s="2" t="s">
        <v>573</v>
      </c>
      <c r="D737" s="2" t="str">
        <f t="shared" si="10"/>
        <v>Error?</v>
      </c>
    </row>
    <row r="738" spans="1:4" x14ac:dyDescent="0.2">
      <c r="A738" s="5">
        <v>677</v>
      </c>
      <c r="B738" s="138">
        <f>'Expenditures 15-22'!C59</f>
        <v>164747</v>
      </c>
      <c r="D738" s="2" t="str">
        <f t="shared" si="10"/>
        <v>Error?</v>
      </c>
    </row>
    <row r="739" spans="1:4" x14ac:dyDescent="0.2">
      <c r="A739" s="5">
        <v>678</v>
      </c>
      <c r="B739" s="138">
        <f>'Expenditures 15-22'!C60</f>
        <v>572930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3620203</v>
      </c>
      <c r="D742" s="2" t="str">
        <f t="shared" si="10"/>
        <v>Error?</v>
      </c>
    </row>
    <row r="743" spans="1:4" x14ac:dyDescent="0.2">
      <c r="A743" s="5">
        <v>682</v>
      </c>
      <c r="B743" s="138">
        <f>'Expenditures 15-22'!C64</f>
        <v>78610</v>
      </c>
      <c r="D743" s="2" t="str">
        <f t="shared" si="10"/>
        <v>Error?</v>
      </c>
    </row>
    <row r="744" spans="1:4" x14ac:dyDescent="0.2">
      <c r="A744" s="10">
        <v>683</v>
      </c>
      <c r="D744" s="2" t="str">
        <f t="shared" si="10"/>
        <v>OK</v>
      </c>
    </row>
    <row r="745" spans="1:4" x14ac:dyDescent="0.2">
      <c r="A745" s="5">
        <v>684</v>
      </c>
      <c r="B745" s="138">
        <f>'Expenditures 15-22'!C65</f>
        <v>4436490</v>
      </c>
      <c r="C745" s="2" t="s">
        <v>573</v>
      </c>
      <c r="D745" s="2" t="str">
        <f t="shared" si="10"/>
        <v>Error?</v>
      </c>
    </row>
    <row r="746" spans="1:4" x14ac:dyDescent="0.2">
      <c r="A746" s="5">
        <v>685</v>
      </c>
      <c r="B746" s="138">
        <f>'Expenditures 15-22'!C67</f>
        <v>11962</v>
      </c>
      <c r="D746" s="2" t="str">
        <f t="shared" si="10"/>
        <v>Error?</v>
      </c>
    </row>
    <row r="747" spans="1:4" x14ac:dyDescent="0.2">
      <c r="A747" s="5">
        <v>686</v>
      </c>
      <c r="B747" s="138">
        <f>'Expenditures 15-22'!C68</f>
        <v>25730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599631</v>
      </c>
      <c r="D749" s="2" t="str">
        <f t="shared" si="10"/>
        <v>Error?</v>
      </c>
    </row>
    <row r="750" spans="1:4" x14ac:dyDescent="0.2">
      <c r="A750" s="10">
        <v>689</v>
      </c>
      <c r="D750" s="2" t="str">
        <f t="shared" si="10"/>
        <v>OK</v>
      </c>
    </row>
    <row r="751" spans="1:4" x14ac:dyDescent="0.2">
      <c r="A751" s="5">
        <v>690</v>
      </c>
      <c r="B751" s="138">
        <f>'Expenditures 15-22'!C71</f>
        <v>804051</v>
      </c>
      <c r="D751" s="2" t="str">
        <f t="shared" si="10"/>
        <v>Error?</v>
      </c>
    </row>
    <row r="752" spans="1:4" x14ac:dyDescent="0.2">
      <c r="A752" s="10">
        <v>691</v>
      </c>
      <c r="D752" s="2" t="str">
        <f t="shared" si="10"/>
        <v>OK</v>
      </c>
    </row>
    <row r="753" spans="1:4" x14ac:dyDescent="0.2">
      <c r="A753" s="5">
        <v>692</v>
      </c>
      <c r="B753" s="138">
        <f>'Expenditures 15-22'!C72</f>
        <v>1441374</v>
      </c>
      <c r="C753" s="2" t="s">
        <v>573</v>
      </c>
      <c r="D753" s="2" t="str">
        <f t="shared" si="10"/>
        <v>Error?</v>
      </c>
    </row>
    <row r="754" spans="1:4" x14ac:dyDescent="0.2">
      <c r="A754" s="5">
        <v>693</v>
      </c>
      <c r="B754" s="138">
        <f>'Expenditures 15-22'!C73</f>
        <v>93642</v>
      </c>
      <c r="D754" s="2" t="str">
        <f t="shared" si="10"/>
        <v>Error?</v>
      </c>
    </row>
    <row r="755" spans="1:4" x14ac:dyDescent="0.2">
      <c r="A755" s="5">
        <v>694</v>
      </c>
      <c r="B755" s="138">
        <f>'Expenditures 15-22'!C74</f>
        <v>30272207</v>
      </c>
      <c r="C755" s="2" t="s">
        <v>573</v>
      </c>
      <c r="D755" s="2" t="str">
        <f t="shared" si="10"/>
        <v>Error?</v>
      </c>
    </row>
    <row r="756" spans="1:4" x14ac:dyDescent="0.2">
      <c r="A756" s="5">
        <v>695</v>
      </c>
      <c r="B756" s="138">
        <f>'Expenditures 15-22'!C75</f>
        <v>3040990</v>
      </c>
      <c r="D756" s="2" t="str">
        <f t="shared" si="10"/>
        <v>Error?</v>
      </c>
    </row>
    <row r="757" spans="1:4" x14ac:dyDescent="0.2">
      <c r="A757" s="5">
        <v>696</v>
      </c>
      <c r="B757" s="138">
        <f>'Expenditures 15-22'!C114</f>
        <v>105925847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10978827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1644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75923</v>
      </c>
      <c r="D774" s="2" t="str">
        <f t="shared" si="11"/>
        <v>Error?</v>
      </c>
    </row>
    <row r="775" spans="1:4" x14ac:dyDescent="0.2">
      <c r="A775" s="5">
        <v>714</v>
      </c>
      <c r="B775" s="138">
        <f>'Expenditures 15-22'!D13</f>
        <v>197468</v>
      </c>
      <c r="D775" s="2" t="str">
        <f t="shared" si="11"/>
        <v>Error?</v>
      </c>
    </row>
    <row r="776" spans="1:4" x14ac:dyDescent="0.2">
      <c r="A776" s="5">
        <v>715</v>
      </c>
      <c r="B776" s="138">
        <f>'Expenditures 15-22'!D14</f>
        <v>24898</v>
      </c>
      <c r="D776" s="2" t="str">
        <f t="shared" si="11"/>
        <v>Error?</v>
      </c>
    </row>
    <row r="777" spans="1:4" x14ac:dyDescent="0.2">
      <c r="A777" s="5">
        <v>716</v>
      </c>
      <c r="B777" s="138">
        <f>'Expenditures 15-22'!D15</f>
        <v>4526</v>
      </c>
      <c r="D777" s="2" t="str">
        <f t="shared" si="11"/>
        <v>Error?</v>
      </c>
    </row>
    <row r="778" spans="1:4" x14ac:dyDescent="0.2">
      <c r="A778" s="5">
        <v>717</v>
      </c>
      <c r="B778" s="138">
        <f>'Expenditures 15-22'!D33</f>
        <v>18971279</v>
      </c>
      <c r="C778" s="2" t="s">
        <v>573</v>
      </c>
      <c r="D778" s="2" t="str">
        <f t="shared" si="11"/>
        <v>Error?</v>
      </c>
    </row>
    <row r="779" spans="1:4" x14ac:dyDescent="0.2">
      <c r="A779" s="5">
        <v>718</v>
      </c>
      <c r="B779" s="138">
        <f>'Expenditures 15-22'!D36</f>
        <v>768792</v>
      </c>
      <c r="D779" s="2" t="str">
        <f t="shared" si="11"/>
        <v>Error?</v>
      </c>
    </row>
    <row r="780" spans="1:4" x14ac:dyDescent="0.2">
      <c r="A780" s="5">
        <v>719</v>
      </c>
      <c r="B780" s="138">
        <f>'Expenditures 15-22'!D37</f>
        <v>340473</v>
      </c>
      <c r="D780" s="2" t="str">
        <f t="shared" si="11"/>
        <v>Error?</v>
      </c>
    </row>
    <row r="781" spans="1:4" x14ac:dyDescent="0.2">
      <c r="A781" s="5">
        <v>720</v>
      </c>
      <c r="B781" s="138">
        <f>'Expenditures 15-22'!D38</f>
        <v>335542</v>
      </c>
      <c r="D781" s="2" t="str">
        <f t="shared" si="11"/>
        <v>Error?</v>
      </c>
    </row>
    <row r="782" spans="1:4" x14ac:dyDescent="0.2">
      <c r="A782" s="5">
        <v>721</v>
      </c>
      <c r="B782" s="138">
        <f>'Expenditures 15-22'!D39</f>
        <v>251365</v>
      </c>
      <c r="D782" s="2" t="str">
        <f t="shared" si="11"/>
        <v>Error?</v>
      </c>
    </row>
    <row r="783" spans="1:4" x14ac:dyDescent="0.2">
      <c r="A783" s="5">
        <v>722</v>
      </c>
      <c r="B783" s="138">
        <f>'Expenditures 15-22'!D40</f>
        <v>714243</v>
      </c>
      <c r="D783" s="2" t="str">
        <f t="shared" si="11"/>
        <v>Error?</v>
      </c>
    </row>
    <row r="784" spans="1:4" x14ac:dyDescent="0.2">
      <c r="A784" s="5">
        <v>723</v>
      </c>
      <c r="B784" s="138">
        <f>'Expenditures 15-22'!D41</f>
        <v>40267</v>
      </c>
      <c r="D784" s="2" t="str">
        <f t="shared" si="11"/>
        <v>Error?</v>
      </c>
    </row>
    <row r="785" spans="1:4" x14ac:dyDescent="0.2">
      <c r="A785" s="5">
        <v>724</v>
      </c>
      <c r="B785" s="138">
        <f>'Expenditures 15-22'!D42</f>
        <v>2450682</v>
      </c>
      <c r="C785" s="2" t="s">
        <v>573</v>
      </c>
      <c r="D785" s="2" t="str">
        <f t="shared" si="11"/>
        <v>Error?</v>
      </c>
    </row>
    <row r="786" spans="1:4" x14ac:dyDescent="0.2">
      <c r="A786" s="5">
        <v>725</v>
      </c>
      <c r="B786" s="138">
        <f>'Expenditures 15-22'!D44</f>
        <v>803025</v>
      </c>
      <c r="D786" s="2" t="str">
        <f t="shared" si="11"/>
        <v>Error?</v>
      </c>
    </row>
    <row r="787" spans="1:4" x14ac:dyDescent="0.2">
      <c r="A787" s="5">
        <v>726</v>
      </c>
      <c r="B787" s="138">
        <f>'Expenditures 15-22'!D45</f>
        <v>167264</v>
      </c>
      <c r="D787" s="2" t="str">
        <f t="shared" si="11"/>
        <v>Error?</v>
      </c>
    </row>
    <row r="788" spans="1:4" x14ac:dyDescent="0.2">
      <c r="A788" s="5">
        <v>727</v>
      </c>
      <c r="B788" s="138">
        <f>'Expenditures 15-22'!D46</f>
        <v>16891</v>
      </c>
      <c r="D788" s="2" t="str">
        <f t="shared" si="11"/>
        <v>Error?</v>
      </c>
    </row>
    <row r="789" spans="1:4" x14ac:dyDescent="0.2">
      <c r="A789" s="5">
        <v>728</v>
      </c>
      <c r="B789" s="138">
        <f>'Expenditures 15-22'!D47</f>
        <v>987180</v>
      </c>
      <c r="C789" s="2" t="s">
        <v>573</v>
      </c>
      <c r="D789" s="2" t="str">
        <f t="shared" si="11"/>
        <v>Error?</v>
      </c>
    </row>
    <row r="790" spans="1:4" x14ac:dyDescent="0.2">
      <c r="A790" s="5">
        <v>729</v>
      </c>
      <c r="B790" s="138">
        <f>'Expenditures 15-22'!D49</f>
        <v>379032</v>
      </c>
      <c r="D790" s="2" t="str">
        <f t="shared" si="11"/>
        <v>Error?</v>
      </c>
    </row>
    <row r="791" spans="1:4" x14ac:dyDescent="0.2">
      <c r="A791" s="5">
        <v>730</v>
      </c>
      <c r="B791" s="138">
        <f>'Expenditures 15-22'!D50</f>
        <v>41700</v>
      </c>
      <c r="D791" s="2" t="str">
        <f t="shared" si="11"/>
        <v>Error?</v>
      </c>
    </row>
    <row r="792" spans="1:4" x14ac:dyDescent="0.2">
      <c r="A792" s="5">
        <v>731</v>
      </c>
      <c r="B792" s="138">
        <f>'Expenditures 15-22'!D53</f>
        <v>619747</v>
      </c>
      <c r="C792" s="2" t="s">
        <v>573</v>
      </c>
      <c r="D792" s="2" t="str">
        <f t="shared" si="11"/>
        <v>Error?</v>
      </c>
    </row>
    <row r="793" spans="1:4" x14ac:dyDescent="0.2">
      <c r="A793" s="5">
        <v>732</v>
      </c>
      <c r="B793" s="138">
        <f>'Expenditures 15-22'!D55</f>
        <v>1663308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1663308</v>
      </c>
      <c r="C795" s="2" t="s">
        <v>573</v>
      </c>
      <c r="D795" s="2" t="str">
        <f t="shared" si="11"/>
        <v>Error?</v>
      </c>
    </row>
    <row r="796" spans="1:4" x14ac:dyDescent="0.2">
      <c r="A796" s="5">
        <v>735</v>
      </c>
      <c r="B796" s="138">
        <f>'Expenditures 15-22'!D59</f>
        <v>15821</v>
      </c>
      <c r="D796" s="2" t="str">
        <f t="shared" si="11"/>
        <v>Error?</v>
      </c>
    </row>
    <row r="797" spans="1:4" x14ac:dyDescent="0.2">
      <c r="A797" s="5">
        <v>736</v>
      </c>
      <c r="B797" s="138">
        <f>'Expenditures 15-22'!D60</f>
        <v>74497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917721</v>
      </c>
      <c r="D800" s="2" t="str">
        <f t="shared" si="11"/>
        <v>Error?</v>
      </c>
    </row>
    <row r="801" spans="1:4" x14ac:dyDescent="0.2">
      <c r="A801" s="5">
        <v>740</v>
      </c>
      <c r="B801" s="138">
        <f>'Expenditures 15-22'!D64</f>
        <v>12490</v>
      </c>
      <c r="D801" s="2" t="str">
        <f t="shared" si="11"/>
        <v>Error?</v>
      </c>
    </row>
    <row r="802" spans="1:4" x14ac:dyDescent="0.2">
      <c r="A802" s="10">
        <v>741</v>
      </c>
      <c r="D802" s="2" t="str">
        <f t="shared" si="11"/>
        <v>OK</v>
      </c>
    </row>
    <row r="803" spans="1:4" x14ac:dyDescent="0.2">
      <c r="A803" s="5">
        <v>742</v>
      </c>
      <c r="B803" s="138">
        <f>'Expenditures 15-22'!D65</f>
        <v>1020529</v>
      </c>
      <c r="C803" s="2" t="s">
        <v>573</v>
      </c>
      <c r="D803" s="2" t="str">
        <f t="shared" si="11"/>
        <v>Error?</v>
      </c>
    </row>
    <row r="804" spans="1:4" x14ac:dyDescent="0.2">
      <c r="A804" s="5">
        <v>743</v>
      </c>
      <c r="B804" s="138">
        <f>'Expenditures 15-22'!D67</f>
        <v>3817</v>
      </c>
      <c r="D804" s="2" t="str">
        <f t="shared" si="11"/>
        <v>Error?</v>
      </c>
    </row>
    <row r="805" spans="1:4" x14ac:dyDescent="0.2">
      <c r="A805" s="5">
        <v>744</v>
      </c>
      <c r="B805" s="138">
        <f>'Expenditures 15-22'!D68</f>
        <v>5338</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198436</v>
      </c>
      <c r="D807" s="2" t="str">
        <f t="shared" si="11"/>
        <v>Error?</v>
      </c>
    </row>
    <row r="808" spans="1:4" x14ac:dyDescent="0.2">
      <c r="A808" s="10">
        <v>747</v>
      </c>
      <c r="D808" s="2" t="str">
        <f t="shared" si="11"/>
        <v>OK</v>
      </c>
    </row>
    <row r="809" spans="1:4" x14ac:dyDescent="0.2">
      <c r="A809" s="5">
        <v>748</v>
      </c>
      <c r="B809" s="138">
        <f>'Expenditures 15-22'!D71</f>
        <v>76794</v>
      </c>
      <c r="D809" s="2" t="str">
        <f t="shared" si="11"/>
        <v>Error?</v>
      </c>
    </row>
    <row r="810" spans="1:4" x14ac:dyDescent="0.2">
      <c r="A810" s="10">
        <v>749</v>
      </c>
      <c r="D810" s="2" t="str">
        <f t="shared" si="11"/>
        <v>OK</v>
      </c>
    </row>
    <row r="811" spans="1:4" x14ac:dyDescent="0.2">
      <c r="A811" s="5">
        <v>750</v>
      </c>
      <c r="B811" s="138">
        <f>'Expenditures 15-22'!D72</f>
        <v>284385</v>
      </c>
      <c r="C811" s="2" t="s">
        <v>573</v>
      </c>
      <c r="D811" s="2" t="str">
        <f t="shared" si="11"/>
        <v>Error?</v>
      </c>
    </row>
    <row r="812" spans="1:4" x14ac:dyDescent="0.2">
      <c r="A812" s="5">
        <v>751</v>
      </c>
      <c r="B812" s="138">
        <f>'Expenditures 15-22'!D73</f>
        <v>26069</v>
      </c>
      <c r="D812" s="2" t="str">
        <f t="shared" si="11"/>
        <v>Error?</v>
      </c>
    </row>
    <row r="813" spans="1:4" x14ac:dyDescent="0.2">
      <c r="A813" s="5">
        <v>752</v>
      </c>
      <c r="B813" s="138">
        <f>'Expenditures 15-22'!D74</f>
        <v>7051900</v>
      </c>
      <c r="C813" s="2" t="s">
        <v>573</v>
      </c>
      <c r="D813" s="2" t="str">
        <f t="shared" si="11"/>
        <v>Error?</v>
      </c>
    </row>
    <row r="814" spans="1:4" x14ac:dyDescent="0.2">
      <c r="A814" s="5">
        <v>753</v>
      </c>
      <c r="B814" s="138">
        <f>'Expenditures 15-22'!D75</f>
        <v>1249195</v>
      </c>
      <c r="D814" s="2" t="str">
        <f t="shared" si="11"/>
        <v>Error?</v>
      </c>
    </row>
    <row r="815" spans="1:4" x14ac:dyDescent="0.2">
      <c r="A815" s="5">
        <v>754</v>
      </c>
      <c r="B815" s="138">
        <f>'Expenditures 15-22'!D114</f>
        <v>27272374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282741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11358</v>
      </c>
      <c r="D832" s="2" t="str">
        <f t="shared" si="12"/>
        <v>Error?</v>
      </c>
    </row>
    <row r="833" spans="1:4" x14ac:dyDescent="0.2">
      <c r="A833" s="5">
        <v>772</v>
      </c>
      <c r="B833" s="138">
        <f>'Expenditures 15-22'!E13</f>
        <v>104961</v>
      </c>
      <c r="D833" s="2" t="str">
        <f t="shared" si="12"/>
        <v>Error?</v>
      </c>
    </row>
    <row r="834" spans="1:4" x14ac:dyDescent="0.2">
      <c r="A834" s="5">
        <v>773</v>
      </c>
      <c r="B834" s="138">
        <f>'Expenditures 15-22'!E14</f>
        <v>113314</v>
      </c>
      <c r="D834" s="2" t="str">
        <f t="shared" si="12"/>
        <v>Error?</v>
      </c>
    </row>
    <row r="835" spans="1:4" x14ac:dyDescent="0.2">
      <c r="A835" s="5">
        <v>774</v>
      </c>
      <c r="B835" s="138">
        <f>'Expenditures 15-22'!E15</f>
        <v>669</v>
      </c>
      <c r="D835" s="2" t="str">
        <f t="shared" si="12"/>
        <v>Error?</v>
      </c>
    </row>
    <row r="836" spans="1:4" x14ac:dyDescent="0.2">
      <c r="A836" s="5">
        <v>775</v>
      </c>
      <c r="B836" s="138">
        <f>'Expenditures 15-22'!E33</f>
        <v>897114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33110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3644</v>
      </c>
      <c r="D842" s="2" t="str">
        <f t="shared" si="12"/>
        <v>Error?</v>
      </c>
    </row>
    <row r="843" spans="1:4" x14ac:dyDescent="0.2">
      <c r="A843" s="5">
        <v>782</v>
      </c>
      <c r="B843" s="138">
        <f>'Expenditures 15-22'!E42</f>
        <v>36754</v>
      </c>
      <c r="C843" s="2" t="s">
        <v>573</v>
      </c>
      <c r="D843" s="2" t="str">
        <f t="shared" si="12"/>
        <v>Error?</v>
      </c>
    </row>
    <row r="844" spans="1:4" x14ac:dyDescent="0.2">
      <c r="A844" s="5">
        <v>783</v>
      </c>
      <c r="B844" s="138">
        <f>'Expenditures 15-22'!E44</f>
        <v>1282516</v>
      </c>
      <c r="D844" s="2" t="str">
        <f t="shared" si="12"/>
        <v>Error?</v>
      </c>
    </row>
    <row r="845" spans="1:4" x14ac:dyDescent="0.2">
      <c r="A845" s="5">
        <v>784</v>
      </c>
      <c r="B845" s="138">
        <f>'Expenditures 15-22'!E45</f>
        <v>10494</v>
      </c>
      <c r="D845" s="2" t="str">
        <f t="shared" si="12"/>
        <v>Error?</v>
      </c>
    </row>
    <row r="846" spans="1:4" x14ac:dyDescent="0.2">
      <c r="A846" s="5">
        <v>785</v>
      </c>
      <c r="B846" s="138">
        <f>'Expenditures 15-22'!E46</f>
        <v>17590</v>
      </c>
      <c r="D846" s="2" t="str">
        <f t="shared" si="12"/>
        <v>Error?</v>
      </c>
    </row>
    <row r="847" spans="1:4" x14ac:dyDescent="0.2">
      <c r="A847" s="5">
        <v>786</v>
      </c>
      <c r="B847" s="138">
        <f>'Expenditures 15-22'!E47</f>
        <v>1310600</v>
      </c>
      <c r="C847" s="2" t="s">
        <v>573</v>
      </c>
      <c r="D847" s="2" t="str">
        <f t="shared" si="12"/>
        <v>Error?</v>
      </c>
    </row>
    <row r="848" spans="1:4" x14ac:dyDescent="0.2">
      <c r="A848" s="5">
        <v>787</v>
      </c>
      <c r="B848" s="138">
        <f>'Expenditures 15-22'!E49</f>
        <v>157614</v>
      </c>
      <c r="D848" s="2" t="str">
        <f t="shared" si="12"/>
        <v>Error?</v>
      </c>
    </row>
    <row r="849" spans="1:4" x14ac:dyDescent="0.2">
      <c r="A849" s="5">
        <v>788</v>
      </c>
      <c r="B849" s="138">
        <f>'Expenditures 15-22'!E50</f>
        <v>2186</v>
      </c>
      <c r="D849" s="2" t="str">
        <f t="shared" si="12"/>
        <v>Error?</v>
      </c>
    </row>
    <row r="850" spans="1:4" x14ac:dyDescent="0.2">
      <c r="A850" s="5">
        <v>789</v>
      </c>
      <c r="B850" s="138">
        <f>'Expenditures 15-22'!E53</f>
        <v>178294</v>
      </c>
      <c r="C850" s="2" t="s">
        <v>573</v>
      </c>
      <c r="D850" s="2" t="str">
        <f t="shared" si="12"/>
        <v>Error?</v>
      </c>
    </row>
    <row r="851" spans="1:4" x14ac:dyDescent="0.2">
      <c r="A851" s="5">
        <v>790</v>
      </c>
      <c r="B851" s="138">
        <f>'Expenditures 15-22'!E55</f>
        <v>35496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35496</v>
      </c>
      <c r="C853" s="2" t="s">
        <v>573</v>
      </c>
      <c r="D853" s="2" t="str">
        <f t="shared" si="12"/>
        <v>Error?</v>
      </c>
    </row>
    <row r="854" spans="1:4" x14ac:dyDescent="0.2">
      <c r="A854" s="5">
        <v>793</v>
      </c>
      <c r="B854" s="138">
        <f>'Expenditures 15-22'!E59</f>
        <v>47551</v>
      </c>
      <c r="D854" s="2" t="str">
        <f t="shared" si="12"/>
        <v>Error?</v>
      </c>
    </row>
    <row r="855" spans="1:4" x14ac:dyDescent="0.2">
      <c r="A855" s="5">
        <v>794</v>
      </c>
      <c r="B855" s="138">
        <f>'Expenditures 15-22'!E60</f>
        <v>307512</v>
      </c>
      <c r="D855" s="2" t="str">
        <f t="shared" si="12"/>
        <v>Error?</v>
      </c>
    </row>
    <row r="856" spans="1:4" x14ac:dyDescent="0.2">
      <c r="A856" s="5">
        <v>795</v>
      </c>
      <c r="B856" s="138">
        <f>'Expenditures 15-22'!E61</f>
        <v>98652</v>
      </c>
      <c r="D856" s="2" t="str">
        <f t="shared" si="12"/>
        <v>Error?</v>
      </c>
    </row>
    <row r="857" spans="1:4" x14ac:dyDescent="0.2">
      <c r="A857" s="5">
        <v>796</v>
      </c>
      <c r="B857" s="138">
        <f>'Expenditures 15-22'!E62</f>
        <v>1460736</v>
      </c>
      <c r="D857" s="2" t="str">
        <f t="shared" si="12"/>
        <v>Error?</v>
      </c>
    </row>
    <row r="858" spans="1:4" x14ac:dyDescent="0.2">
      <c r="A858" s="5">
        <v>797</v>
      </c>
      <c r="B858" s="138">
        <f>'Expenditures 15-22'!E63</f>
        <v>261193</v>
      </c>
      <c r="D858" s="2" t="str">
        <f t="shared" si="12"/>
        <v>Error?</v>
      </c>
    </row>
    <row r="859" spans="1:4" x14ac:dyDescent="0.2">
      <c r="A859" s="5">
        <v>798</v>
      </c>
      <c r="B859" s="138">
        <f>'Expenditures 15-22'!E64</f>
        <v>1373</v>
      </c>
      <c r="D859" s="2" t="str">
        <f t="shared" si="12"/>
        <v>Error?</v>
      </c>
    </row>
    <row r="860" spans="1:4" x14ac:dyDescent="0.2">
      <c r="A860" s="10">
        <v>799</v>
      </c>
      <c r="D860" s="2" t="str">
        <f t="shared" si="12"/>
        <v>OK</v>
      </c>
    </row>
    <row r="861" spans="1:4" x14ac:dyDescent="0.2">
      <c r="A861" s="5">
        <v>800</v>
      </c>
      <c r="B861" s="138">
        <f>'Expenditures 15-22'!E65</f>
        <v>2177017</v>
      </c>
      <c r="C861" s="2" t="s">
        <v>573</v>
      </c>
      <c r="D861" s="2" t="str">
        <f t="shared" si="12"/>
        <v>Error?</v>
      </c>
    </row>
    <row r="862" spans="1:4" x14ac:dyDescent="0.2">
      <c r="A862" s="5">
        <v>801</v>
      </c>
      <c r="B862" s="138">
        <f>'Expenditures 15-22'!E67</f>
        <v>247750</v>
      </c>
      <c r="D862" s="2" t="str">
        <f t="shared" si="12"/>
        <v>Error?</v>
      </c>
    </row>
    <row r="863" spans="1:4" x14ac:dyDescent="0.2">
      <c r="A863" s="5">
        <v>802</v>
      </c>
      <c r="B863" s="138">
        <f>'Expenditures 15-22'!E68</f>
        <v>596235</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139527</v>
      </c>
      <c r="D865" s="2" t="str">
        <f t="shared" si="12"/>
        <v>Error?</v>
      </c>
    </row>
    <row r="866" spans="1:4" x14ac:dyDescent="0.2">
      <c r="A866" s="10">
        <v>805</v>
      </c>
      <c r="D866" s="2" t="str">
        <f t="shared" si="12"/>
        <v>OK</v>
      </c>
    </row>
    <row r="867" spans="1:4" x14ac:dyDescent="0.2">
      <c r="A867" s="5">
        <v>806</v>
      </c>
      <c r="B867" s="138">
        <f>'Expenditures 15-22'!E71</f>
        <v>474636</v>
      </c>
      <c r="D867" s="2" t="str">
        <f t="shared" si="12"/>
        <v>Error?</v>
      </c>
    </row>
    <row r="868" spans="1:4" x14ac:dyDescent="0.2">
      <c r="A868" s="10">
        <v>807</v>
      </c>
      <c r="D868" s="2" t="str">
        <f t="shared" si="12"/>
        <v>OK</v>
      </c>
    </row>
    <row r="869" spans="1:4" x14ac:dyDescent="0.2">
      <c r="A869" s="5">
        <v>808</v>
      </c>
      <c r="B869" s="138">
        <f>'Expenditures 15-22'!E72</f>
        <v>1458148</v>
      </c>
      <c r="C869" s="2" t="s">
        <v>573</v>
      </c>
      <c r="D869" s="2" t="str">
        <f t="shared" si="12"/>
        <v>Error?</v>
      </c>
    </row>
    <row r="870" spans="1:4" x14ac:dyDescent="0.2">
      <c r="A870" s="5">
        <v>809</v>
      </c>
      <c r="B870" s="138">
        <f>'Expenditures 15-22'!E73</f>
        <v>2881</v>
      </c>
      <c r="D870" s="2" t="str">
        <f t="shared" si="12"/>
        <v>Error?</v>
      </c>
    </row>
    <row r="871" spans="1:4" x14ac:dyDescent="0.2">
      <c r="A871" s="5">
        <v>810</v>
      </c>
      <c r="B871" s="138">
        <f>'Expenditures 15-22'!E74</f>
        <v>5199190</v>
      </c>
      <c r="C871" s="2" t="s">
        <v>573</v>
      </c>
      <c r="D871" s="2" t="str">
        <f t="shared" si="12"/>
        <v>Error?</v>
      </c>
    </row>
    <row r="872" spans="1:4" x14ac:dyDescent="0.2">
      <c r="A872" s="5">
        <v>811</v>
      </c>
      <c r="B872" s="138">
        <f>'Expenditures 15-22'!E75</f>
        <v>190291</v>
      </c>
      <c r="D872" s="2" t="str">
        <f t="shared" si="12"/>
        <v>Error?</v>
      </c>
    </row>
    <row r="873" spans="1:4" x14ac:dyDescent="0.2">
      <c r="A873" s="5">
        <v>812</v>
      </c>
      <c r="B873" s="138">
        <f>'Expenditures 15-22'!E114</f>
        <v>6286595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2278384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3364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5119</v>
      </c>
      <c r="D890" s="2" t="str">
        <f t="shared" si="12"/>
        <v>Error?</v>
      </c>
    </row>
    <row r="891" spans="1:4" x14ac:dyDescent="0.2">
      <c r="A891" s="5">
        <v>830</v>
      </c>
      <c r="B891" s="138">
        <f>'Expenditures 15-22'!F13</f>
        <v>-16734</v>
      </c>
      <c r="D891" s="2" t="str">
        <f t="shared" si="12"/>
        <v>Error?</v>
      </c>
    </row>
    <row r="892" spans="1:4" x14ac:dyDescent="0.2">
      <c r="A892" s="5">
        <v>831</v>
      </c>
      <c r="B892" s="138">
        <f>'Expenditures 15-22'!F14</f>
        <v>41401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4027981</v>
      </c>
      <c r="C894" s="2" t="s">
        <v>573</v>
      </c>
      <c r="D894" s="2" t="str">
        <f t="shared" si="12"/>
        <v>Error?</v>
      </c>
    </row>
    <row r="895" spans="1:4" x14ac:dyDescent="0.2">
      <c r="A895" s="5">
        <v>834</v>
      </c>
      <c r="B895" s="138">
        <f>'Expenditures 15-22'!F36</f>
        <v>10174</v>
      </c>
      <c r="D895" s="2" t="str">
        <f t="shared" ref="D895:D958" si="13">IF(ISBLANK(B895),"OK",IF(A895-B895=0,"OK","Error?"))</f>
        <v>Error?</v>
      </c>
    </row>
    <row r="896" spans="1:4" x14ac:dyDescent="0.2">
      <c r="A896" s="5">
        <v>835</v>
      </c>
      <c r="B896" s="138">
        <f>'Expenditures 15-22'!F37</f>
        <v>17905</v>
      </c>
      <c r="D896" s="2" t="str">
        <f t="shared" si="13"/>
        <v>Error?</v>
      </c>
    </row>
    <row r="897" spans="1:4" x14ac:dyDescent="0.2">
      <c r="A897" s="5">
        <v>836</v>
      </c>
      <c r="B897" s="138">
        <f>'Expenditures 15-22'!F38</f>
        <v>14102</v>
      </c>
      <c r="D897" s="2" t="str">
        <f t="shared" si="13"/>
        <v>Error?</v>
      </c>
    </row>
    <row r="898" spans="1:4" x14ac:dyDescent="0.2">
      <c r="A898" s="5">
        <v>837</v>
      </c>
      <c r="B898" s="138">
        <f>'Expenditures 15-22'!F39</f>
        <v>12249</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12974</v>
      </c>
      <c r="D900" s="2" t="str">
        <f t="shared" si="13"/>
        <v>Error?</v>
      </c>
    </row>
    <row r="901" spans="1:4" x14ac:dyDescent="0.2">
      <c r="A901" s="5">
        <v>840</v>
      </c>
      <c r="B901" s="138">
        <f>'Expenditures 15-22'!F42</f>
        <v>67404</v>
      </c>
      <c r="C901" s="2" t="s">
        <v>573</v>
      </c>
      <c r="D901" s="2" t="str">
        <f t="shared" si="13"/>
        <v>Error?</v>
      </c>
    </row>
    <row r="902" spans="1:4" x14ac:dyDescent="0.2">
      <c r="A902" s="5">
        <v>841</v>
      </c>
      <c r="B902" s="138">
        <f>'Expenditures 15-22'!F44</f>
        <v>213590</v>
      </c>
      <c r="D902" s="2" t="str">
        <f t="shared" si="13"/>
        <v>Error?</v>
      </c>
    </row>
    <row r="903" spans="1:4" x14ac:dyDescent="0.2">
      <c r="A903" s="5">
        <v>842</v>
      </c>
      <c r="B903" s="138">
        <f>'Expenditures 15-22'!F45</f>
        <v>144674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358264</v>
      </c>
      <c r="C905" s="2" t="s">
        <v>573</v>
      </c>
      <c r="D905" s="2" t="str">
        <f t="shared" si="13"/>
        <v>Error?</v>
      </c>
    </row>
    <row r="906" spans="1:4" x14ac:dyDescent="0.2">
      <c r="A906" s="5">
        <v>845</v>
      </c>
      <c r="B906" s="138">
        <f>'Expenditures 15-22'!F49</f>
        <v>1400</v>
      </c>
      <c r="D906" s="2" t="str">
        <f t="shared" si="13"/>
        <v>Error?</v>
      </c>
    </row>
    <row r="907" spans="1:4" x14ac:dyDescent="0.2">
      <c r="A907" s="5">
        <v>846</v>
      </c>
      <c r="B907" s="138">
        <f>'Expenditures 15-22'!F50</f>
        <v>1424</v>
      </c>
      <c r="D907" s="2" t="str">
        <f t="shared" si="13"/>
        <v>Error?</v>
      </c>
    </row>
    <row r="908" spans="1:4" x14ac:dyDescent="0.2">
      <c r="A908" s="5">
        <v>847</v>
      </c>
      <c r="B908" s="138">
        <f>'Expenditures 15-22'!F53</f>
        <v>70716</v>
      </c>
      <c r="C908" s="2" t="s">
        <v>573</v>
      </c>
      <c r="D908" s="2" t="str">
        <f t="shared" si="13"/>
        <v>Error?</v>
      </c>
    </row>
    <row r="909" spans="1:4" x14ac:dyDescent="0.2">
      <c r="A909" s="5">
        <v>848</v>
      </c>
      <c r="B909" s="138">
        <f>'Expenditures 15-22'!F55</f>
        <v>38189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38189</v>
      </c>
      <c r="C911" s="2" t="s">
        <v>573</v>
      </c>
      <c r="D911" s="2" t="str">
        <f t="shared" si="13"/>
        <v>Error?</v>
      </c>
    </row>
    <row r="912" spans="1:4" x14ac:dyDescent="0.2">
      <c r="A912" s="5">
        <v>851</v>
      </c>
      <c r="B912" s="138">
        <f>'Expenditures 15-22'!F59</f>
        <v>12718</v>
      </c>
      <c r="D912" s="2" t="str">
        <f t="shared" si="13"/>
        <v>Error?</v>
      </c>
    </row>
    <row r="913" spans="1:4" x14ac:dyDescent="0.2">
      <c r="A913" s="5">
        <v>852</v>
      </c>
      <c r="B913" s="138">
        <f>'Expenditures 15-22'!F60</f>
        <v>0</v>
      </c>
      <c r="D913" s="2" t="str">
        <f t="shared" si="13"/>
        <v>Error?</v>
      </c>
    </row>
    <row r="914" spans="1:4" x14ac:dyDescent="0.2">
      <c r="A914" s="5">
        <v>853</v>
      </c>
      <c r="B914" s="138">
        <f>'Expenditures 15-22'!F61</f>
        <v>8445</v>
      </c>
      <c r="D914" s="2" t="str">
        <f t="shared" si="13"/>
        <v>Error?</v>
      </c>
    </row>
    <row r="915" spans="1:4" x14ac:dyDescent="0.2">
      <c r="A915" s="5">
        <v>854</v>
      </c>
      <c r="B915" s="138">
        <f>'Expenditures 15-22'!F62</f>
        <v>3220</v>
      </c>
      <c r="D915" s="2" t="str">
        <f t="shared" si="13"/>
        <v>Error?</v>
      </c>
    </row>
    <row r="916" spans="1:4" x14ac:dyDescent="0.2">
      <c r="A916" s="5">
        <v>855</v>
      </c>
      <c r="B916" s="138">
        <f>'Expenditures 15-22'!F63</f>
        <v>3688392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3712775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33590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35787</v>
      </c>
      <c r="D923" s="2" t="str">
        <f t="shared" si="13"/>
        <v>Error?</v>
      </c>
    </row>
    <row r="924" spans="1:4" x14ac:dyDescent="0.2">
      <c r="A924" s="10">
        <v>863</v>
      </c>
      <c r="D924" s="2" t="str">
        <f t="shared" si="13"/>
        <v>OK</v>
      </c>
    </row>
    <row r="925" spans="1:4" x14ac:dyDescent="0.2">
      <c r="A925" s="5">
        <v>864</v>
      </c>
      <c r="B925" s="138">
        <f>'Expenditures 15-22'!F71</f>
        <v>104012</v>
      </c>
      <c r="D925" s="2" t="str">
        <f t="shared" si="13"/>
        <v>Error?</v>
      </c>
    </row>
    <row r="926" spans="1:4" x14ac:dyDescent="0.2">
      <c r="A926" s="10">
        <v>865</v>
      </c>
      <c r="D926" s="2" t="str">
        <f t="shared" si="13"/>
        <v>OK</v>
      </c>
    </row>
    <row r="927" spans="1:4" x14ac:dyDescent="0.2">
      <c r="A927" s="5">
        <v>866</v>
      </c>
      <c r="B927" s="138">
        <f>'Expenditures 15-22'!F72</f>
        <v>173389</v>
      </c>
      <c r="C927" s="2" t="s">
        <v>573</v>
      </c>
      <c r="D927" s="2" t="str">
        <f t="shared" si="13"/>
        <v>Error?</v>
      </c>
    </row>
    <row r="928" spans="1:4" x14ac:dyDescent="0.2">
      <c r="A928" s="5">
        <v>867</v>
      </c>
      <c r="B928" s="138">
        <f>'Expenditures 15-22'!F73</f>
        <v>1551</v>
      </c>
      <c r="D928" s="2" t="str">
        <f t="shared" si="13"/>
        <v>Error?</v>
      </c>
    </row>
    <row r="929" spans="1:4" x14ac:dyDescent="0.2">
      <c r="A929" s="5">
        <v>868</v>
      </c>
      <c r="B929" s="138">
        <f>'Expenditures 15-22'!F74</f>
        <v>4422288</v>
      </c>
      <c r="C929" s="2" t="s">
        <v>573</v>
      </c>
      <c r="D929" s="2" t="str">
        <f t="shared" si="13"/>
        <v>Error?</v>
      </c>
    </row>
    <row r="930" spans="1:4" x14ac:dyDescent="0.2">
      <c r="A930" s="5">
        <v>869</v>
      </c>
      <c r="B930" s="138">
        <f>'Expenditures 15-22'!F75</f>
        <v>280703</v>
      </c>
      <c r="D930" s="2" t="str">
        <f t="shared" si="13"/>
        <v>Error?</v>
      </c>
    </row>
    <row r="931" spans="1:4" x14ac:dyDescent="0.2">
      <c r="A931" s="5">
        <v>870</v>
      </c>
      <c r="B931" s="138">
        <f>'Expenditures 15-22'!F114</f>
        <v>8730972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43103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84933</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84933</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19859</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152782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172641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257574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300677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261257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30145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2452717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82832</v>
      </c>
      <c r="D1018" s="2" t="str">
        <f t="shared" si="14"/>
        <v>Error?</v>
      </c>
    </row>
    <row r="1019" spans="1:4" x14ac:dyDescent="0.2">
      <c r="A1019" s="5">
        <v>958</v>
      </c>
      <c r="B1019" s="138">
        <f>'Expenditures 15-22'!H45</f>
        <v>33212</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116044</v>
      </c>
      <c r="C1021" s="2" t="s">
        <v>573</v>
      </c>
      <c r="D1021" s="2" t="str">
        <f t="shared" si="14"/>
        <v>Error?</v>
      </c>
    </row>
    <row r="1022" spans="1:4" x14ac:dyDescent="0.2">
      <c r="A1022" s="5">
        <v>961</v>
      </c>
      <c r="B1022" s="138">
        <f>'Expenditures 15-22'!H49</f>
        <v>33199</v>
      </c>
      <c r="D1022" s="2" t="str">
        <f t="shared" si="14"/>
        <v>Error?</v>
      </c>
    </row>
    <row r="1023" spans="1:4" x14ac:dyDescent="0.2">
      <c r="A1023" s="5">
        <v>962</v>
      </c>
      <c r="B1023" s="138">
        <f>'Expenditures 15-22'!H50</f>
        <v>13142</v>
      </c>
      <c r="D1023" s="2" t="str">
        <f t="shared" ref="D1023:D1086" si="15">IF(ISBLANK(B1023),"OK",IF(A1023-B1023=0,"OK","Error?"))</f>
        <v>Error?</v>
      </c>
    </row>
    <row r="1024" spans="1:4" x14ac:dyDescent="0.2">
      <c r="A1024" s="5">
        <v>963</v>
      </c>
      <c r="B1024" s="138">
        <f>'Expenditures 15-22'!H53</f>
        <v>46341</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3067</v>
      </c>
      <c r="D1028" s="2" t="str">
        <f t="shared" si="15"/>
        <v>Error?</v>
      </c>
    </row>
    <row r="1029" spans="1:4" x14ac:dyDescent="0.2">
      <c r="A1029" s="5">
        <v>968</v>
      </c>
      <c r="B1029" s="138">
        <f>'Expenditures 15-22'!H60</f>
        <v>7447</v>
      </c>
      <c r="D1029" s="2" t="str">
        <f t="shared" si="15"/>
        <v>Error?</v>
      </c>
    </row>
    <row r="1030" spans="1:4" x14ac:dyDescent="0.2">
      <c r="A1030" s="5">
        <v>969</v>
      </c>
      <c r="B1030" s="138">
        <f>'Expenditures 15-22'!H61</f>
        <v>185295</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195814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66338</v>
      </c>
      <c r="D1041" s="2" t="str">
        <f t="shared" si="15"/>
        <v>Error?</v>
      </c>
    </row>
    <row r="1042" spans="1:4" x14ac:dyDescent="0.2">
      <c r="A1042" s="10">
        <v>981</v>
      </c>
      <c r="D1042" s="2" t="str">
        <f t="shared" si="15"/>
        <v>OK</v>
      </c>
    </row>
    <row r="1043" spans="1:4" x14ac:dyDescent="0.2">
      <c r="A1043" s="5">
        <v>982</v>
      </c>
      <c r="B1043" s="138">
        <f>'Expenditures 15-22'!H72</f>
        <v>66338</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424537</v>
      </c>
      <c r="C1045" s="2" t="s">
        <v>573</v>
      </c>
      <c r="D1045" s="2" t="str">
        <f t="shared" si="15"/>
        <v>Error?</v>
      </c>
    </row>
    <row r="1046" spans="1:4" x14ac:dyDescent="0.2">
      <c r="A1046" s="5">
        <v>985</v>
      </c>
      <c r="B1046" s="138">
        <f>'Expenditures 15-22'!H75</f>
        <v>474</v>
      </c>
      <c r="D1046" s="2" t="str">
        <f t="shared" si="15"/>
        <v>Error?</v>
      </c>
    </row>
    <row r="1047" spans="1:4" x14ac:dyDescent="0.2">
      <c r="A1047" s="5">
        <v>986</v>
      </c>
      <c r="B1047" s="138">
        <f>'Expenditures 15-22'!H102</f>
        <v>4970223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19718</v>
      </c>
      <c r="D1051" s="2" t="str">
        <f t="shared" si="15"/>
        <v>Error?</v>
      </c>
    </row>
    <row r="1052" spans="1:4" x14ac:dyDescent="0.2">
      <c r="A1052" s="10">
        <v>991</v>
      </c>
      <c r="D1052" s="2" t="str">
        <f t="shared" si="15"/>
        <v>OK</v>
      </c>
    </row>
    <row r="1053" spans="1:4" x14ac:dyDescent="0.2">
      <c r="A1053" s="5">
        <v>992</v>
      </c>
      <c r="B1053" s="138">
        <f>'Expenditures 15-22'!H110</f>
        <v>19718</v>
      </c>
      <c r="C1053" s="2" t="s">
        <v>573</v>
      </c>
      <c r="D1053" s="2" t="str">
        <f t="shared" si="15"/>
        <v>Error?</v>
      </c>
    </row>
    <row r="1054" spans="1:4" x14ac:dyDescent="0.2">
      <c r="A1054" s="5">
        <v>993</v>
      </c>
      <c r="B1054" s="138">
        <f>'Expenditures 15-22'!H114</f>
        <v>7867669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58357234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17794</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375501</v>
      </c>
      <c r="C1104" s="2" t="s">
        <v>573</v>
      </c>
      <c r="D1104" s="2" t="str">
        <f t="shared" si="16"/>
        <v>Error?</v>
      </c>
    </row>
    <row r="1105" spans="1:4" x14ac:dyDescent="0.2">
      <c r="A1105" s="5">
        <v>1044</v>
      </c>
      <c r="B1105" s="138">
        <f>'Expenditures 15-22'!K13</f>
        <v>1093116</v>
      </c>
      <c r="C1105" s="2" t="s">
        <v>573</v>
      </c>
      <c r="D1105" s="2" t="str">
        <f t="shared" si="16"/>
        <v>Error?</v>
      </c>
    </row>
    <row r="1106" spans="1:4" x14ac:dyDescent="0.2">
      <c r="A1106" s="5">
        <v>1045</v>
      </c>
      <c r="B1106" s="138">
        <f>'Expenditures 15-22'!K14</f>
        <v>1005085</v>
      </c>
      <c r="C1106" s="2" t="s">
        <v>573</v>
      </c>
      <c r="D1106" s="2" t="str">
        <f t="shared" si="16"/>
        <v>Error?</v>
      </c>
    </row>
    <row r="1107" spans="1:4" x14ac:dyDescent="0.2">
      <c r="A1107" s="5">
        <v>1046</v>
      </c>
      <c r="B1107" s="138">
        <f>'Expenditures 15-22'!K15</f>
        <v>39695</v>
      </c>
      <c r="C1107" s="2" t="s">
        <v>573</v>
      </c>
      <c r="D1107" s="2" t="str">
        <f t="shared" si="16"/>
        <v>Error?</v>
      </c>
    </row>
    <row r="1108" spans="1:4" x14ac:dyDescent="0.2">
      <c r="A1108" s="5">
        <v>1047</v>
      </c>
      <c r="B1108" s="138">
        <f>'Expenditures 15-22'!K33</f>
        <v>99173057</v>
      </c>
      <c r="C1108" s="2" t="s">
        <v>573</v>
      </c>
      <c r="D1108" s="2" t="str">
        <f t="shared" si="16"/>
        <v>Error?</v>
      </c>
    </row>
    <row r="1109" spans="1:4" x14ac:dyDescent="0.2">
      <c r="A1109" s="5">
        <v>1048</v>
      </c>
      <c r="B1109" s="138">
        <f>'Expenditures 15-22'!K36</f>
        <v>3851367</v>
      </c>
      <c r="C1109" s="2" t="s">
        <v>573</v>
      </c>
      <c r="D1109" s="2" t="str">
        <f t="shared" si="16"/>
        <v>Error?</v>
      </c>
    </row>
    <row r="1110" spans="1:4" x14ac:dyDescent="0.2">
      <c r="A1110" s="5">
        <v>1049</v>
      </c>
      <c r="B1110" s="138">
        <f>'Expenditures 15-22'!K37</f>
        <v>1989054</v>
      </c>
      <c r="C1110" s="2" t="s">
        <v>573</v>
      </c>
      <c r="D1110" s="2" t="str">
        <f t="shared" si="16"/>
        <v>Error?</v>
      </c>
    </row>
    <row r="1111" spans="1:4" x14ac:dyDescent="0.2">
      <c r="A1111" s="5">
        <v>1050</v>
      </c>
      <c r="B1111" s="138">
        <f>'Expenditures 15-22'!K38</f>
        <v>2086862</v>
      </c>
      <c r="C1111" s="2" t="s">
        <v>573</v>
      </c>
      <c r="D1111" s="2" t="str">
        <f t="shared" si="16"/>
        <v>Error?</v>
      </c>
    </row>
    <row r="1112" spans="1:4" x14ac:dyDescent="0.2">
      <c r="A1112" s="5">
        <v>1051</v>
      </c>
      <c r="B1112" s="138">
        <f>'Expenditures 15-22'!K39</f>
        <v>1394815</v>
      </c>
      <c r="C1112" s="2" t="s">
        <v>573</v>
      </c>
      <c r="D1112" s="2" t="str">
        <f t="shared" si="16"/>
        <v>Error?</v>
      </c>
    </row>
    <row r="1113" spans="1:4" x14ac:dyDescent="0.2">
      <c r="A1113" s="5">
        <v>1052</v>
      </c>
      <c r="B1113" s="138">
        <f>'Expenditures 15-22'!K40</f>
        <v>3798341</v>
      </c>
      <c r="C1113" s="2" t="s">
        <v>573</v>
      </c>
      <c r="D1113" s="2" t="str">
        <f t="shared" si="16"/>
        <v>Error?</v>
      </c>
    </row>
    <row r="1114" spans="1:4" x14ac:dyDescent="0.2">
      <c r="A1114" s="5">
        <v>1053</v>
      </c>
      <c r="B1114" s="138">
        <f>'Expenditures 15-22'!K41</f>
        <v>355173</v>
      </c>
      <c r="C1114" s="2" t="s">
        <v>573</v>
      </c>
      <c r="D1114" s="2" t="str">
        <f t="shared" si="16"/>
        <v>Error?</v>
      </c>
    </row>
    <row r="1115" spans="1:4" x14ac:dyDescent="0.2">
      <c r="A1115" s="5">
        <v>1054</v>
      </c>
      <c r="B1115" s="138">
        <f>'Expenditures 15-22'!K42</f>
        <v>13475612</v>
      </c>
      <c r="C1115" s="2" t="s">
        <v>573</v>
      </c>
      <c r="D1115" s="2" t="str">
        <f t="shared" si="16"/>
        <v>Error?</v>
      </c>
    </row>
    <row r="1116" spans="1:4" x14ac:dyDescent="0.2">
      <c r="A1116" s="5">
        <v>1055</v>
      </c>
      <c r="B1116" s="138">
        <f>'Expenditures 15-22'!K44</f>
        <v>5922939</v>
      </c>
      <c r="C1116" s="2" t="s">
        <v>573</v>
      </c>
      <c r="D1116" s="2" t="str">
        <f t="shared" si="16"/>
        <v>Error?</v>
      </c>
    </row>
    <row r="1117" spans="1:4" x14ac:dyDescent="0.2">
      <c r="A1117" s="5">
        <v>1056</v>
      </c>
      <c r="B1117" s="138">
        <f>'Expenditures 15-22'!K45</f>
        <v>1070014</v>
      </c>
      <c r="C1117" s="2" t="s">
        <v>573</v>
      </c>
      <c r="D1117" s="2" t="str">
        <f t="shared" si="16"/>
        <v>Error?</v>
      </c>
    </row>
    <row r="1118" spans="1:4" x14ac:dyDescent="0.2">
      <c r="A1118" s="5">
        <v>1057</v>
      </c>
      <c r="B1118" s="138">
        <f>'Expenditures 15-22'!K46</f>
        <v>84761</v>
      </c>
      <c r="C1118" s="2" t="s">
        <v>573</v>
      </c>
      <c r="D1118" s="2" t="str">
        <f t="shared" si="16"/>
        <v>Error?</v>
      </c>
    </row>
    <row r="1119" spans="1:4" x14ac:dyDescent="0.2">
      <c r="A1119" s="5">
        <v>1058</v>
      </c>
      <c r="B1119" s="138">
        <f>'Expenditures 15-22'!K47</f>
        <v>7077714</v>
      </c>
      <c r="C1119" s="2" t="s">
        <v>573</v>
      </c>
      <c r="D1119" s="2" t="str">
        <f t="shared" si="16"/>
        <v>Error?</v>
      </c>
    </row>
    <row r="1120" spans="1:4" x14ac:dyDescent="0.2">
      <c r="A1120" s="5">
        <v>1059</v>
      </c>
      <c r="B1120" s="138">
        <f>'Expenditures 15-22'!K49</f>
        <v>640096</v>
      </c>
      <c r="C1120" s="2" t="s">
        <v>573</v>
      </c>
      <c r="D1120" s="2" t="str">
        <f t="shared" si="16"/>
        <v>Error?</v>
      </c>
    </row>
    <row r="1121" spans="1:4" x14ac:dyDescent="0.2">
      <c r="A1121" s="5">
        <v>1060</v>
      </c>
      <c r="B1121" s="138">
        <f>'Expenditures 15-22'!K50</f>
        <v>336271</v>
      </c>
      <c r="C1121" s="2" t="s">
        <v>573</v>
      </c>
      <c r="D1121" s="2" t="str">
        <f t="shared" si="16"/>
        <v>Error?</v>
      </c>
    </row>
    <row r="1122" spans="1:4" x14ac:dyDescent="0.2">
      <c r="A1122" s="5">
        <v>1061</v>
      </c>
      <c r="B1122" s="138">
        <f>'Expenditures 15-22'!K53</f>
        <v>2102624</v>
      </c>
      <c r="C1122" s="2" t="s">
        <v>573</v>
      </c>
      <c r="D1122" s="2" t="str">
        <f t="shared" si="16"/>
        <v>Error?</v>
      </c>
    </row>
    <row r="1123" spans="1:4" x14ac:dyDescent="0.2">
      <c r="A1123" s="5">
        <v>1062</v>
      </c>
      <c r="B1123" s="138">
        <f>'Expenditures 15-22'!K55</f>
        <v>9765986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9765986</v>
      </c>
      <c r="C1125" s="2" t="s">
        <v>573</v>
      </c>
      <c r="D1125" s="2" t="str">
        <f t="shared" si="16"/>
        <v>Error?</v>
      </c>
    </row>
    <row r="1126" spans="1:4" x14ac:dyDescent="0.2">
      <c r="A1126" s="5">
        <v>1065</v>
      </c>
      <c r="B1126" s="138">
        <f>'Expenditures 15-22'!K59</f>
        <v>244604</v>
      </c>
      <c r="C1126" s="2" t="s">
        <v>573</v>
      </c>
      <c r="D1126" s="2" t="str">
        <f t="shared" si="16"/>
        <v>Error?</v>
      </c>
    </row>
    <row r="1127" spans="1:4" x14ac:dyDescent="0.2">
      <c r="A1127" s="5">
        <v>1066</v>
      </c>
      <c r="B1127" s="138">
        <f>'Expenditures 15-22'!K60</f>
        <v>964844</v>
      </c>
      <c r="C1127" s="2" t="s">
        <v>573</v>
      </c>
      <c r="D1127" s="2" t="str">
        <f t="shared" si="16"/>
        <v>Error?</v>
      </c>
    </row>
    <row r="1128" spans="1:4" x14ac:dyDescent="0.2">
      <c r="A1128" s="5">
        <v>1067</v>
      </c>
      <c r="B1128" s="138">
        <f>'Expenditures 15-22'!K61</f>
        <v>319041</v>
      </c>
      <c r="C1128" s="2" t="s">
        <v>573</v>
      </c>
      <c r="D1128" s="2" t="str">
        <f t="shared" si="16"/>
        <v>Error?</v>
      </c>
    </row>
    <row r="1129" spans="1:4" x14ac:dyDescent="0.2">
      <c r="A1129" s="5">
        <v>1068</v>
      </c>
      <c r="B1129" s="138">
        <f>'Expenditures 15-22'!K62</f>
        <v>1463956</v>
      </c>
      <c r="C1129" s="2" t="s">
        <v>573</v>
      </c>
      <c r="D1129" s="2" t="str">
        <f t="shared" si="16"/>
        <v>Error?</v>
      </c>
    </row>
    <row r="1130" spans="1:4" x14ac:dyDescent="0.2">
      <c r="A1130" s="5">
        <v>1069</v>
      </c>
      <c r="B1130" s="138">
        <f>'Expenditures 15-22'!K63</f>
        <v>8662047</v>
      </c>
      <c r="C1130" s="2" t="s">
        <v>573</v>
      </c>
      <c r="D1130" s="2" t="str">
        <f t="shared" si="16"/>
        <v>Error?</v>
      </c>
    </row>
    <row r="1131" spans="1:4" x14ac:dyDescent="0.2">
      <c r="A1131" s="5">
        <v>1070</v>
      </c>
      <c r="B1131" s="138">
        <f>'Expenditures 15-22'!K64</f>
        <v>92473</v>
      </c>
      <c r="C1131" s="2" t="s">
        <v>573</v>
      </c>
      <c r="D1131" s="2" t="str">
        <f t="shared" si="16"/>
        <v>Error?</v>
      </c>
    </row>
    <row r="1132" spans="1:4" x14ac:dyDescent="0.2">
      <c r="A1132" s="10">
        <v>1071</v>
      </c>
      <c r="D1132" s="2" t="str">
        <f t="shared" si="16"/>
        <v>OK</v>
      </c>
    </row>
    <row r="1133" spans="1:4" x14ac:dyDescent="0.2">
      <c r="A1133" s="5">
        <v>1072</v>
      </c>
      <c r="B1133" s="138">
        <f>'Expenditures 15-22'!K65</f>
        <v>11746965</v>
      </c>
      <c r="C1133" s="2" t="s">
        <v>573</v>
      </c>
      <c r="D1133" s="2" t="str">
        <f t="shared" si="16"/>
        <v>Error?</v>
      </c>
    </row>
    <row r="1134" spans="1:4" x14ac:dyDescent="0.2">
      <c r="A1134" s="5">
        <v>1073</v>
      </c>
      <c r="B1134" s="138">
        <f>'Expenditures 15-22'!K67</f>
        <v>266547</v>
      </c>
      <c r="C1134" s="2" t="s">
        <v>573</v>
      </c>
      <c r="D1134" s="2" t="str">
        <f t="shared" si="16"/>
        <v>Error?</v>
      </c>
    </row>
    <row r="1135" spans="1:4" x14ac:dyDescent="0.2">
      <c r="A1135" s="5">
        <v>1074</v>
      </c>
      <c r="B1135" s="138">
        <f>'Expenditures 15-22'!K68</f>
        <v>660893</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2009244</v>
      </c>
      <c r="C1137" s="2" t="s">
        <v>573</v>
      </c>
      <c r="D1137" s="2" t="str">
        <f t="shared" si="16"/>
        <v>Error?</v>
      </c>
    </row>
    <row r="1138" spans="1:4" x14ac:dyDescent="0.2">
      <c r="A1138" s="10">
        <v>1077</v>
      </c>
      <c r="D1138" s="2" t="str">
        <f t="shared" si="16"/>
        <v>OK</v>
      </c>
    </row>
    <row r="1139" spans="1:4" x14ac:dyDescent="0.2">
      <c r="A1139" s="5">
        <v>1078</v>
      </c>
      <c r="B1139" s="138">
        <f>'Expenditures 15-22'!K71</f>
        <v>1578478</v>
      </c>
      <c r="C1139" s="2" t="s">
        <v>573</v>
      </c>
      <c r="D1139" s="2" t="str">
        <f t="shared" si="16"/>
        <v>Error?</v>
      </c>
    </row>
    <row r="1140" spans="1:4" x14ac:dyDescent="0.2">
      <c r="A1140" s="10">
        <v>1079</v>
      </c>
      <c r="D1140" s="2" t="str">
        <f t="shared" si="16"/>
        <v>OK</v>
      </c>
    </row>
    <row r="1141" spans="1:4" x14ac:dyDescent="0.2">
      <c r="A1141" s="5">
        <v>1080</v>
      </c>
      <c r="B1141" s="138">
        <f>'Expenditures 15-22'!K72</f>
        <v>4515162</v>
      </c>
      <c r="C1141" s="2" t="s">
        <v>573</v>
      </c>
      <c r="D1141" s="2" t="str">
        <f t="shared" si="16"/>
        <v>Error?</v>
      </c>
    </row>
    <row r="1142" spans="1:4" x14ac:dyDescent="0.2">
      <c r="A1142" s="5">
        <v>1081</v>
      </c>
      <c r="B1142" s="138">
        <f>'Expenditures 15-22'!K73</f>
        <v>124143</v>
      </c>
      <c r="C1142" s="2" t="s">
        <v>573</v>
      </c>
      <c r="D1142" s="2" t="str">
        <f t="shared" si="16"/>
        <v>Error?</v>
      </c>
    </row>
    <row r="1143" spans="1:4" x14ac:dyDescent="0.2">
      <c r="A1143" s="5">
        <v>1082</v>
      </c>
      <c r="B1143" s="138">
        <f>'Expenditures 15-22'!K74</f>
        <v>48808206</v>
      </c>
      <c r="C1143" s="2" t="s">
        <v>573</v>
      </c>
      <c r="D1143" s="2" t="str">
        <f t="shared" si="16"/>
        <v>Error?</v>
      </c>
    </row>
    <row r="1144" spans="1:4" x14ac:dyDescent="0.2">
      <c r="A1144" s="5">
        <v>1083</v>
      </c>
      <c r="B1144" s="138">
        <f>'Expenditures 15-22'!K75</f>
        <v>4772360</v>
      </c>
      <c r="C1144" s="2" t="s">
        <v>573</v>
      </c>
      <c r="D1144" s="2" t="str">
        <f t="shared" si="16"/>
        <v>Error?</v>
      </c>
    </row>
    <row r="1145" spans="1:4" x14ac:dyDescent="0.2">
      <c r="A1145" s="5">
        <v>1084</v>
      </c>
      <c r="B1145" s="138">
        <f>'Expenditures 15-22'!K102</f>
        <v>4970223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19718</v>
      </c>
      <c r="C1149" s="2" t="s">
        <v>573</v>
      </c>
      <c r="D1149" s="2" t="str">
        <f t="shared" si="16"/>
        <v>Error?</v>
      </c>
    </row>
    <row r="1150" spans="1:4" x14ac:dyDescent="0.2">
      <c r="A1150" s="10">
        <v>1089</v>
      </c>
      <c r="D1150" s="2" t="str">
        <f t="shared" si="16"/>
        <v>OK</v>
      </c>
    </row>
    <row r="1151" spans="1:4" x14ac:dyDescent="0.2">
      <c r="A1151" s="5">
        <v>1090</v>
      </c>
      <c r="B1151" s="138">
        <f>'Expenditures 15-22'!K110</f>
        <v>19718</v>
      </c>
      <c r="C1151" s="2" t="s">
        <v>573</v>
      </c>
      <c r="D1151" s="2" t="str">
        <f t="shared" ref="D1151:D1214" si="17">IF(ISBLANK(B1151),"OK",IF(A1151-B1151=0,"OK","Error?"))</f>
        <v>Error?</v>
      </c>
    </row>
    <row r="1152" spans="1:4" x14ac:dyDescent="0.2">
      <c r="A1152" s="5">
        <v>1091</v>
      </c>
      <c r="B1152" s="138">
        <f>'Expenditures 15-22'!K114</f>
        <v>157743564</v>
      </c>
      <c r="C1152" s="2" t="s">
        <v>573</v>
      </c>
      <c r="D1152" s="2" t="str">
        <f t="shared" si="17"/>
        <v>Error?</v>
      </c>
    </row>
    <row r="1153" spans="1:4" x14ac:dyDescent="0.2">
      <c r="A1153" s="5">
        <v>1092</v>
      </c>
      <c r="B1153" s="138">
        <f>'Expenditures 15-22'!K115</f>
        <v>3356888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353986</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7737932</v>
      </c>
      <c r="D1221" s="2" t="str">
        <f t="shared" si="18"/>
        <v>Error?</v>
      </c>
    </row>
    <row r="1222" spans="1:4" x14ac:dyDescent="0.2">
      <c r="A1222" s="10">
        <v>1161</v>
      </c>
      <c r="D1222" s="2" t="str">
        <f t="shared" si="18"/>
        <v>OK</v>
      </c>
    </row>
    <row r="1223" spans="1:4" x14ac:dyDescent="0.2">
      <c r="A1223" s="5">
        <v>1162</v>
      </c>
      <c r="B1223" s="138">
        <f>'Expenditures 15-22'!C127</f>
        <v>8091918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8091918</v>
      </c>
      <c r="C1225" s="2" t="s">
        <v>573</v>
      </c>
      <c r="D1225" s="2" t="str">
        <f t="shared" si="18"/>
        <v>Error?</v>
      </c>
    </row>
    <row r="1226" spans="1:4" x14ac:dyDescent="0.2">
      <c r="A1226" s="5">
        <v>1165</v>
      </c>
      <c r="B1226" s="138">
        <f>'Expenditures 15-22'!C151</f>
        <v>8091918</v>
      </c>
      <c r="C1226" s="2" t="s">
        <v>573</v>
      </c>
      <c r="D1226" s="2" t="str">
        <f t="shared" si="18"/>
        <v>Error?</v>
      </c>
    </row>
    <row r="1227" spans="1:4" x14ac:dyDescent="0.2">
      <c r="A1227" s="5">
        <v>1166</v>
      </c>
      <c r="B1227" s="138">
        <f>'Expenditures 15-22'!D122</f>
        <v>36842</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960723</v>
      </c>
      <c r="D1229" s="2" t="str">
        <f t="shared" si="18"/>
        <v>Error?</v>
      </c>
    </row>
    <row r="1230" spans="1:4" x14ac:dyDescent="0.2">
      <c r="A1230" s="10">
        <v>1169</v>
      </c>
      <c r="D1230" s="2" t="str">
        <f t="shared" si="18"/>
        <v>OK</v>
      </c>
    </row>
    <row r="1231" spans="1:4" x14ac:dyDescent="0.2">
      <c r="A1231" s="5">
        <v>1170</v>
      </c>
      <c r="B1231" s="138">
        <f>'Expenditures 15-22'!D127</f>
        <v>997565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997565</v>
      </c>
      <c r="C1233" s="2" t="s">
        <v>573</v>
      </c>
      <c r="D1233" s="2" t="str">
        <f t="shared" si="18"/>
        <v>Error?</v>
      </c>
    </row>
    <row r="1234" spans="1:4" x14ac:dyDescent="0.2">
      <c r="A1234" s="5">
        <v>1173</v>
      </c>
      <c r="B1234" s="138">
        <f>'Expenditures 15-22'!D151</f>
        <v>997565</v>
      </c>
      <c r="C1234" s="2" t="s">
        <v>573</v>
      </c>
      <c r="D1234" s="2" t="str">
        <f t="shared" si="18"/>
        <v>Error?</v>
      </c>
    </row>
    <row r="1235" spans="1:4" x14ac:dyDescent="0.2">
      <c r="A1235" s="5">
        <v>1174</v>
      </c>
      <c r="B1235" s="138">
        <f>'Expenditures 15-22'!E122</f>
        <v>112</v>
      </c>
      <c r="D1235" s="2" t="str">
        <f t="shared" si="18"/>
        <v>Error?</v>
      </c>
    </row>
    <row r="1236" spans="1:4" x14ac:dyDescent="0.2">
      <c r="A1236" s="5">
        <v>1175</v>
      </c>
      <c r="B1236" s="138">
        <f>'Expenditures 15-22'!E123</f>
        <v>351058</v>
      </c>
      <c r="D1236" s="2" t="str">
        <f t="shared" si="18"/>
        <v>Error?</v>
      </c>
    </row>
    <row r="1237" spans="1:4" x14ac:dyDescent="0.2">
      <c r="A1237" s="5">
        <v>1176</v>
      </c>
      <c r="B1237" s="138">
        <f>'Expenditures 15-22'!E124</f>
        <v>1092191</v>
      </c>
      <c r="D1237" s="2" t="str">
        <f t="shared" si="18"/>
        <v>Error?</v>
      </c>
    </row>
    <row r="1238" spans="1:4" x14ac:dyDescent="0.2">
      <c r="A1238" s="10">
        <v>1177</v>
      </c>
      <c r="D1238" s="2" t="str">
        <f t="shared" si="18"/>
        <v>OK</v>
      </c>
    </row>
    <row r="1239" spans="1:4" x14ac:dyDescent="0.2">
      <c r="A1239" s="5">
        <v>1178</v>
      </c>
      <c r="B1239" s="138">
        <f>'Expenditures 15-22'!E127</f>
        <v>1443361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1443361</v>
      </c>
      <c r="C1241" s="2" t="s">
        <v>573</v>
      </c>
      <c r="D1241" s="2" t="str">
        <f t="shared" si="18"/>
        <v>Error?</v>
      </c>
    </row>
    <row r="1242" spans="1:4" x14ac:dyDescent="0.2">
      <c r="A1242" s="5">
        <v>1181</v>
      </c>
      <c r="B1242" s="138">
        <f>'Expenditures 15-22'!E151</f>
        <v>1443361</v>
      </c>
      <c r="C1242" s="2" t="s">
        <v>573</v>
      </c>
      <c r="D1242" s="2" t="str">
        <f t="shared" si="18"/>
        <v>Error?</v>
      </c>
    </row>
    <row r="1243" spans="1:4" x14ac:dyDescent="0.2">
      <c r="A1243" s="5">
        <v>1182</v>
      </c>
      <c r="B1243" s="138">
        <f>'Expenditures 15-22'!F122</f>
        <v>2571</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4131044</v>
      </c>
      <c r="D1245" s="2" t="str">
        <f t="shared" si="18"/>
        <v>Error?</v>
      </c>
    </row>
    <row r="1246" spans="1:4" x14ac:dyDescent="0.2">
      <c r="A1246" s="10">
        <v>1185</v>
      </c>
      <c r="D1246" s="2" t="str">
        <f t="shared" si="18"/>
        <v>OK</v>
      </c>
    </row>
    <row r="1247" spans="1:4" x14ac:dyDescent="0.2">
      <c r="A1247" s="5">
        <v>1186</v>
      </c>
      <c r="B1247" s="138">
        <f>'Expenditures 15-22'!F127</f>
        <v>4133615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4133615</v>
      </c>
      <c r="C1249" s="2" t="s">
        <v>573</v>
      </c>
      <c r="D1249" s="2" t="str">
        <f t="shared" si="18"/>
        <v>Error?</v>
      </c>
    </row>
    <row r="1250" spans="1:4" x14ac:dyDescent="0.2">
      <c r="A1250" s="5">
        <v>1189</v>
      </c>
      <c r="B1250" s="138">
        <f>'Expenditures 15-22'!F151</f>
        <v>4133615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14966</v>
      </c>
      <c r="D1252" s="2" t="str">
        <f t="shared" si="18"/>
        <v>Error?</v>
      </c>
    </row>
    <row r="1253" spans="1:4" x14ac:dyDescent="0.2">
      <c r="A1253" s="5">
        <v>1192</v>
      </c>
      <c r="B1253" s="138">
        <f>'Expenditures 15-22'!G124</f>
        <v>104999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119965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119965</v>
      </c>
      <c r="C1258" s="2" t="s">
        <v>573</v>
      </c>
      <c r="D1258" s="2" t="str">
        <f t="shared" si="18"/>
        <v>Error?</v>
      </c>
    </row>
    <row r="1259" spans="1:4" x14ac:dyDescent="0.2">
      <c r="A1259" s="5">
        <v>1198</v>
      </c>
      <c r="B1259" s="138">
        <f>'Expenditures 15-22'!G151</f>
        <v>119965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105221</v>
      </c>
      <c r="D1261" s="2" t="str">
        <f t="shared" si="18"/>
        <v>Error?</v>
      </c>
    </row>
    <row r="1262" spans="1:4" x14ac:dyDescent="0.2">
      <c r="A1262" s="5">
        <v>1201</v>
      </c>
      <c r="B1262" s="138">
        <f>'Expenditures 15-22'!H124</f>
        <v>2955</v>
      </c>
      <c r="D1262" s="2" t="str">
        <f t="shared" si="18"/>
        <v>Error?</v>
      </c>
    </row>
    <row r="1263" spans="1:4" x14ac:dyDescent="0.2">
      <c r="A1263" s="10">
        <v>1202</v>
      </c>
      <c r="D1263" s="2" t="str">
        <f t="shared" si="18"/>
        <v>OK</v>
      </c>
    </row>
    <row r="1264" spans="1:4" x14ac:dyDescent="0.2">
      <c r="A1264" s="5">
        <v>1203</v>
      </c>
      <c r="B1264" s="138">
        <f>'Expenditures 15-22'!H127</f>
        <v>108176</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108176</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45</v>
      </c>
      <c r="C1272" s="2" t="s">
        <v>573</v>
      </c>
      <c r="D1272" s="2" t="str">
        <f t="shared" si="18"/>
        <v>Error?</v>
      </c>
    </row>
    <row r="1273" spans="1:4" x14ac:dyDescent="0.2">
      <c r="A1273" s="5">
        <v>1212</v>
      </c>
      <c r="B1273" s="138">
        <f>'Expenditures 15-22'!H151</f>
        <v>108221</v>
      </c>
      <c r="C1273" s="2" t="s">
        <v>573</v>
      </c>
      <c r="D1273" s="2" t="str">
        <f t="shared" si="18"/>
        <v>Error?</v>
      </c>
    </row>
    <row r="1274" spans="1:4" x14ac:dyDescent="0.2">
      <c r="A1274" s="5">
        <v>1213</v>
      </c>
      <c r="B1274" s="138">
        <f>'Expenditures 15-22'!K122</f>
        <v>395888</v>
      </c>
      <c r="C1274" s="2" t="s">
        <v>573</v>
      </c>
      <c r="D1274" s="2" t="str">
        <f t="shared" si="18"/>
        <v>Error?</v>
      </c>
    </row>
    <row r="1275" spans="1:4" x14ac:dyDescent="0.2">
      <c r="A1275" s="5">
        <v>1214</v>
      </c>
      <c r="B1275" s="138">
        <f>'Expenditures 15-22'!K123</f>
        <v>471245</v>
      </c>
      <c r="C1275" s="2" t="s">
        <v>573</v>
      </c>
      <c r="D1275" s="2" t="str">
        <f t="shared" si="18"/>
        <v>Error?</v>
      </c>
    </row>
    <row r="1276" spans="1:4" x14ac:dyDescent="0.2">
      <c r="A1276" s="5">
        <v>1215</v>
      </c>
      <c r="B1276" s="138">
        <f>'Expenditures 15-22'!K124</f>
        <v>14098788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14965921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14965921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45</v>
      </c>
      <c r="C1287" s="2" t="s">
        <v>573</v>
      </c>
      <c r="D1287" s="2" t="str">
        <f t="shared" si="19"/>
        <v>Error?</v>
      </c>
    </row>
    <row r="1288" spans="1:4" x14ac:dyDescent="0.2">
      <c r="A1288" s="5">
        <v>1227</v>
      </c>
      <c r="B1288" s="138">
        <f>'Expenditures 15-22'!K151</f>
        <v>14965966</v>
      </c>
      <c r="C1288" s="2" t="s">
        <v>573</v>
      </c>
      <c r="D1288" s="2" t="str">
        <f t="shared" si="19"/>
        <v>Error?</v>
      </c>
    </row>
    <row r="1289" spans="1:4" x14ac:dyDescent="0.2">
      <c r="A1289" s="5">
        <v>1228</v>
      </c>
      <c r="B1289" s="138">
        <f>'Expenditures 15-22'!K152</f>
        <v>554735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2094593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5310000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7404593</v>
      </c>
      <c r="C1317" s="2" t="s">
        <v>573</v>
      </c>
      <c r="D1317" s="2" t="str">
        <f t="shared" si="19"/>
        <v>Error?</v>
      </c>
    </row>
    <row r="1318" spans="1:4" x14ac:dyDescent="0.2">
      <c r="A1318" s="5">
        <v>1257</v>
      </c>
      <c r="B1318" s="138">
        <f>'Expenditures 15-22'!H174</f>
        <v>7404593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2094593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5310000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7404593</v>
      </c>
      <c r="C1331" s="2" t="s">
        <v>573</v>
      </c>
      <c r="D1331" s="2" t="str">
        <f t="shared" si="19"/>
        <v>Error?</v>
      </c>
    </row>
    <row r="1332" spans="1:4" x14ac:dyDescent="0.2">
      <c r="A1332" s="5">
        <v>1271</v>
      </c>
      <c r="B1332" s="138">
        <f>'Expenditures 15-22'!K174</f>
        <v>7404593</v>
      </c>
      <c r="C1332" s="2" t="s">
        <v>573</v>
      </c>
      <c r="D1332" s="2" t="str">
        <f t="shared" si="19"/>
        <v>Error?</v>
      </c>
    </row>
    <row r="1333" spans="1:4" x14ac:dyDescent="0.2">
      <c r="A1333" s="5">
        <v>1272</v>
      </c>
      <c r="B1333" s="138">
        <f>'Expenditures 15-22'!K175</f>
        <v>682630</v>
      </c>
      <c r="C1333" s="2" t="s">
        <v>573</v>
      </c>
      <c r="D1333" s="2" t="str">
        <f t="shared" si="19"/>
        <v>Error?</v>
      </c>
    </row>
    <row r="1334" spans="1:4" x14ac:dyDescent="0.2">
      <c r="A1334" s="10">
        <v>1273</v>
      </c>
      <c r="D1334" s="2" t="str">
        <f t="shared" si="19"/>
        <v>OK</v>
      </c>
    </row>
    <row r="1335" spans="1:4" x14ac:dyDescent="0.2">
      <c r="A1335" s="5">
        <v>1274</v>
      </c>
      <c r="B1335" s="138">
        <f>'Expenditures 15-22'!C182</f>
        <v>253252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253252</v>
      </c>
      <c r="C1339" s="2" t="s">
        <v>573</v>
      </c>
      <c r="D1339" s="2" t="str">
        <f t="shared" si="19"/>
        <v>Error?</v>
      </c>
    </row>
    <row r="1340" spans="1:4" x14ac:dyDescent="0.2">
      <c r="A1340" s="5">
        <v>1279</v>
      </c>
      <c r="B1340" s="138">
        <f>'Expenditures 15-22'!C210</f>
        <v>253252</v>
      </c>
      <c r="C1340" s="2" t="s">
        <v>573</v>
      </c>
      <c r="D1340" s="2" t="str">
        <f t="shared" si="19"/>
        <v>Error?</v>
      </c>
    </row>
    <row r="1341" spans="1:4" x14ac:dyDescent="0.2">
      <c r="A1341" s="5">
        <v>1280</v>
      </c>
      <c r="B1341" s="138">
        <f>'Expenditures 15-22'!D182</f>
        <v>24981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24981</v>
      </c>
      <c r="C1345" s="2" t="s">
        <v>573</v>
      </c>
      <c r="D1345" s="2" t="str">
        <f t="shared" si="20"/>
        <v>Error?</v>
      </c>
    </row>
    <row r="1346" spans="1:4" x14ac:dyDescent="0.2">
      <c r="A1346" s="5">
        <v>1285</v>
      </c>
      <c r="B1346" s="138">
        <f>'Expenditures 15-22'!D210</f>
        <v>24981</v>
      </c>
      <c r="C1346" s="2" t="s">
        <v>573</v>
      </c>
      <c r="D1346" s="2" t="str">
        <f t="shared" si="20"/>
        <v>Error?</v>
      </c>
    </row>
    <row r="1347" spans="1:4" x14ac:dyDescent="0.2">
      <c r="A1347" s="5">
        <v>1286</v>
      </c>
      <c r="B1347" s="138">
        <f>'Expenditures 15-22'!E182</f>
        <v>10839877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10839877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10839877</v>
      </c>
      <c r="C1353" s="2" t="s">
        <v>573</v>
      </c>
      <c r="D1353" s="2" t="str">
        <f t="shared" si="20"/>
        <v>Error?</v>
      </c>
    </row>
    <row r="1354" spans="1:4" x14ac:dyDescent="0.2">
      <c r="A1354" s="5">
        <v>1293</v>
      </c>
      <c r="B1354" s="138">
        <f>'Expenditures 15-22'!F182</f>
        <v>386718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386718</v>
      </c>
      <c r="C1358" s="2" t="s">
        <v>573</v>
      </c>
      <c r="D1358" s="2" t="str">
        <f t="shared" si="20"/>
        <v>Error?</v>
      </c>
    </row>
    <row r="1359" spans="1:4" x14ac:dyDescent="0.2">
      <c r="A1359" s="5">
        <v>1298</v>
      </c>
      <c r="B1359" s="138">
        <f>'Expenditures 15-22'!F210</f>
        <v>386718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11504828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11504828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11504828</v>
      </c>
      <c r="C1388" s="2" t="s">
        <v>573</v>
      </c>
      <c r="D1388" s="2" t="str">
        <f t="shared" si="20"/>
        <v>Error?</v>
      </c>
    </row>
    <row r="1389" spans="1:4" x14ac:dyDescent="0.2">
      <c r="A1389" s="5">
        <v>1328</v>
      </c>
      <c r="B1389" s="138">
        <f>'Expenditures 15-22'!K211</f>
        <v>1679037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54317</v>
      </c>
      <c r="D1407" s="2" t="str">
        <f t="shared" ref="D1407:D1470" si="21">IF(ISBLANK(B1407),"OK",IF(A1407-B1407=0,"OK","Error?"))</f>
        <v>Error?</v>
      </c>
    </row>
    <row r="1408" spans="1:4" x14ac:dyDescent="0.2">
      <c r="A1408" s="5">
        <v>1347</v>
      </c>
      <c r="B1408" s="138">
        <f>'Expenditures 15-22'!D223</f>
        <v>20758</v>
      </c>
      <c r="D1408" s="2" t="str">
        <f t="shared" si="21"/>
        <v>Error?</v>
      </c>
    </row>
    <row r="1409" spans="1:4" x14ac:dyDescent="0.2">
      <c r="A1409" s="5">
        <v>1348</v>
      </c>
      <c r="B1409" s="138">
        <f>'Expenditures 15-22'!D224</f>
        <v>712</v>
      </c>
      <c r="D1409" s="2" t="str">
        <f t="shared" si="21"/>
        <v>Error?</v>
      </c>
    </row>
    <row r="1410" spans="1:4" x14ac:dyDescent="0.2">
      <c r="A1410" s="5">
        <v>1349</v>
      </c>
      <c r="B1410" s="138">
        <f>'Expenditures 15-22'!D229</f>
        <v>2004369</v>
      </c>
      <c r="C1410" s="2" t="s">
        <v>573</v>
      </c>
      <c r="D1410" s="2" t="str">
        <f t="shared" si="21"/>
        <v>Error?</v>
      </c>
    </row>
    <row r="1411" spans="1:4" x14ac:dyDescent="0.2">
      <c r="A1411" s="5">
        <v>1350</v>
      </c>
      <c r="B1411" s="138">
        <f>'Expenditures 15-22'!D232</f>
        <v>111089</v>
      </c>
      <c r="D1411" s="2" t="str">
        <f t="shared" si="21"/>
        <v>Error?</v>
      </c>
    </row>
    <row r="1412" spans="1:4" x14ac:dyDescent="0.2">
      <c r="A1412" s="5">
        <v>1351</v>
      </c>
      <c r="B1412" s="138">
        <f>'Expenditures 15-22'!D233</f>
        <v>85534</v>
      </c>
      <c r="D1412" s="2" t="str">
        <f t="shared" si="21"/>
        <v>Error?</v>
      </c>
    </row>
    <row r="1413" spans="1:4" x14ac:dyDescent="0.2">
      <c r="A1413" s="5">
        <v>1352</v>
      </c>
      <c r="B1413" s="138">
        <f>'Expenditures 15-22'!D234</f>
        <v>220020</v>
      </c>
      <c r="D1413" s="2" t="str">
        <f t="shared" si="21"/>
        <v>Error?</v>
      </c>
    </row>
    <row r="1414" spans="1:4" x14ac:dyDescent="0.2">
      <c r="A1414" s="5">
        <v>1353</v>
      </c>
      <c r="B1414" s="138">
        <f>'Expenditures 15-22'!D235</f>
        <v>17746</v>
      </c>
      <c r="D1414" s="2" t="str">
        <f t="shared" si="21"/>
        <v>Error?</v>
      </c>
    </row>
    <row r="1415" spans="1:4" x14ac:dyDescent="0.2">
      <c r="A1415" s="5">
        <v>1354</v>
      </c>
      <c r="B1415" s="138">
        <f>'Expenditures 15-22'!D236</f>
        <v>45218</v>
      </c>
      <c r="D1415" s="2" t="str">
        <f t="shared" si="21"/>
        <v>Error?</v>
      </c>
    </row>
    <row r="1416" spans="1:4" x14ac:dyDescent="0.2">
      <c r="A1416" s="5">
        <v>1355</v>
      </c>
      <c r="B1416" s="138">
        <f>'Expenditures 15-22'!D237</f>
        <v>17152</v>
      </c>
      <c r="D1416" s="2" t="str">
        <f t="shared" si="21"/>
        <v>Error?</v>
      </c>
    </row>
    <row r="1417" spans="1:4" x14ac:dyDescent="0.2">
      <c r="A1417" s="5">
        <v>1356</v>
      </c>
      <c r="B1417" s="138">
        <f>'Expenditures 15-22'!D238</f>
        <v>496759</v>
      </c>
      <c r="C1417" s="2" t="s">
        <v>573</v>
      </c>
      <c r="D1417" s="2" t="str">
        <f t="shared" si="21"/>
        <v>Error?</v>
      </c>
    </row>
    <row r="1418" spans="1:4" x14ac:dyDescent="0.2">
      <c r="A1418" s="5">
        <v>1357</v>
      </c>
      <c r="B1418" s="138">
        <f>'Expenditures 15-22'!D240</f>
        <v>77843</v>
      </c>
      <c r="D1418" s="2" t="str">
        <f t="shared" si="21"/>
        <v>Error?</v>
      </c>
    </row>
    <row r="1419" spans="1:4" x14ac:dyDescent="0.2">
      <c r="A1419" s="5">
        <v>1358</v>
      </c>
      <c r="B1419" s="138">
        <f>'Expenditures 15-22'!D241</f>
        <v>38457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116300</v>
      </c>
      <c r="C1421" s="2" t="s">
        <v>573</v>
      </c>
      <c r="D1421" s="2" t="str">
        <f t="shared" si="21"/>
        <v>Error?</v>
      </c>
    </row>
    <row r="1422" spans="1:4" x14ac:dyDescent="0.2">
      <c r="A1422" s="5">
        <v>1361</v>
      </c>
      <c r="B1422" s="138">
        <f>'Expenditures 15-22'!D245</f>
        <v>12586</v>
      </c>
      <c r="D1422" s="2" t="str">
        <f t="shared" si="21"/>
        <v>Error?</v>
      </c>
    </row>
    <row r="1423" spans="1:4" x14ac:dyDescent="0.2">
      <c r="A1423" s="5">
        <v>1362</v>
      </c>
      <c r="B1423" s="138">
        <f>'Expenditures 15-22'!D246</f>
        <v>85237</v>
      </c>
      <c r="D1423" s="2" t="str">
        <f t="shared" si="21"/>
        <v>Error?</v>
      </c>
    </row>
    <row r="1424" spans="1:4" x14ac:dyDescent="0.2">
      <c r="A1424" s="5">
        <v>1363</v>
      </c>
      <c r="B1424" s="138">
        <f>'Expenditures 15-22'!D257</f>
        <v>402255</v>
      </c>
      <c r="C1424" s="2" t="s">
        <v>573</v>
      </c>
      <c r="D1424" s="2" t="str">
        <f t="shared" si="21"/>
        <v>Error?</v>
      </c>
    </row>
    <row r="1425" spans="1:4" x14ac:dyDescent="0.2">
      <c r="A1425" s="5">
        <v>1364</v>
      </c>
      <c r="B1425" s="138">
        <f>'Expenditures 15-22'!D259</f>
        <v>374048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374048</v>
      </c>
      <c r="C1427" s="2" t="s">
        <v>573</v>
      </c>
      <c r="D1427" s="2" t="str">
        <f t="shared" si="21"/>
        <v>Error?</v>
      </c>
    </row>
    <row r="1428" spans="1:4" x14ac:dyDescent="0.2">
      <c r="A1428" s="5">
        <v>1367</v>
      </c>
      <c r="B1428" s="138">
        <f>'Expenditures 15-22'!D263</f>
        <v>98269</v>
      </c>
      <c r="D1428" s="2" t="str">
        <f t="shared" si="21"/>
        <v>Error?</v>
      </c>
    </row>
    <row r="1429" spans="1:4" x14ac:dyDescent="0.2">
      <c r="A1429" s="5">
        <v>1368</v>
      </c>
      <c r="B1429" s="138">
        <f>'Expenditures 15-22'!D264</f>
        <v>108021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1452482</v>
      </c>
      <c r="D1431" s="2" t="str">
        <f t="shared" si="21"/>
        <v>Error?</v>
      </c>
    </row>
    <row r="1432" spans="1:4" x14ac:dyDescent="0.2">
      <c r="A1432" s="5">
        <v>1371</v>
      </c>
      <c r="B1432" s="138">
        <f>'Expenditures 15-22'!D267</f>
        <v>47597</v>
      </c>
      <c r="D1432" s="2" t="str">
        <f t="shared" si="21"/>
        <v>Error?</v>
      </c>
    </row>
    <row r="1433" spans="1:4" x14ac:dyDescent="0.2">
      <c r="A1433" s="5">
        <v>1372</v>
      </c>
      <c r="B1433" s="138">
        <f>'Expenditures 15-22'!D268</f>
        <v>669616</v>
      </c>
      <c r="D1433" s="2" t="str">
        <f t="shared" si="21"/>
        <v>Error?</v>
      </c>
    </row>
    <row r="1434" spans="1:4" x14ac:dyDescent="0.2">
      <c r="A1434" s="5">
        <v>1373</v>
      </c>
      <c r="B1434" s="138">
        <f>'Expenditures 15-22'!D269</f>
        <v>14957</v>
      </c>
      <c r="D1434" s="2" t="str">
        <f t="shared" si="21"/>
        <v>Error?</v>
      </c>
    </row>
    <row r="1435" spans="1:4" x14ac:dyDescent="0.2">
      <c r="A1435" s="10">
        <v>1374</v>
      </c>
      <c r="D1435" s="2" t="str">
        <f t="shared" si="21"/>
        <v>OK</v>
      </c>
    </row>
    <row r="1436" spans="1:4" x14ac:dyDescent="0.2">
      <c r="A1436" s="5">
        <v>1375</v>
      </c>
      <c r="B1436" s="138">
        <f>'Expenditures 15-22'!D270</f>
        <v>2390942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81918</v>
      </c>
      <c r="D1440" s="2" t="str">
        <f t="shared" si="21"/>
        <v>Error?</v>
      </c>
    </row>
    <row r="1441" spans="1:4" x14ac:dyDescent="0.2">
      <c r="A1441" s="10">
        <v>1380</v>
      </c>
      <c r="D1441" s="2" t="str">
        <f t="shared" si="21"/>
        <v>OK</v>
      </c>
    </row>
    <row r="1442" spans="1:4" x14ac:dyDescent="0.2">
      <c r="A1442" s="5">
        <v>1381</v>
      </c>
      <c r="B1442" s="138">
        <f>'Expenditures 15-22'!D276</f>
        <v>151688</v>
      </c>
      <c r="D1442" s="2" t="str">
        <f t="shared" si="21"/>
        <v>Error?</v>
      </c>
    </row>
    <row r="1443" spans="1:4" x14ac:dyDescent="0.2">
      <c r="A1443" s="10">
        <v>1382</v>
      </c>
      <c r="D1443" s="2" t="str">
        <f t="shared" si="21"/>
        <v>OK</v>
      </c>
    </row>
    <row r="1444" spans="1:4" x14ac:dyDescent="0.2">
      <c r="A1444" s="5">
        <v>1383</v>
      </c>
      <c r="B1444" s="138">
        <f>'Expenditures 15-22'!D277</f>
        <v>233606</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4013910</v>
      </c>
      <c r="C1446" s="2" t="s">
        <v>573</v>
      </c>
      <c r="D1446" s="2" t="str">
        <f t="shared" si="21"/>
        <v>Error?</v>
      </c>
    </row>
    <row r="1447" spans="1:4" x14ac:dyDescent="0.2">
      <c r="A1447" s="5">
        <v>1386</v>
      </c>
      <c r="B1447" s="138">
        <f>'Expenditures 15-22'!D280</f>
        <v>47203</v>
      </c>
      <c r="D1447" s="2" t="str">
        <f t="shared" si="21"/>
        <v>Error?</v>
      </c>
    </row>
    <row r="1448" spans="1:4" x14ac:dyDescent="0.2">
      <c r="A1448" s="5">
        <v>1387</v>
      </c>
      <c r="B1448" s="138">
        <f>'Expenditures 15-22'!D295</f>
        <v>6065482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54317</v>
      </c>
      <c r="C1471" s="2" t="s">
        <v>573</v>
      </c>
      <c r="D1471" s="2" t="str">
        <f t="shared" ref="D1471:D1534" si="22">IF(ISBLANK(B1471),"OK",IF(A1471-B1471=0,"OK","Error?"))</f>
        <v>Error?</v>
      </c>
    </row>
    <row r="1472" spans="1:4" x14ac:dyDescent="0.2">
      <c r="A1472" s="5">
        <v>1411</v>
      </c>
      <c r="B1472" s="138">
        <f>'Expenditures 15-22'!K223</f>
        <v>20758</v>
      </c>
      <c r="C1472" s="2" t="s">
        <v>573</v>
      </c>
      <c r="D1472" s="2" t="str">
        <f t="shared" si="22"/>
        <v>Error?</v>
      </c>
    </row>
    <row r="1473" spans="1:4" x14ac:dyDescent="0.2">
      <c r="A1473" s="5">
        <v>1412</v>
      </c>
      <c r="B1473" s="138">
        <f>'Expenditures 15-22'!K224</f>
        <v>712</v>
      </c>
      <c r="C1473" s="2" t="s">
        <v>573</v>
      </c>
      <c r="D1473" s="2" t="str">
        <f t="shared" si="22"/>
        <v>Error?</v>
      </c>
    </row>
    <row r="1474" spans="1:4" x14ac:dyDescent="0.2">
      <c r="A1474" s="5">
        <v>1413</v>
      </c>
      <c r="B1474" s="138">
        <f>'Expenditures 15-22'!K229</f>
        <v>2004369</v>
      </c>
      <c r="C1474" s="2" t="s">
        <v>573</v>
      </c>
      <c r="D1474" s="2" t="str">
        <f t="shared" si="22"/>
        <v>Error?</v>
      </c>
    </row>
    <row r="1475" spans="1:4" x14ac:dyDescent="0.2">
      <c r="A1475" s="5">
        <v>1414</v>
      </c>
      <c r="B1475" s="138">
        <f>'Expenditures 15-22'!K232</f>
        <v>111089</v>
      </c>
      <c r="C1475" s="2" t="s">
        <v>573</v>
      </c>
      <c r="D1475" s="2" t="str">
        <f t="shared" si="22"/>
        <v>Error?</v>
      </c>
    </row>
    <row r="1476" spans="1:4" x14ac:dyDescent="0.2">
      <c r="A1476" s="5">
        <v>1415</v>
      </c>
      <c r="B1476" s="138">
        <f>'Expenditures 15-22'!K233</f>
        <v>85534</v>
      </c>
      <c r="C1476" s="2" t="s">
        <v>573</v>
      </c>
      <c r="D1476" s="2" t="str">
        <f t="shared" si="22"/>
        <v>Error?</v>
      </c>
    </row>
    <row r="1477" spans="1:4" x14ac:dyDescent="0.2">
      <c r="A1477" s="5">
        <v>1416</v>
      </c>
      <c r="B1477" s="138">
        <f>'Expenditures 15-22'!K234</f>
        <v>220020</v>
      </c>
      <c r="C1477" s="2" t="s">
        <v>573</v>
      </c>
      <c r="D1477" s="2" t="str">
        <f t="shared" si="22"/>
        <v>Error?</v>
      </c>
    </row>
    <row r="1478" spans="1:4" x14ac:dyDescent="0.2">
      <c r="A1478" s="5">
        <v>1417</v>
      </c>
      <c r="B1478" s="138">
        <f>'Expenditures 15-22'!K235</f>
        <v>17746</v>
      </c>
      <c r="C1478" s="2" t="s">
        <v>573</v>
      </c>
      <c r="D1478" s="2" t="str">
        <f t="shared" si="22"/>
        <v>Error?</v>
      </c>
    </row>
    <row r="1479" spans="1:4" x14ac:dyDescent="0.2">
      <c r="A1479" s="5">
        <v>1418</v>
      </c>
      <c r="B1479" s="138">
        <f>'Expenditures 15-22'!K236</f>
        <v>45218</v>
      </c>
      <c r="C1479" s="2" t="s">
        <v>573</v>
      </c>
      <c r="D1479" s="2" t="str">
        <f t="shared" si="22"/>
        <v>Error?</v>
      </c>
    </row>
    <row r="1480" spans="1:4" x14ac:dyDescent="0.2">
      <c r="A1480" s="5">
        <v>1419</v>
      </c>
      <c r="B1480" s="138">
        <f>'Expenditures 15-22'!K237</f>
        <v>17152</v>
      </c>
      <c r="C1480" s="2" t="s">
        <v>573</v>
      </c>
      <c r="D1480" s="2" t="str">
        <f t="shared" si="22"/>
        <v>Error?</v>
      </c>
    </row>
    <row r="1481" spans="1:4" x14ac:dyDescent="0.2">
      <c r="A1481" s="5">
        <v>1420</v>
      </c>
      <c r="B1481" s="138">
        <f>'Expenditures 15-22'!K238</f>
        <v>496759</v>
      </c>
      <c r="C1481" s="2" t="s">
        <v>573</v>
      </c>
      <c r="D1481" s="2" t="str">
        <f t="shared" si="22"/>
        <v>Error?</v>
      </c>
    </row>
    <row r="1482" spans="1:4" x14ac:dyDescent="0.2">
      <c r="A1482" s="5">
        <v>1421</v>
      </c>
      <c r="B1482" s="138">
        <f>'Expenditures 15-22'!K240</f>
        <v>77843</v>
      </c>
      <c r="C1482" s="2" t="s">
        <v>573</v>
      </c>
      <c r="D1482" s="2" t="str">
        <f t="shared" si="22"/>
        <v>Error?</v>
      </c>
    </row>
    <row r="1483" spans="1:4" x14ac:dyDescent="0.2">
      <c r="A1483" s="5">
        <v>1422</v>
      </c>
      <c r="B1483" s="138">
        <f>'Expenditures 15-22'!K241</f>
        <v>38457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116300</v>
      </c>
      <c r="C1485" s="2" t="s">
        <v>573</v>
      </c>
      <c r="D1485" s="2" t="str">
        <f t="shared" si="22"/>
        <v>Error?</v>
      </c>
    </row>
    <row r="1486" spans="1:4" x14ac:dyDescent="0.2">
      <c r="A1486" s="5">
        <v>1425</v>
      </c>
      <c r="B1486" s="138">
        <f>'Expenditures 15-22'!K245</f>
        <v>12586</v>
      </c>
      <c r="C1486" s="2" t="s">
        <v>573</v>
      </c>
      <c r="D1486" s="2" t="str">
        <f t="shared" si="22"/>
        <v>Error?</v>
      </c>
    </row>
    <row r="1487" spans="1:4" x14ac:dyDescent="0.2">
      <c r="A1487" s="5">
        <v>1426</v>
      </c>
      <c r="B1487" s="138">
        <f>'Expenditures 15-22'!K246</f>
        <v>85237</v>
      </c>
      <c r="C1487" s="2" t="s">
        <v>573</v>
      </c>
      <c r="D1487" s="2" t="str">
        <f t="shared" si="22"/>
        <v>Error?</v>
      </c>
    </row>
    <row r="1488" spans="1:4" x14ac:dyDescent="0.2">
      <c r="A1488" s="5">
        <v>1427</v>
      </c>
      <c r="B1488" s="138">
        <f>'Expenditures 15-22'!K257</f>
        <v>402255</v>
      </c>
      <c r="C1488" s="2" t="s">
        <v>573</v>
      </c>
      <c r="D1488" s="2" t="str">
        <f t="shared" si="22"/>
        <v>Error?</v>
      </c>
    </row>
    <row r="1489" spans="1:4" x14ac:dyDescent="0.2">
      <c r="A1489" s="5">
        <v>1428</v>
      </c>
      <c r="B1489" s="138">
        <f>'Expenditures 15-22'!K259</f>
        <v>374048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374048</v>
      </c>
      <c r="C1491" s="2" t="s">
        <v>573</v>
      </c>
      <c r="D1491" s="2" t="str">
        <f t="shared" si="22"/>
        <v>Error?</v>
      </c>
    </row>
    <row r="1492" spans="1:4" x14ac:dyDescent="0.2">
      <c r="A1492" s="5">
        <v>1431</v>
      </c>
      <c r="B1492" s="138">
        <f>'Expenditures 15-22'!K263</f>
        <v>98269</v>
      </c>
      <c r="C1492" s="2" t="s">
        <v>573</v>
      </c>
      <c r="D1492" s="2" t="str">
        <f t="shared" si="22"/>
        <v>Error?</v>
      </c>
    </row>
    <row r="1493" spans="1:4" x14ac:dyDescent="0.2">
      <c r="A1493" s="5">
        <v>1432</v>
      </c>
      <c r="B1493" s="138">
        <f>'Expenditures 15-22'!K264</f>
        <v>108021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1452482</v>
      </c>
      <c r="C1495" s="2" t="s">
        <v>573</v>
      </c>
      <c r="D1495" s="2" t="str">
        <f t="shared" si="22"/>
        <v>Error?</v>
      </c>
    </row>
    <row r="1496" spans="1:4" x14ac:dyDescent="0.2">
      <c r="A1496" s="5">
        <v>1435</v>
      </c>
      <c r="B1496" s="138">
        <f>'Expenditures 15-22'!K267</f>
        <v>47597</v>
      </c>
      <c r="C1496" s="2" t="s">
        <v>573</v>
      </c>
      <c r="D1496" s="2" t="str">
        <f t="shared" si="22"/>
        <v>Error?</v>
      </c>
    </row>
    <row r="1497" spans="1:4" x14ac:dyDescent="0.2">
      <c r="A1497" s="5">
        <v>1436</v>
      </c>
      <c r="B1497" s="138">
        <f>'Expenditures 15-22'!K268</f>
        <v>669616</v>
      </c>
      <c r="C1497" s="2" t="s">
        <v>573</v>
      </c>
      <c r="D1497" s="2" t="str">
        <f t="shared" si="22"/>
        <v>Error?</v>
      </c>
    </row>
    <row r="1498" spans="1:4" x14ac:dyDescent="0.2">
      <c r="A1498" s="5">
        <v>1437</v>
      </c>
      <c r="B1498" s="138">
        <f>'Expenditures 15-22'!K269</f>
        <v>14957</v>
      </c>
      <c r="C1498" s="2" t="s">
        <v>573</v>
      </c>
      <c r="D1498" s="2" t="str">
        <f t="shared" si="22"/>
        <v>Error?</v>
      </c>
    </row>
    <row r="1499" spans="1:4" x14ac:dyDescent="0.2">
      <c r="A1499" s="10">
        <v>1438</v>
      </c>
      <c r="D1499" s="2" t="str">
        <f t="shared" si="22"/>
        <v>OK</v>
      </c>
    </row>
    <row r="1500" spans="1:4" x14ac:dyDescent="0.2">
      <c r="A1500" s="5">
        <v>1439</v>
      </c>
      <c r="B1500" s="138">
        <f>'Expenditures 15-22'!K270</f>
        <v>2390942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81918</v>
      </c>
      <c r="C1504" s="2" t="s">
        <v>573</v>
      </c>
      <c r="D1504" s="2" t="str">
        <f t="shared" si="22"/>
        <v>Error?</v>
      </c>
    </row>
    <row r="1505" spans="1:4" x14ac:dyDescent="0.2">
      <c r="A1505" s="10">
        <v>1444</v>
      </c>
      <c r="D1505" s="2" t="str">
        <f t="shared" si="22"/>
        <v>OK</v>
      </c>
    </row>
    <row r="1506" spans="1:4" x14ac:dyDescent="0.2">
      <c r="A1506" s="5">
        <v>1445</v>
      </c>
      <c r="B1506" s="138">
        <f>'Expenditures 15-22'!K276</f>
        <v>151688</v>
      </c>
      <c r="C1506" s="2" t="s">
        <v>573</v>
      </c>
      <c r="D1506" s="2" t="str">
        <f t="shared" si="22"/>
        <v>Error?</v>
      </c>
    </row>
    <row r="1507" spans="1:4" x14ac:dyDescent="0.2">
      <c r="A1507" s="10">
        <v>1446</v>
      </c>
      <c r="D1507" s="2" t="str">
        <f t="shared" si="22"/>
        <v>OK</v>
      </c>
    </row>
    <row r="1508" spans="1:4" x14ac:dyDescent="0.2">
      <c r="A1508" s="5">
        <v>1447</v>
      </c>
      <c r="B1508" s="138">
        <f>'Expenditures 15-22'!K277</f>
        <v>233606</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4013910</v>
      </c>
      <c r="C1510" s="2" t="s">
        <v>573</v>
      </c>
      <c r="D1510" s="2" t="str">
        <f t="shared" si="22"/>
        <v>Error?</v>
      </c>
    </row>
    <row r="1511" spans="1:4" x14ac:dyDescent="0.2">
      <c r="A1511" s="5">
        <v>1450</v>
      </c>
      <c r="B1511" s="138">
        <f>'Expenditures 15-22'!K280</f>
        <v>47203</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6065482</v>
      </c>
      <c r="C1517" s="2" t="s">
        <v>573</v>
      </c>
      <c r="D1517" s="2" t="str">
        <f t="shared" si="22"/>
        <v>Error?</v>
      </c>
    </row>
    <row r="1518" spans="1:4" x14ac:dyDescent="0.2">
      <c r="A1518" s="5">
        <v>1457</v>
      </c>
      <c r="B1518" s="138">
        <f>'Expenditures 15-22'!K296</f>
        <v>315469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13190393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16547281</v>
      </c>
      <c r="C1630" s="2" t="s">
        <v>573</v>
      </c>
      <c r="D1630" s="2" t="str">
        <f t="shared" si="24"/>
        <v>Error?</v>
      </c>
    </row>
    <row r="1631" spans="1:4" x14ac:dyDescent="0.2">
      <c r="A1631" s="5">
        <v>1570</v>
      </c>
      <c r="B1631" s="138">
        <f>'Acct Summary 7-8'!D79</f>
        <v>1360666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2114675</v>
      </c>
      <c r="C1644" s="2" t="s">
        <v>573</v>
      </c>
      <c r="D1644" s="2" t="str">
        <f t="shared" si="24"/>
        <v>Error?</v>
      </c>
    </row>
    <row r="1645" spans="1:4" x14ac:dyDescent="0.2">
      <c r="A1645" s="5">
        <v>1584</v>
      </c>
      <c r="B1645" s="138">
        <f>'Acct Summary 7-8'!E79</f>
        <v>7739143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8529499</v>
      </c>
      <c r="C1658" s="2" t="s">
        <v>573</v>
      </c>
      <c r="D1658" s="2" t="str">
        <f t="shared" si="24"/>
        <v>Error?</v>
      </c>
    </row>
    <row r="1659" spans="1:4" x14ac:dyDescent="0.2">
      <c r="A1659" s="5">
        <v>1598</v>
      </c>
      <c r="B1659" s="138">
        <f>'Acct Summary 7-8'!F79</f>
        <v>868460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2547497</v>
      </c>
      <c r="C1672" s="2" t="s">
        <v>573</v>
      </c>
      <c r="D1672" s="2" t="str">
        <f t="shared" si="25"/>
        <v>Error?</v>
      </c>
    </row>
    <row r="1673" spans="1:4" x14ac:dyDescent="0.2">
      <c r="A1673" s="5">
        <v>1612</v>
      </c>
      <c r="B1673" s="138">
        <f>'Acct Summary 7-8'!G79</f>
        <v>-292640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22829</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67680192</v>
      </c>
      <c r="C1744" s="2" t="s">
        <v>573</v>
      </c>
      <c r="D1744" s="2" t="str">
        <f t="shared" si="26"/>
        <v>Error?</v>
      </c>
    </row>
    <row r="1745" spans="1:5" x14ac:dyDescent="0.2">
      <c r="A1745" s="5">
        <v>1684</v>
      </c>
      <c r="B1745" s="138">
        <f>'Tax Sched 23'!B5</f>
        <v>13805002</v>
      </c>
      <c r="C1745" s="2" t="s">
        <v>573</v>
      </c>
      <c r="D1745" s="2" t="str">
        <f t="shared" si="26"/>
        <v>Error?</v>
      </c>
    </row>
    <row r="1746" spans="1:5" x14ac:dyDescent="0.2">
      <c r="A1746" s="5">
        <v>1685</v>
      </c>
      <c r="B1746" s="138">
        <f>'Tax Sched 23'!B6</f>
        <v>7898792</v>
      </c>
      <c r="C1746" s="2" t="s">
        <v>573</v>
      </c>
      <c r="D1746" s="2" t="str">
        <f t="shared" si="26"/>
        <v>Error?</v>
      </c>
    </row>
    <row r="1747" spans="1:5" x14ac:dyDescent="0.2">
      <c r="A1747" s="5">
        <v>1686</v>
      </c>
      <c r="B1747" s="138">
        <f>'Tax Sched 23'!B7</f>
        <v>5206540</v>
      </c>
      <c r="C1747" s="2" t="s">
        <v>573</v>
      </c>
      <c r="D1747" s="2" t="str">
        <f t="shared" si="26"/>
        <v>Error?</v>
      </c>
    </row>
    <row r="1748" spans="1:5" x14ac:dyDescent="0.2">
      <c r="A1748" s="5">
        <v>1687</v>
      </c>
      <c r="B1748" s="138">
        <f>'Tax Sched 23'!B8</f>
        <v>2756015</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2994170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2068997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105257822</v>
      </c>
      <c r="C1759" s="2" t="s">
        <v>573</v>
      </c>
      <c r="D1759" s="2" t="str">
        <f t="shared" si="26"/>
        <v>Error?</v>
      </c>
    </row>
    <row r="1760" spans="1:5" x14ac:dyDescent="0.2">
      <c r="A1760" s="5">
        <v>1699</v>
      </c>
      <c r="B1760" s="138">
        <f>'Tax Sched 23'!D4</f>
        <v>32233608</v>
      </c>
      <c r="C1760" s="2" t="s">
        <v>573</v>
      </c>
      <c r="D1760" s="2" t="str">
        <f t="shared" si="26"/>
        <v>Error?</v>
      </c>
    </row>
    <row r="1761" spans="1:5" x14ac:dyDescent="0.2">
      <c r="A1761" s="5">
        <v>1700</v>
      </c>
      <c r="B1761" s="138">
        <f>'Tax Sched 23'!D5</f>
        <v>6584749</v>
      </c>
      <c r="C1761" s="2" t="s">
        <v>573</v>
      </c>
      <c r="D1761" s="2" t="str">
        <f t="shared" si="26"/>
        <v>Error?</v>
      </c>
    </row>
    <row r="1762" spans="1:5" s="8" customFormat="1" x14ac:dyDescent="0.2">
      <c r="A1762" s="5">
        <v>1701</v>
      </c>
      <c r="B1762" s="138">
        <f>'Tax Sched 23'!D6</f>
        <v>3795570</v>
      </c>
      <c r="C1762" s="2" t="s">
        <v>573</v>
      </c>
      <c r="D1762" s="2" t="str">
        <f t="shared" si="26"/>
        <v>Error?</v>
      </c>
      <c r="E1762" s="9"/>
    </row>
    <row r="1763" spans="1:5" x14ac:dyDescent="0.2">
      <c r="A1763" s="5">
        <v>1702</v>
      </c>
      <c r="B1763" s="138">
        <f>'Tax Sched 23'!D7</f>
        <v>2483569</v>
      </c>
      <c r="C1763" s="2" t="s">
        <v>573</v>
      </c>
      <c r="D1763" s="2" t="str">
        <f t="shared" si="26"/>
        <v>Error?</v>
      </c>
    </row>
    <row r="1764" spans="1:5" x14ac:dyDescent="0.2">
      <c r="A1764" s="5">
        <v>1703</v>
      </c>
      <c r="B1764" s="138">
        <f>'Tax Sched 23'!D8</f>
        <v>1314258</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1478397</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986897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50235451</v>
      </c>
      <c r="C1775" s="2" t="s">
        <v>573</v>
      </c>
      <c r="D1775" s="2" t="str">
        <f t="shared" si="26"/>
        <v>Error?</v>
      </c>
    </row>
    <row r="1776" spans="1:5" x14ac:dyDescent="0.2">
      <c r="A1776" s="5">
        <v>1715</v>
      </c>
      <c r="B1776" s="138">
        <f>'Tax Sched 23'!C4</f>
        <v>35446584</v>
      </c>
      <c r="D1776" s="2" t="str">
        <f t="shared" si="26"/>
        <v>Error?</v>
      </c>
    </row>
    <row r="1777" spans="1:4" x14ac:dyDescent="0.2">
      <c r="A1777" s="5">
        <v>1716</v>
      </c>
      <c r="B1777" s="138">
        <f>'Tax Sched 23'!C5</f>
        <v>7220253</v>
      </c>
      <c r="D1777" s="2" t="str">
        <f t="shared" si="26"/>
        <v>Error?</v>
      </c>
    </row>
    <row r="1778" spans="1:4" x14ac:dyDescent="0.2">
      <c r="A1778" s="5">
        <v>1717</v>
      </c>
      <c r="B1778" s="138">
        <f>'Tax Sched 23'!C6</f>
        <v>4103222</v>
      </c>
      <c r="D1778" s="2" t="str">
        <f t="shared" si="26"/>
        <v>Error?</v>
      </c>
    </row>
    <row r="1779" spans="1:4" x14ac:dyDescent="0.2">
      <c r="A1779" s="5">
        <v>1718</v>
      </c>
      <c r="B1779" s="138">
        <f>'Tax Sched 23'!C7</f>
        <v>2722971</v>
      </c>
      <c r="D1779" s="2" t="str">
        <f t="shared" si="26"/>
        <v>Error?</v>
      </c>
    </row>
    <row r="1780" spans="1:4" x14ac:dyDescent="0.2">
      <c r="A1780" s="5">
        <v>1719</v>
      </c>
      <c r="B1780" s="138">
        <f>'Tax Sched 23'!C8</f>
        <v>1441757</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1515773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1082100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55022371</v>
      </c>
      <c r="C1791" s="2" t="s">
        <v>573</v>
      </c>
      <c r="D1791" s="2" t="str">
        <f t="shared" ref="D1791:D1854" si="27">IF(ISBLANK(B1791),"OK",IF(A1791-B1791=0,"OK","Error?"))</f>
        <v>Error?</v>
      </c>
    </row>
    <row r="1792" spans="1:4" x14ac:dyDescent="0.2">
      <c r="A1792" s="5">
        <v>1731</v>
      </c>
      <c r="B1792" s="138">
        <f>'Tax Sched 23'!F4</f>
        <v>33467502</v>
      </c>
      <c r="C1792" s="2" t="s">
        <v>573</v>
      </c>
      <c r="D1792" s="2" t="str">
        <f t="shared" si="27"/>
        <v>Error?</v>
      </c>
    </row>
    <row r="1793" spans="1:4" x14ac:dyDescent="0.2">
      <c r="A1793" s="5">
        <v>1732</v>
      </c>
      <c r="B1793" s="138">
        <f>'Tax Sched 23'!F5</f>
        <v>6817126</v>
      </c>
      <c r="C1793" s="2" t="s">
        <v>573</v>
      </c>
      <c r="D1793" s="2" t="str">
        <f t="shared" si="27"/>
        <v>Error?</v>
      </c>
    </row>
    <row r="1794" spans="1:4" x14ac:dyDescent="0.2">
      <c r="A1794" s="5">
        <v>1733</v>
      </c>
      <c r="B1794" s="138">
        <f>'Tax Sched 23'!F6</f>
        <v>3874128</v>
      </c>
      <c r="C1794" s="2" t="s">
        <v>573</v>
      </c>
      <c r="D1794" s="2" t="str">
        <f t="shared" si="27"/>
        <v>Error?</v>
      </c>
    </row>
    <row r="1795" spans="1:4" x14ac:dyDescent="0.2">
      <c r="A1795" s="5">
        <v>1734</v>
      </c>
      <c r="B1795" s="138">
        <f>'Tax Sched 23'!F7</f>
        <v>2570941</v>
      </c>
      <c r="C1795" s="2" t="s">
        <v>573</v>
      </c>
      <c r="D1795" s="2" t="str">
        <f t="shared" si="27"/>
        <v>Error?</v>
      </c>
    </row>
    <row r="1796" spans="1:4" x14ac:dyDescent="0.2">
      <c r="A1796" s="5">
        <v>1735</v>
      </c>
      <c r="B1796" s="138">
        <f>'Tax Sched 23'!F8</f>
        <v>1361260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1431144</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1021683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51950321</v>
      </c>
      <c r="C1807" s="2" t="s">
        <v>573</v>
      </c>
      <c r="D1807" s="2" t="str">
        <f t="shared" si="27"/>
        <v>Error?</v>
      </c>
    </row>
    <row r="1808" spans="1:4" x14ac:dyDescent="0.2">
      <c r="A1808" s="5">
        <v>1747</v>
      </c>
      <c r="B1808" s="138">
        <f>'Tax Sched 23'!E4</f>
        <v>68914086</v>
      </c>
      <c r="D1808" s="2" t="str">
        <f t="shared" si="27"/>
        <v>Error?</v>
      </c>
    </row>
    <row r="1809" spans="1:4" x14ac:dyDescent="0.2">
      <c r="A1809" s="5">
        <v>1748</v>
      </c>
      <c r="B1809" s="138">
        <f>'Tax Sched 23'!E5</f>
        <v>14037379</v>
      </c>
      <c r="D1809" s="2" t="str">
        <f t="shared" si="27"/>
        <v>Error?</v>
      </c>
    </row>
    <row r="1810" spans="1:4" x14ac:dyDescent="0.2">
      <c r="A1810" s="5">
        <v>1749</v>
      </c>
      <c r="B1810" s="138">
        <f>'Tax Sched 23'!E6</f>
        <v>7977350</v>
      </c>
      <c r="D1810" s="2" t="str">
        <f t="shared" si="27"/>
        <v>Error?</v>
      </c>
    </row>
    <row r="1811" spans="1:4" x14ac:dyDescent="0.2">
      <c r="A1811" s="5">
        <v>1750</v>
      </c>
      <c r="B1811" s="138">
        <f>'Tax Sched 23'!E7</f>
        <v>5293912</v>
      </c>
      <c r="D1811" s="2" t="str">
        <f t="shared" si="27"/>
        <v>Error?</v>
      </c>
    </row>
    <row r="1812" spans="1:4" x14ac:dyDescent="0.2">
      <c r="A1812" s="5">
        <v>1751</v>
      </c>
      <c r="B1812" s="138">
        <f>'Tax Sched 23'!E8</f>
        <v>2803017</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2946917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2103783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106972692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54985000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2068977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2068977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27086239</v>
      </c>
      <c r="C1982" s="2" t="s">
        <v>573</v>
      </c>
      <c r="D1982" s="2" t="str">
        <f t="shared" si="29"/>
        <v>Error?</v>
      </c>
    </row>
    <row r="1983" spans="1:5" x14ac:dyDescent="0.2">
      <c r="A1983" s="5">
        <v>1922</v>
      </c>
      <c r="B1983" s="138">
        <f>'Rest Tax Levies-Tort Im 25'!H24</f>
        <v>-25017262</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1719381</v>
      </c>
      <c r="D2008" s="2" t="str">
        <f t="shared" si="30"/>
        <v>Error?</v>
      </c>
    </row>
    <row r="2009" spans="1:4" x14ac:dyDescent="0.2">
      <c r="A2009" s="5">
        <v>1948</v>
      </c>
      <c r="B2009" s="138">
        <f>'Cap Outlay Deprec 26'!C8</f>
        <v>192834524</v>
      </c>
      <c r="D2009" s="2" t="str">
        <f t="shared" si="30"/>
        <v>Error?</v>
      </c>
    </row>
    <row r="2010" spans="1:4" x14ac:dyDescent="0.2">
      <c r="A2010" s="5">
        <v>1949</v>
      </c>
      <c r="B2010" s="138">
        <f>'Cap Outlay Deprec 26'!C10</f>
        <v>2984288</v>
      </c>
      <c r="D2010" s="2" t="str">
        <f t="shared" si="30"/>
        <v>Error?</v>
      </c>
    </row>
    <row r="2011" spans="1:4" x14ac:dyDescent="0.2">
      <c r="A2011" s="5">
        <v>1950</v>
      </c>
      <c r="B2011" s="138">
        <f>'Cap Outlay Deprec 26'!C12</f>
        <v>5636583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203174776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551407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998643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465251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465251</v>
      </c>
      <c r="C2025" s="2" t="s">
        <v>573</v>
      </c>
      <c r="D2025" s="2" t="str">
        <f t="shared" si="30"/>
        <v>Error?</v>
      </c>
    </row>
    <row r="2026" spans="1:4" x14ac:dyDescent="0.2">
      <c r="A2026" s="5">
        <v>1965</v>
      </c>
      <c r="B2026" s="138">
        <f>'Cap Outlay Deprec 26'!F5</f>
        <v>1719381</v>
      </c>
      <c r="C2026" s="2" t="s">
        <v>573</v>
      </c>
      <c r="D2026" s="2" t="str">
        <f t="shared" si="30"/>
        <v>Error?</v>
      </c>
    </row>
    <row r="2027" spans="1:4" x14ac:dyDescent="0.2">
      <c r="A2027" s="5">
        <v>1966</v>
      </c>
      <c r="B2027" s="138">
        <f>'Cap Outlay Deprec 26'!F8</f>
        <v>192834524</v>
      </c>
      <c r="C2027" s="2" t="s">
        <v>573</v>
      </c>
      <c r="D2027" s="2" t="str">
        <f t="shared" si="30"/>
        <v>Error?</v>
      </c>
    </row>
    <row r="2028" spans="1:4" x14ac:dyDescent="0.2">
      <c r="A2028" s="5">
        <v>1967</v>
      </c>
      <c r="B2028" s="138">
        <f>'Cap Outlay Deprec 26'!F10</f>
        <v>2984288</v>
      </c>
      <c r="C2028" s="2" t="s">
        <v>573</v>
      </c>
      <c r="D2028" s="2" t="str">
        <f t="shared" si="30"/>
        <v>Error?</v>
      </c>
    </row>
    <row r="2029" spans="1:4" x14ac:dyDescent="0.2">
      <c r="A2029" s="5">
        <v>1968</v>
      </c>
      <c r="B2029" s="138">
        <f>'Cap Outlay Deprec 26'!F12</f>
        <v>5722739</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203708168</v>
      </c>
      <c r="C2031" s="2" t="s">
        <v>573</v>
      </c>
      <c r="D2031" s="2" t="str">
        <f t="shared" si="30"/>
        <v>Error?</v>
      </c>
    </row>
    <row r="2032" spans="1:4" x14ac:dyDescent="0.2">
      <c r="A2032" s="10">
        <v>1971</v>
      </c>
      <c r="D2032" s="2" t="str">
        <f t="shared" si="30"/>
        <v>OK</v>
      </c>
    </row>
    <row r="2033" spans="1:4" x14ac:dyDescent="0.2">
      <c r="A2033" s="5">
        <v>1972</v>
      </c>
      <c r="B2033" s="138">
        <f>'Cap Outlay Deprec 26'!H8</f>
        <v>97231479</v>
      </c>
      <c r="D2033" s="2" t="str">
        <f t="shared" si="30"/>
        <v>Error?</v>
      </c>
    </row>
    <row r="2034" spans="1:4" x14ac:dyDescent="0.2">
      <c r="A2034" s="5">
        <v>1973</v>
      </c>
      <c r="B2034" s="138">
        <f>'Cap Outlay Deprec 26'!H10</f>
        <v>2189963</v>
      </c>
      <c r="D2034" s="2" t="str">
        <f t="shared" si="30"/>
        <v>Error?</v>
      </c>
    </row>
    <row r="2035" spans="1:4" x14ac:dyDescent="0.2">
      <c r="A2035" s="5">
        <v>1974</v>
      </c>
      <c r="B2035" s="138">
        <f>'Cap Outlay Deprec 26'!H12</f>
        <v>3836867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103258309</v>
      </c>
      <c r="C2037" s="2" t="s">
        <v>573</v>
      </c>
      <c r="D2037" s="2" t="str">
        <f t="shared" si="30"/>
        <v>Error?</v>
      </c>
    </row>
    <row r="2038" spans="1:4" x14ac:dyDescent="0.2">
      <c r="A2038" s="10">
        <v>1977</v>
      </c>
      <c r="D2038" s="2" t="str">
        <f t="shared" si="30"/>
        <v>OK</v>
      </c>
    </row>
    <row r="2039" spans="1:4" x14ac:dyDescent="0.2">
      <c r="A2039" s="5">
        <v>1978</v>
      </c>
      <c r="B2039" s="138">
        <f>'Cap Outlay Deprec 26'!I8</f>
        <v>5333778</v>
      </c>
      <c r="D2039" s="2" t="str">
        <f t="shared" si="30"/>
        <v>Error?</v>
      </c>
    </row>
    <row r="2040" spans="1:4" x14ac:dyDescent="0.2">
      <c r="A2040" s="5">
        <v>1979</v>
      </c>
      <c r="B2040" s="138">
        <f>'Cap Outlay Deprec 26'!I10</f>
        <v>79823</v>
      </c>
      <c r="D2040" s="2" t="str">
        <f t="shared" si="30"/>
        <v>Error?</v>
      </c>
    </row>
    <row r="2041" spans="1:4" x14ac:dyDescent="0.2">
      <c r="A2041" s="5">
        <v>1980</v>
      </c>
      <c r="B2041" s="138">
        <f>'Cap Outlay Deprec 26'!I12</f>
        <v>461006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5874607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418357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418357</v>
      </c>
      <c r="C2049" s="2" t="s">
        <v>573</v>
      </c>
      <c r="D2049" s="2" t="str">
        <f t="shared" si="31"/>
        <v>Error?</v>
      </c>
    </row>
    <row r="2050" spans="1:4" x14ac:dyDescent="0.2">
      <c r="A2050" s="10">
        <v>1989</v>
      </c>
      <c r="D2050" s="2" t="str">
        <f t="shared" si="31"/>
        <v>OK</v>
      </c>
    </row>
    <row r="2051" spans="1:4" x14ac:dyDescent="0.2">
      <c r="A2051" s="5">
        <v>1990</v>
      </c>
      <c r="B2051" s="138">
        <f>'Cap Outlay Deprec 26'!K8</f>
        <v>102565257</v>
      </c>
      <c r="C2051" s="2" t="s">
        <v>573</v>
      </c>
      <c r="D2051" s="2" t="str">
        <f t="shared" si="31"/>
        <v>Error?</v>
      </c>
    </row>
    <row r="2052" spans="1:4" x14ac:dyDescent="0.2">
      <c r="A2052" s="5">
        <v>1991</v>
      </c>
      <c r="B2052" s="138">
        <f>'Cap Outlay Deprec 26'!K10</f>
        <v>2269786</v>
      </c>
      <c r="C2052" s="2" t="s">
        <v>573</v>
      </c>
      <c r="D2052" s="2" t="str">
        <f t="shared" si="31"/>
        <v>Error?</v>
      </c>
    </row>
    <row r="2053" spans="1:4" x14ac:dyDescent="0.2">
      <c r="A2053" s="5">
        <v>1992</v>
      </c>
      <c r="B2053" s="138">
        <f>'Cap Outlay Deprec 26'!K12</f>
        <v>3879516</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108714559</v>
      </c>
      <c r="C2055" s="2" t="s">
        <v>573</v>
      </c>
      <c r="D2055" s="2" t="str">
        <f t="shared" si="31"/>
        <v>Error?</v>
      </c>
    </row>
    <row r="2056" spans="1:4" x14ac:dyDescent="0.2">
      <c r="A2056" s="5">
        <v>1995</v>
      </c>
      <c r="B2056" s="138">
        <f>'Cap Outlay Deprec 26'!L5</f>
        <v>1719381</v>
      </c>
      <c r="C2056" s="2" t="s">
        <v>573</v>
      </c>
      <c r="D2056" s="2" t="str">
        <f t="shared" si="31"/>
        <v>Error?</v>
      </c>
    </row>
    <row r="2057" spans="1:4" x14ac:dyDescent="0.2">
      <c r="A2057" s="5">
        <v>1996</v>
      </c>
      <c r="B2057" s="138">
        <f>'Cap Outlay Deprec 26'!L8</f>
        <v>90269267</v>
      </c>
      <c r="C2057" s="2" t="s">
        <v>573</v>
      </c>
      <c r="D2057" s="2" t="str">
        <f t="shared" si="31"/>
        <v>Error?</v>
      </c>
    </row>
    <row r="2058" spans="1:4" x14ac:dyDescent="0.2">
      <c r="A2058" s="5">
        <v>1997</v>
      </c>
      <c r="B2058" s="138">
        <f>'Cap Outlay Deprec 26'!L10</f>
        <v>714502</v>
      </c>
      <c r="C2058" s="2" t="s">
        <v>573</v>
      </c>
      <c r="D2058" s="2" t="str">
        <f t="shared" si="31"/>
        <v>Error?</v>
      </c>
    </row>
    <row r="2059" spans="1:4" x14ac:dyDescent="0.2">
      <c r="A2059" s="5">
        <v>1998</v>
      </c>
      <c r="B2059" s="138">
        <f>'Cap Outlay Deprec 26'!L12</f>
        <v>1843223</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94993609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4970223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4970223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2547497</v>
      </c>
      <c r="D2475" s="2" t="str">
        <f t="shared" si="37"/>
        <v>Error?</v>
      </c>
    </row>
    <row r="2476" spans="1:4" x14ac:dyDescent="0.2">
      <c r="A2476" s="10">
        <v>2415</v>
      </c>
      <c r="D2476" s="2" t="str">
        <f t="shared" si="37"/>
        <v>OK</v>
      </c>
    </row>
    <row r="2477" spans="1:4" x14ac:dyDescent="0.2">
      <c r="A2477" s="5">
        <v>2416</v>
      </c>
      <c r="B2477" s="138">
        <f>'Assets-Liab 5-6'!G38</f>
        <v>22829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8529499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78527723</v>
      </c>
      <c r="C2551" s="2" t="s">
        <v>573</v>
      </c>
      <c r="D2551" s="2" t="str">
        <f t="shared" si="38"/>
        <v>Error?</v>
      </c>
    </row>
    <row r="2552" spans="1:4" x14ac:dyDescent="0.2">
      <c r="A2552" s="10">
        <v>2491</v>
      </c>
      <c r="D2552" s="2" t="str">
        <f t="shared" si="38"/>
        <v>OK</v>
      </c>
    </row>
    <row r="2553" spans="1:4" x14ac:dyDescent="0.2">
      <c r="A2553" s="5">
        <v>2492</v>
      </c>
      <c r="B2553" s="138">
        <f>'Acct Summary 7-8'!C6</f>
        <v>55134230</v>
      </c>
      <c r="C2553" s="2" t="s">
        <v>573</v>
      </c>
      <c r="D2553" s="2" t="str">
        <f t="shared" si="38"/>
        <v>Error?</v>
      </c>
    </row>
    <row r="2554" spans="1:4" x14ac:dyDescent="0.2">
      <c r="A2554" s="5">
        <v>2493</v>
      </c>
      <c r="B2554" s="138">
        <f>'Acct Summary 7-8'!C7</f>
        <v>27438499</v>
      </c>
      <c r="C2554" s="2" t="s">
        <v>573</v>
      </c>
      <c r="D2554" s="2" t="str">
        <f t="shared" si="38"/>
        <v>Error?</v>
      </c>
    </row>
    <row r="2555" spans="1:4" x14ac:dyDescent="0.2">
      <c r="A2555" s="5">
        <v>2494</v>
      </c>
      <c r="B2555" s="138">
        <f>'Acct Summary 7-8'!C8</f>
        <v>161100452</v>
      </c>
      <c r="C2555" s="2" t="s">
        <v>573</v>
      </c>
      <c r="D2555" s="2" t="str">
        <f t="shared" si="38"/>
        <v>Error?</v>
      </c>
    </row>
    <row r="2556" spans="1:4" x14ac:dyDescent="0.2">
      <c r="A2556" s="5">
        <v>2495</v>
      </c>
      <c r="B2556" s="138">
        <f>'Acct Summary 7-8'!C12</f>
        <v>99173057</v>
      </c>
      <c r="C2556" s="2" t="s">
        <v>573</v>
      </c>
      <c r="D2556" s="2" t="str">
        <f t="shared" si="38"/>
        <v>Error?</v>
      </c>
    </row>
    <row r="2557" spans="1:4" x14ac:dyDescent="0.2">
      <c r="A2557" s="5">
        <v>2496</v>
      </c>
      <c r="B2557" s="138">
        <f>'Acct Summary 7-8'!C13</f>
        <v>48808206</v>
      </c>
      <c r="C2557" s="2" t="s">
        <v>573</v>
      </c>
      <c r="D2557" s="2" t="str">
        <f t="shared" si="38"/>
        <v>Error?</v>
      </c>
    </row>
    <row r="2558" spans="1:4" x14ac:dyDescent="0.2">
      <c r="A2558" s="5">
        <v>2497</v>
      </c>
      <c r="B2558" s="138">
        <f>'Acct Summary 7-8'!C14</f>
        <v>4772360</v>
      </c>
      <c r="C2558" s="2" t="s">
        <v>573</v>
      </c>
      <c r="D2558" s="2" t="str">
        <f t="shared" si="38"/>
        <v>Error?</v>
      </c>
    </row>
    <row r="2559" spans="1:4" x14ac:dyDescent="0.2">
      <c r="A2559" s="5">
        <v>2498</v>
      </c>
      <c r="B2559" s="138">
        <f>'Acct Summary 7-8'!C15</f>
        <v>4970223</v>
      </c>
      <c r="C2559" s="2" t="s">
        <v>573</v>
      </c>
      <c r="D2559" s="2" t="str">
        <f t="shared" ref="D2559:D2622" si="39">IF(ISBLANK(B2559),"OK",IF(A2559-B2559=0,"OK","Error?"))</f>
        <v>Error?</v>
      </c>
    </row>
    <row r="2560" spans="1:4" x14ac:dyDescent="0.2">
      <c r="A2560" s="5">
        <v>2499</v>
      </c>
      <c r="B2560" s="138">
        <f>'Acct Summary 7-8'!C16</f>
        <v>19718</v>
      </c>
      <c r="C2560" s="2" t="s">
        <v>573</v>
      </c>
      <c r="D2560" s="2" t="str">
        <f t="shared" si="39"/>
        <v>Error?</v>
      </c>
    </row>
    <row r="2561" spans="1:4" x14ac:dyDescent="0.2">
      <c r="A2561" s="5">
        <v>2500</v>
      </c>
      <c r="B2561" s="138">
        <f>'Acct Summary 7-8'!C17</f>
        <v>157743564</v>
      </c>
      <c r="C2561" s="2" t="s">
        <v>573</v>
      </c>
      <c r="D2561" s="2" t="str">
        <f t="shared" si="39"/>
        <v>Error?</v>
      </c>
    </row>
    <row r="2562" spans="1:4" x14ac:dyDescent="0.2">
      <c r="A2562" s="5">
        <v>2501</v>
      </c>
      <c r="B2562" s="138">
        <f>'Acct Summary 7-8'!C20</f>
        <v>3356888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15520701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15520701</v>
      </c>
      <c r="C2568" s="2" t="s">
        <v>573</v>
      </c>
      <c r="D2568" s="2" t="str">
        <f t="shared" si="39"/>
        <v>Error?</v>
      </c>
    </row>
    <row r="2569" spans="1:4" x14ac:dyDescent="0.2">
      <c r="A2569" s="5">
        <v>2508</v>
      </c>
      <c r="B2569" s="138">
        <f>'Acct Summary 7-8'!D13</f>
        <v>14965921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45</v>
      </c>
      <c r="C2572" s="2" t="s">
        <v>573</v>
      </c>
      <c r="D2572" s="2" t="str">
        <f t="shared" si="39"/>
        <v>Error?</v>
      </c>
    </row>
    <row r="2573" spans="1:4" x14ac:dyDescent="0.2">
      <c r="A2573" s="5">
        <v>2512</v>
      </c>
      <c r="B2573" s="138">
        <f>'Acct Summary 7-8'!D17</f>
        <v>14965966</v>
      </c>
      <c r="C2573" s="2" t="s">
        <v>573</v>
      </c>
      <c r="D2573" s="2" t="str">
        <f t="shared" si="39"/>
        <v>Error?</v>
      </c>
    </row>
    <row r="2574" spans="1:4" x14ac:dyDescent="0.2">
      <c r="A2574" s="5">
        <v>2513</v>
      </c>
      <c r="B2574" s="138">
        <f>'Acct Summary 7-8'!D20</f>
        <v>554735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5492993</v>
      </c>
      <c r="C2591" s="2" t="s">
        <v>573</v>
      </c>
      <c r="D2591" s="2" t="str">
        <f t="shared" si="39"/>
        <v>Error?</v>
      </c>
    </row>
    <row r="2592" spans="1:4" x14ac:dyDescent="0.2">
      <c r="A2592" s="10">
        <v>2531</v>
      </c>
      <c r="D2592" s="2" t="str">
        <f t="shared" si="39"/>
        <v>OK</v>
      </c>
    </row>
    <row r="2593" spans="1:4" x14ac:dyDescent="0.2">
      <c r="A2593" s="5">
        <v>2532</v>
      </c>
      <c r="B2593" s="138">
        <f>'Acct Summary 7-8'!F6</f>
        <v>7690872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13183865</v>
      </c>
      <c r="C2595" s="2" t="s">
        <v>573</v>
      </c>
      <c r="D2595" s="2" t="str">
        <f t="shared" si="39"/>
        <v>Error?</v>
      </c>
    </row>
    <row r="2596" spans="1:4" x14ac:dyDescent="0.2">
      <c r="A2596" s="5">
        <v>2535</v>
      </c>
      <c r="B2596" s="138">
        <f>'Acct Summary 7-8'!F13</f>
        <v>11504828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11504828</v>
      </c>
      <c r="C2600" s="2" t="s">
        <v>573</v>
      </c>
      <c r="D2600" s="2" t="str">
        <f t="shared" si="39"/>
        <v>Error?</v>
      </c>
    </row>
    <row r="2601" spans="1:4" x14ac:dyDescent="0.2">
      <c r="A2601" s="5">
        <v>2540</v>
      </c>
      <c r="B2601" s="138">
        <f>'Acct Summary 7-8'!F20</f>
        <v>1679037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6380951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6380951</v>
      </c>
      <c r="C2606" s="2" t="s">
        <v>573</v>
      </c>
      <c r="D2606" s="2" t="str">
        <f t="shared" si="39"/>
        <v>Error?</v>
      </c>
    </row>
    <row r="2607" spans="1:4" x14ac:dyDescent="0.2">
      <c r="A2607" s="5">
        <v>2546</v>
      </c>
      <c r="B2607" s="138">
        <f>'Acct Summary 7-8'!G12</f>
        <v>2004369</v>
      </c>
      <c r="C2607" s="2" t="s">
        <v>573</v>
      </c>
      <c r="D2607" s="2" t="str">
        <f t="shared" si="39"/>
        <v>Error?</v>
      </c>
    </row>
    <row r="2608" spans="1:4" x14ac:dyDescent="0.2">
      <c r="A2608" s="5">
        <v>2547</v>
      </c>
      <c r="B2608" s="138">
        <f>'Acct Summary 7-8'!G13</f>
        <v>4013910</v>
      </c>
      <c r="C2608" s="2" t="s">
        <v>573</v>
      </c>
      <c r="D2608" s="2" t="str">
        <f t="shared" si="39"/>
        <v>Error?</v>
      </c>
    </row>
    <row r="2609" spans="1:4" x14ac:dyDescent="0.2">
      <c r="A2609" s="5">
        <v>2548</v>
      </c>
      <c r="B2609" s="138">
        <f>'Acct Summary 7-8'!G14</f>
        <v>47203</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6065482</v>
      </c>
      <c r="C2612" s="2" t="s">
        <v>573</v>
      </c>
      <c r="D2612" s="2" t="str">
        <f t="shared" si="39"/>
        <v>Error?</v>
      </c>
    </row>
    <row r="2613" spans="1:4" x14ac:dyDescent="0.2">
      <c r="A2613" s="5">
        <v>2552</v>
      </c>
      <c r="B2613" s="138">
        <f>'Acct Summary 7-8'!G20</f>
        <v>315469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8087223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8087223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7404593</v>
      </c>
      <c r="C2634" s="2" t="s">
        <v>573</v>
      </c>
      <c r="D2634" s="2" t="str">
        <f t="shared" si="40"/>
        <v>Error?</v>
      </c>
    </row>
    <row r="2635" spans="1:4" x14ac:dyDescent="0.2">
      <c r="A2635" s="5">
        <v>2574</v>
      </c>
      <c r="B2635" s="138">
        <f>'Acct Summary 7-8'!E17</f>
        <v>7404593</v>
      </c>
      <c r="C2635" s="2" t="s">
        <v>573</v>
      </c>
      <c r="D2635" s="2" t="str">
        <f t="shared" si="40"/>
        <v>Error?</v>
      </c>
    </row>
    <row r="2636" spans="1:4" x14ac:dyDescent="0.2">
      <c r="A2636" s="5">
        <v>2575</v>
      </c>
      <c r="B2636" s="138">
        <f>'Acct Summary 7-8'!E20</f>
        <v>682630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832212</v>
      </c>
      <c r="D2718" s="2" t="str">
        <f t="shared" si="41"/>
        <v>Error?</v>
      </c>
    </row>
    <row r="2719" spans="1:4" x14ac:dyDescent="0.2">
      <c r="A2719" s="5">
        <v>2658</v>
      </c>
      <c r="B2719" s="138">
        <f>'Expenditures 15-22'!D51</f>
        <v>199015</v>
      </c>
      <c r="D2719" s="2" t="str">
        <f t="shared" si="41"/>
        <v>Error?</v>
      </c>
    </row>
    <row r="2720" spans="1:4" x14ac:dyDescent="0.2">
      <c r="A2720" s="5">
        <v>2659</v>
      </c>
      <c r="B2720" s="138">
        <f>'Expenditures 15-22'!E51</f>
        <v>18494</v>
      </c>
      <c r="D2720" s="2" t="str">
        <f t="shared" si="41"/>
        <v>Error?</v>
      </c>
    </row>
    <row r="2721" spans="1:4" x14ac:dyDescent="0.2">
      <c r="A2721" s="5">
        <v>2660</v>
      </c>
      <c r="B2721" s="138">
        <f>'Expenditures 15-22'!F51</f>
        <v>67892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1126257</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447236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1384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15551384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1714656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15551384</v>
      </c>
      <c r="D2912" s="2" t="str">
        <f t="shared" si="44"/>
        <v>Error?</v>
      </c>
    </row>
    <row r="2913" spans="1:4" x14ac:dyDescent="0.2">
      <c r="A2913" s="5">
        <v>2852</v>
      </c>
      <c r="B2913" s="138">
        <f>'Assets-Liab 5-6'!I41</f>
        <v>15551384</v>
      </c>
      <c r="C2913" s="2" t="s">
        <v>573</v>
      </c>
      <c r="D2913" s="2" t="str">
        <f t="shared" si="44"/>
        <v>Error?</v>
      </c>
    </row>
    <row r="2914" spans="1:4" x14ac:dyDescent="0.2">
      <c r="A2914" s="5">
        <v>2853</v>
      </c>
      <c r="B2914" s="138">
        <f>'Assets-Liab 5-6'!L33</f>
        <v>1714656</v>
      </c>
      <c r="D2914" s="2" t="str">
        <f t="shared" si="44"/>
        <v>Error?</v>
      </c>
    </row>
    <row r="2915" spans="1:4" x14ac:dyDescent="0.2">
      <c r="A2915" s="10">
        <v>2854</v>
      </c>
      <c r="D2915" s="2" t="str">
        <f t="shared" si="44"/>
        <v>OK</v>
      </c>
    </row>
    <row r="2916" spans="1:4" x14ac:dyDescent="0.2">
      <c r="A2916" s="5">
        <v>2855</v>
      </c>
      <c r="B2916" s="138">
        <f>'Assets-Liab 5-6'!L34</f>
        <v>1714656</v>
      </c>
      <c r="C2916" s="2" t="s">
        <v>573</v>
      </c>
      <c r="D2916" s="2" t="str">
        <f t="shared" si="44"/>
        <v>Error?</v>
      </c>
    </row>
    <row r="2917" spans="1:4" x14ac:dyDescent="0.2">
      <c r="A2917" s="5">
        <v>2856</v>
      </c>
      <c r="B2917" s="138">
        <f>'Assets-Liab 5-6'!L41</f>
        <v>1714656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4026409</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943814</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4026409</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943814</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2240646</v>
      </c>
      <c r="D3055" s="2" t="str">
        <f t="shared" si="46"/>
        <v>Error?</v>
      </c>
    </row>
    <row r="3056" spans="1:4" x14ac:dyDescent="0.2">
      <c r="A3056" s="5">
        <v>2995</v>
      </c>
      <c r="B3056" s="138">
        <f>'Expenditures 15-22'!D10</f>
        <v>803758</v>
      </c>
      <c r="D3056" s="2" t="str">
        <f t="shared" si="46"/>
        <v>Error?</v>
      </c>
    </row>
    <row r="3057" spans="1:4" x14ac:dyDescent="0.2">
      <c r="A3057" s="5">
        <v>2996</v>
      </c>
      <c r="B3057" s="138">
        <f>'Expenditures 15-22'!E10</f>
        <v>195655</v>
      </c>
      <c r="D3057" s="2" t="str">
        <f t="shared" si="46"/>
        <v>Error?</v>
      </c>
    </row>
    <row r="3058" spans="1:4" x14ac:dyDescent="0.2">
      <c r="A3058" s="5">
        <v>2997</v>
      </c>
      <c r="B3058" s="138">
        <f>'Expenditures 15-22'!F10</f>
        <v>1562958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4883450</v>
      </c>
      <c r="C3062" s="2" t="s">
        <v>573</v>
      </c>
      <c r="D3062" s="2" t="str">
        <f t="shared" si="46"/>
        <v>Error?</v>
      </c>
    </row>
    <row r="3063" spans="1:4" x14ac:dyDescent="0.2">
      <c r="A3063" s="10">
        <v>3002</v>
      </c>
      <c r="D3063" s="2" t="str">
        <f t="shared" si="46"/>
        <v>OK</v>
      </c>
    </row>
    <row r="3064" spans="1:4" x14ac:dyDescent="0.2">
      <c r="A3064" s="5">
        <v>3003</v>
      </c>
      <c r="B3064" s="138">
        <f>'Expenditures 15-22'!D219</f>
        <v>5083</v>
      </c>
      <c r="D3064" s="2" t="str">
        <f t="shared" si="46"/>
        <v>Error?</v>
      </c>
    </row>
    <row r="3065" spans="1:4" x14ac:dyDescent="0.2">
      <c r="A3065" s="5">
        <v>3004</v>
      </c>
      <c r="B3065" s="138">
        <f>'Expenditures 15-22'!K219</f>
        <v>5083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32</v>
      </c>
      <c r="C3225" s="2" t="s">
        <v>573</v>
      </c>
      <c r="D3225" s="2" t="str">
        <f t="shared" si="49"/>
        <v>Error?</v>
      </c>
    </row>
    <row r="3226" spans="1:4" x14ac:dyDescent="0.2">
      <c r="A3226" s="5">
        <v>3165</v>
      </c>
      <c r="B3226" s="138">
        <f>'Acct Summary 7-8'!I8</f>
        <v>32</v>
      </c>
      <c r="C3226" s="2" t="s">
        <v>573</v>
      </c>
      <c r="D3226" s="2" t="str">
        <f t="shared" si="49"/>
        <v>Error?</v>
      </c>
    </row>
    <row r="3227" spans="1:4" x14ac:dyDescent="0.2">
      <c r="A3227" s="5">
        <v>3166</v>
      </c>
      <c r="B3227" s="138">
        <f>'Acct Summary 7-8'!I20</f>
        <v>32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3356888</v>
      </c>
      <c r="C3233" s="2" t="s">
        <v>573</v>
      </c>
      <c r="D3233" s="2" t="str">
        <f t="shared" si="49"/>
        <v>Error?</v>
      </c>
    </row>
    <row r="3234" spans="1:4" x14ac:dyDescent="0.2">
      <c r="A3234" s="5">
        <v>3173</v>
      </c>
      <c r="B3234" s="138">
        <f>'Acct Summary 7-8'!D43</f>
        <v>307000</v>
      </c>
      <c r="D3234" s="2" t="str">
        <f t="shared" si="49"/>
        <v>Error?</v>
      </c>
    </row>
    <row r="3235" spans="1:4" x14ac:dyDescent="0.2">
      <c r="A3235" s="5">
        <v>3174</v>
      </c>
      <c r="B3235" s="138">
        <f>'Acct Summary 7-8'!D44</f>
        <v>307000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107726</v>
      </c>
      <c r="C3237" s="2" t="s">
        <v>573</v>
      </c>
      <c r="D3237" s="2" t="str">
        <f t="shared" si="49"/>
        <v>Error?</v>
      </c>
    </row>
    <row r="3238" spans="1:4" x14ac:dyDescent="0.2">
      <c r="A3238" s="5">
        <v>3177</v>
      </c>
      <c r="B3238" s="138">
        <f>'Acct Summary 7-8'!D77</f>
        <v>199274</v>
      </c>
      <c r="C3238" s="2" t="s">
        <v>573</v>
      </c>
      <c r="D3238" s="2" t="str">
        <f t="shared" si="49"/>
        <v>Error?</v>
      </c>
    </row>
    <row r="3239" spans="1:4" x14ac:dyDescent="0.2">
      <c r="A3239" s="5">
        <v>3178</v>
      </c>
      <c r="B3239" s="138">
        <f>'Acct Summary 7-8'!D78</f>
        <v>754009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1679037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315469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107726</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107726</v>
      </c>
      <c r="C3277" s="2" t="s">
        <v>573</v>
      </c>
      <c r="D3277" s="2" t="str">
        <f t="shared" si="50"/>
        <v>Error?</v>
      </c>
    </row>
    <row r="3278" spans="1:4" x14ac:dyDescent="0.2">
      <c r="A3278" s="5">
        <v>3217</v>
      </c>
      <c r="B3278" s="138">
        <f>'Acct Summary 7-8'!E78</f>
        <v>790356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32</v>
      </c>
      <c r="C3320" s="2" t="s">
        <v>573</v>
      </c>
      <c r="D3320" s="2" t="str">
        <f t="shared" si="50"/>
        <v>Error?</v>
      </c>
    </row>
    <row r="3321" spans="1:4" x14ac:dyDescent="0.2">
      <c r="A3321" s="5">
        <v>3260</v>
      </c>
      <c r="B3321" s="138">
        <f>'Acct Summary 7-8'!I79</f>
        <v>15551352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15551384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19615006</v>
      </c>
      <c r="D3366" s="2" t="str">
        <f t="shared" si="51"/>
        <v>Error?</v>
      </c>
    </row>
    <row r="3367" spans="1:4" x14ac:dyDescent="0.2">
      <c r="A3367" s="5">
        <v>3306</v>
      </c>
      <c r="B3367" s="138">
        <f>'Expenditures 15-22'!C19</f>
        <v>1303222</v>
      </c>
      <c r="D3367" s="2" t="str">
        <f t="shared" si="51"/>
        <v>Error?</v>
      </c>
    </row>
    <row r="3368" spans="1:4" x14ac:dyDescent="0.2">
      <c r="A3368" s="5">
        <v>3307</v>
      </c>
      <c r="B3368" s="138">
        <f>'Expenditures 15-22'!D8</f>
        <v>5647601</v>
      </c>
      <c r="D3368" s="2" t="str">
        <f t="shared" si="51"/>
        <v>Error?</v>
      </c>
    </row>
    <row r="3369" spans="1:4" x14ac:dyDescent="0.2">
      <c r="A3369" s="5">
        <v>3308</v>
      </c>
      <c r="B3369" s="138">
        <f>'Expenditures 15-22'!D19</f>
        <v>326374</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175421</v>
      </c>
      <c r="D3371" s="2" t="str">
        <f t="shared" si="51"/>
        <v>Error?</v>
      </c>
    </row>
    <row r="3372" spans="1:4" x14ac:dyDescent="0.2">
      <c r="A3372" s="5">
        <v>3311</v>
      </c>
      <c r="B3372" s="138">
        <f>'Expenditures 15-22'!F8</f>
        <v>56280</v>
      </c>
      <c r="D3372" s="2" t="str">
        <f t="shared" si="51"/>
        <v>Error?</v>
      </c>
    </row>
    <row r="3373" spans="1:4" x14ac:dyDescent="0.2">
      <c r="A3373" s="5">
        <v>3312</v>
      </c>
      <c r="B3373" s="138">
        <f>'Expenditures 15-22'!F19</f>
        <v>9048</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25318887</v>
      </c>
      <c r="C3380" s="2" t="s">
        <v>573</v>
      </c>
      <c r="D3380" s="2" t="str">
        <f t="shared" si="51"/>
        <v>Error?</v>
      </c>
    </row>
    <row r="3381" spans="1:4" x14ac:dyDescent="0.2">
      <c r="A3381" s="5">
        <v>3320</v>
      </c>
      <c r="B3381" s="138">
        <f>'Expenditures 15-22'!K19</f>
        <v>1814065</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897107</v>
      </c>
      <c r="D3387" s="2" t="str">
        <f t="shared" si="51"/>
        <v>Error?</v>
      </c>
    </row>
    <row r="3388" spans="1:4" x14ac:dyDescent="0.2">
      <c r="A3388" s="5">
        <v>3327</v>
      </c>
      <c r="B3388" s="138">
        <f>'Expenditures 15-22'!D217</f>
        <v>918582</v>
      </c>
      <c r="D3388" s="2" t="str">
        <f t="shared" si="51"/>
        <v>Error?</v>
      </c>
    </row>
    <row r="3389" spans="1:4" x14ac:dyDescent="0.2">
      <c r="A3389" s="5">
        <v>3328</v>
      </c>
      <c r="B3389" s="138">
        <f>'Expenditures 15-22'!D228</f>
        <v>42518</v>
      </c>
      <c r="D3389" s="2" t="str">
        <f t="shared" si="51"/>
        <v>Error?</v>
      </c>
    </row>
    <row r="3390" spans="1:4" x14ac:dyDescent="0.2">
      <c r="A3390" s="5">
        <v>3329</v>
      </c>
      <c r="B3390" s="138">
        <f>'Expenditures 15-22'!K215</f>
        <v>897107</v>
      </c>
      <c r="C3390" s="2" t="s">
        <v>573</v>
      </c>
      <c r="D3390" s="2" t="str">
        <f t="shared" si="51"/>
        <v>Error?</v>
      </c>
    </row>
    <row r="3391" spans="1:4" x14ac:dyDescent="0.2">
      <c r="A3391" s="5">
        <v>3330</v>
      </c>
      <c r="B3391" s="138">
        <f>'Expenditures 15-22'!K217</f>
        <v>918582</v>
      </c>
      <c r="C3391" s="2" t="s">
        <v>573</v>
      </c>
      <c r="D3391" s="2" t="str">
        <f t="shared" ref="D3391:D3454" si="52">IF(ISBLANK(B3391),"OK",IF(A3391-B3391=0,"OK","Error?"))</f>
        <v>Error?</v>
      </c>
    </row>
    <row r="3392" spans="1:4" x14ac:dyDescent="0.2">
      <c r="A3392" s="5">
        <v>3331</v>
      </c>
      <c r="B3392" s="138">
        <f>'Expenditures 15-22'!K228</f>
        <v>42518</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2500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1714656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2848114</v>
      </c>
      <c r="C3446" s="2" t="s">
        <v>573</v>
      </c>
      <c r="D3446" s="2" t="str">
        <f t="shared" si="52"/>
        <v>Error?</v>
      </c>
    </row>
    <row r="3447" spans="1:4" x14ac:dyDescent="0.2">
      <c r="A3447" s="5">
        <v>3386</v>
      </c>
      <c r="B3447" s="138">
        <f>'Tax Sched 23'!D16</f>
        <v>1358403</v>
      </c>
      <c r="C3447" s="2" t="s">
        <v>573</v>
      </c>
      <c r="D3447" s="2" t="str">
        <f t="shared" si="52"/>
        <v>Error?</v>
      </c>
    </row>
    <row r="3448" spans="1:4" x14ac:dyDescent="0.2">
      <c r="A3448" s="5">
        <v>3387</v>
      </c>
      <c r="B3448" s="138">
        <f>'Tax Sched 23'!C16</f>
        <v>1489711</v>
      </c>
      <c r="D3448" s="2" t="str">
        <f t="shared" si="52"/>
        <v>Error?</v>
      </c>
    </row>
    <row r="3449" spans="1:4" x14ac:dyDescent="0.2">
      <c r="A3449" s="5">
        <v>3388</v>
      </c>
      <c r="B3449" s="138">
        <f>'Tax Sched 23'!F16</f>
        <v>1406537</v>
      </c>
      <c r="C3449" s="2" t="s">
        <v>573</v>
      </c>
      <c r="D3449" s="2" t="str">
        <f t="shared" si="52"/>
        <v>Error?</v>
      </c>
    </row>
    <row r="3450" spans="1:4" x14ac:dyDescent="0.2">
      <c r="A3450" s="5">
        <v>3389</v>
      </c>
      <c r="B3450" s="138">
        <f>'Tax Sched 23'!E16</f>
        <v>2896248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447236</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447236</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447236</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2411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2411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45</v>
      </c>
      <c r="C3565" s="2" t="s">
        <v>573</v>
      </c>
      <c r="D3565" s="2" t="str">
        <f t="shared" si="54"/>
        <v>Error?</v>
      </c>
    </row>
    <row r="3566" spans="1:4" x14ac:dyDescent="0.2">
      <c r="A3566" s="5">
        <v>3505</v>
      </c>
      <c r="B3566" s="138">
        <f>'Assets-Liab 5-6'!K38</f>
        <v>2366</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2411</v>
      </c>
      <c r="C3568" s="2" t="s">
        <v>573</v>
      </c>
      <c r="D3568" s="2" t="str">
        <f t="shared" si="54"/>
        <v>Error?</v>
      </c>
    </row>
    <row r="3569" spans="1:4" x14ac:dyDescent="0.2">
      <c r="A3569" s="5">
        <v>3508</v>
      </c>
      <c r="B3569" s="138">
        <f>'Acct Summary 7-8'!K4</f>
        <v>117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117</v>
      </c>
      <c r="C3571" s="2" t="s">
        <v>573</v>
      </c>
      <c r="D3571" s="2" t="str">
        <f t="shared" si="54"/>
        <v>Error?</v>
      </c>
    </row>
    <row r="3572" spans="1:4" x14ac:dyDescent="0.2">
      <c r="A3572" s="5">
        <v>3511</v>
      </c>
      <c r="B3572" s="138">
        <f>'Acct Summary 7-8'!K13</f>
        <v>20452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20452</v>
      </c>
      <c r="C3575" s="2" t="s">
        <v>573</v>
      </c>
      <c r="D3575" s="2" t="str">
        <f t="shared" si="54"/>
        <v>Error?</v>
      </c>
    </row>
    <row r="3576" spans="1:4" x14ac:dyDescent="0.2">
      <c r="A3576" s="5">
        <v>3515</v>
      </c>
      <c r="B3576" s="138">
        <f>'Acct Summary 7-8'!K20</f>
        <v>-20335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-20335</v>
      </c>
      <c r="C3588" s="2" t="s">
        <v>573</v>
      </c>
      <c r="D3588" s="2" t="str">
        <f t="shared" si="55"/>
        <v>Error?</v>
      </c>
    </row>
    <row r="3589" spans="1:4" x14ac:dyDescent="0.2">
      <c r="A3589" s="5">
        <v>3528</v>
      </c>
      <c r="B3589" s="138">
        <f>'Acct Summary 7-8'!K79</f>
        <v>22701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2366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17213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17213</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17213</v>
      </c>
      <c r="C3636" s="2" t="s">
        <v>573</v>
      </c>
      <c r="D3636" s="2" t="str">
        <f t="shared" si="55"/>
        <v>Error?</v>
      </c>
    </row>
    <row r="3637" spans="1:4" x14ac:dyDescent="0.2">
      <c r="A3637" s="10">
        <v>3576</v>
      </c>
      <c r="D3637" s="2" t="str">
        <f t="shared" si="55"/>
        <v>OK</v>
      </c>
    </row>
    <row r="3638" spans="1:4" x14ac:dyDescent="0.2">
      <c r="A3638" s="5">
        <v>3577</v>
      </c>
      <c r="B3638" s="138">
        <f>'Expenditures 15-22'!F348</f>
        <v>3239</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3239</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3239</v>
      </c>
      <c r="C3642" s="2" t="s">
        <v>573</v>
      </c>
      <c r="D3642" s="2" t="str">
        <f t="shared" si="55"/>
        <v>Error?</v>
      </c>
    </row>
    <row r="3643" spans="1:4" x14ac:dyDescent="0.2">
      <c r="A3643" s="5">
        <v>3582</v>
      </c>
      <c r="B3643" s="138">
        <f>'Expenditures 15-22'!F367</f>
        <v>3239</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20452</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20452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20452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20452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-20335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40751692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201852144</v>
      </c>
      <c r="C4122" s="2" t="s">
        <v>573</v>
      </c>
      <c r="D4122" s="2" t="str">
        <f t="shared" si="63"/>
        <v>Error?</v>
      </c>
    </row>
    <row r="4123" spans="1:4" x14ac:dyDescent="0.2">
      <c r="A4123" s="5">
        <v>4062</v>
      </c>
      <c r="B4123" s="138">
        <f>'Acct Summary 7-8'!D10</f>
        <v>15520701</v>
      </c>
      <c r="C4123" s="2" t="s">
        <v>573</v>
      </c>
      <c r="D4123" s="2" t="str">
        <f t="shared" si="63"/>
        <v>Error?</v>
      </c>
    </row>
    <row r="4124" spans="1:4" x14ac:dyDescent="0.2">
      <c r="A4124" s="5">
        <v>4063</v>
      </c>
      <c r="B4124" s="138">
        <f>'Acct Summary 7-8'!E10</f>
        <v>8087223</v>
      </c>
      <c r="C4124" s="2" t="s">
        <v>573</v>
      </c>
      <c r="D4124" s="2" t="str">
        <f t="shared" si="63"/>
        <v>Error?</v>
      </c>
    </row>
    <row r="4125" spans="1:4" x14ac:dyDescent="0.2">
      <c r="A4125" s="5">
        <v>4064</v>
      </c>
      <c r="B4125" s="138">
        <f>'Acct Summary 7-8'!F10</f>
        <v>13183865</v>
      </c>
      <c r="C4125" s="2" t="s">
        <v>573</v>
      </c>
      <c r="D4125" s="2" t="str">
        <f t="shared" si="63"/>
        <v>Error?</v>
      </c>
    </row>
    <row r="4126" spans="1:4" x14ac:dyDescent="0.2">
      <c r="A4126" s="5">
        <v>4065</v>
      </c>
      <c r="B4126" s="138">
        <f>'Acct Summary 7-8'!G10</f>
        <v>6380951</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117</v>
      </c>
      <c r="C4130" s="2" t="s">
        <v>573</v>
      </c>
      <c r="D4130" s="2" t="str">
        <f t="shared" si="63"/>
        <v>Error?</v>
      </c>
    </row>
    <row r="4131" spans="1:4" x14ac:dyDescent="0.2">
      <c r="A4131" s="5">
        <v>4070</v>
      </c>
      <c r="B4131" s="138">
        <f>'Acct Summary 7-8'!C18</f>
        <v>40751692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198495256</v>
      </c>
      <c r="C4136" s="2" t="s">
        <v>573</v>
      </c>
      <c r="D4136" s="2" t="str">
        <f t="shared" si="63"/>
        <v>Error?</v>
      </c>
    </row>
    <row r="4137" spans="1:4" x14ac:dyDescent="0.2">
      <c r="A4137" s="5">
        <v>4076</v>
      </c>
      <c r="B4137" s="138">
        <f>'Acct Summary 7-8'!D19</f>
        <v>14965966</v>
      </c>
      <c r="C4137" s="2" t="s">
        <v>573</v>
      </c>
      <c r="D4137" s="2" t="str">
        <f t="shared" si="63"/>
        <v>Error?</v>
      </c>
    </row>
    <row r="4138" spans="1:4" x14ac:dyDescent="0.2">
      <c r="A4138" s="5">
        <v>4077</v>
      </c>
      <c r="B4138" s="138">
        <f>'Acct Summary 7-8'!E19</f>
        <v>7404593</v>
      </c>
      <c r="C4138" s="2" t="s">
        <v>573</v>
      </c>
      <c r="D4138" s="2" t="str">
        <f t="shared" si="63"/>
        <v>Error?</v>
      </c>
    </row>
    <row r="4139" spans="1:4" x14ac:dyDescent="0.2">
      <c r="A4139" s="5">
        <v>4078</v>
      </c>
      <c r="B4139" s="138">
        <f>'Acct Summary 7-8'!F19</f>
        <v>11504828</v>
      </c>
      <c r="C4139" s="2" t="s">
        <v>573</v>
      </c>
      <c r="D4139" s="2" t="str">
        <f t="shared" si="63"/>
        <v>Error?</v>
      </c>
    </row>
    <row r="4140" spans="1:4" x14ac:dyDescent="0.2">
      <c r="A4140" s="5">
        <v>4079</v>
      </c>
      <c r="B4140" s="138">
        <f>'Acct Summary 7-8'!G19</f>
        <v>6065482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20452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49675000</v>
      </c>
      <c r="C4171" s="2" t="s">
        <v>573</v>
      </c>
      <c r="D4171" s="2" t="str">
        <f t="shared" si="64"/>
        <v>Error?</v>
      </c>
    </row>
    <row r="4172" spans="1:4" x14ac:dyDescent="0.2">
      <c r="A4172" s="5">
        <v>4111</v>
      </c>
      <c r="B4172" s="138">
        <f>'Short-Term Long-Term Debt 24'!J49</f>
        <v>39095000</v>
      </c>
      <c r="C4172" s="2" t="s">
        <v>573</v>
      </c>
      <c r="D4172" s="2" t="str">
        <f t="shared" si="64"/>
        <v>Error?</v>
      </c>
    </row>
    <row r="4173" spans="1:4" x14ac:dyDescent="0.2">
      <c r="A4173" s="5">
        <v>4112</v>
      </c>
      <c r="B4173" s="138">
        <f>'Short-Term Long-Term Debt 24'!H49</f>
        <v>5310000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3400.2</v>
      </c>
      <c r="C4265" s="2" t="s">
        <v>573</v>
      </c>
      <c r="D4265" s="2" t="str">
        <f t="shared" si="65"/>
        <v>Error?</v>
      </c>
      <c r="E4265" s="128"/>
    </row>
    <row r="4266" spans="1:5" x14ac:dyDescent="0.2">
      <c r="A4266" s="12">
        <v>4205</v>
      </c>
      <c r="B4266" s="138">
        <f>('FP Info 3'!F10)*100000</f>
        <v>692.6</v>
      </c>
      <c r="C4266" s="2" t="s">
        <v>573</v>
      </c>
      <c r="D4266" s="2" t="str">
        <f t="shared" si="65"/>
        <v>Error?</v>
      </c>
      <c r="E4266" s="128"/>
    </row>
    <row r="4267" spans="1:5" x14ac:dyDescent="0.2">
      <c r="A4267" s="12">
        <v>4206</v>
      </c>
      <c r="B4267" s="138">
        <f>('FP Info 3'!H10)*100000</f>
        <v>261.20000000000005</v>
      </c>
      <c r="C4267" s="2" t="s">
        <v>573</v>
      </c>
      <c r="D4267" s="2" t="str">
        <f t="shared" si="65"/>
        <v>Error?</v>
      </c>
      <c r="E4267" s="128"/>
    </row>
    <row r="4268" spans="1:5" x14ac:dyDescent="0.2">
      <c r="A4268" s="12">
        <v>4207</v>
      </c>
      <c r="B4268" s="138">
        <f>('FP Info 3'!J10)*100000</f>
        <v>4354</v>
      </c>
      <c r="C4268" s="2" t="s">
        <v>573</v>
      </c>
      <c r="D4268" s="2" t="str">
        <f t="shared" si="65"/>
        <v>Error?</v>
      </c>
    </row>
    <row r="4269" spans="1:5" x14ac:dyDescent="0.2">
      <c r="A4269" s="12">
        <v>4208</v>
      </c>
      <c r="B4269" s="138">
        <f>'FP Info 3'!J16</f>
        <v>36760837</v>
      </c>
      <c r="C4269" s="2" t="s">
        <v>573</v>
      </c>
      <c r="D4269" s="2" t="str">
        <f t="shared" si="65"/>
        <v>Error?</v>
      </c>
    </row>
    <row r="4270" spans="1:5" x14ac:dyDescent="0.2">
      <c r="A4270" s="12">
        <v>4209</v>
      </c>
      <c r="B4270" s="138">
        <f>'FP Info 3'!D24</f>
        <v>2890000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562096</v>
      </c>
      <c r="D4331" s="2" t="str">
        <f t="shared" si="66"/>
        <v>Error?</v>
      </c>
    </row>
    <row r="4332" spans="1:4" x14ac:dyDescent="0.2">
      <c r="A4332" s="5">
        <v>4271</v>
      </c>
      <c r="B4332" s="138">
        <f>'Revenues 9-14'!C203</f>
        <v>1642644</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70366</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453106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770859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31563</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1152424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743725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426624</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2026765675</v>
      </c>
      <c r="D4995" s="2" t="str">
        <f t="shared" si="77"/>
        <v>Error?</v>
      </c>
    </row>
    <row r="4996" spans="1:4" x14ac:dyDescent="0.2">
      <c r="A4996" s="12">
        <v>4935</v>
      </c>
      <c r="B4996" s="138">
        <f>'FP Info 3'!H31</f>
        <v>279693663.15000004</v>
      </c>
      <c r="D4996" s="2" t="str">
        <f t="shared" si="77"/>
        <v>Error?</v>
      </c>
    </row>
    <row r="4997" spans="1:4" x14ac:dyDescent="0.2">
      <c r="A4997" s="12">
        <v>4936</v>
      </c>
      <c r="B4997" s="138">
        <f>'FP Info 3'!H37</f>
        <v>49675000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67680192</v>
      </c>
      <c r="D5061" s="2" t="str">
        <f t="shared" si="78"/>
        <v>Error?</v>
      </c>
    </row>
    <row r="5062" spans="1:4" x14ac:dyDescent="0.2">
      <c r="A5062" s="10">
        <v>5001</v>
      </c>
      <c r="D5062" s="2" t="str">
        <f t="shared" si="78"/>
        <v>OK</v>
      </c>
    </row>
    <row r="5063" spans="1:4" x14ac:dyDescent="0.2">
      <c r="A5063" s="5">
        <v>5002</v>
      </c>
      <c r="B5063" s="138">
        <f>'Revenues 9-14'!C7</f>
        <v>2068997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69749189</v>
      </c>
      <c r="C5066" s="2" t="s">
        <v>573</v>
      </c>
      <c r="D5066" s="2" t="str">
        <f t="shared" si="78"/>
        <v>Error?</v>
      </c>
    </row>
    <row r="5067" spans="1:4" x14ac:dyDescent="0.2">
      <c r="A5067" s="5">
        <v>5006</v>
      </c>
      <c r="B5067" s="138">
        <f>'Revenues 9-14'!C14</f>
        <v>74902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4460338</v>
      </c>
      <c r="D5069" s="2" t="str">
        <f t="shared" si="78"/>
        <v>Error?</v>
      </c>
    </row>
    <row r="5070" spans="1:4" x14ac:dyDescent="0.2">
      <c r="A5070" s="5">
        <v>5009</v>
      </c>
      <c r="B5070" s="138">
        <f>'Revenues 9-14'!C17</f>
        <v>802353</v>
      </c>
      <c r="D5070" s="2" t="str">
        <f t="shared" si="78"/>
        <v>Error?</v>
      </c>
    </row>
    <row r="5071" spans="1:4" x14ac:dyDescent="0.2">
      <c r="A5071" s="5">
        <v>5010</v>
      </c>
      <c r="B5071" s="138">
        <f>'Revenues 9-14'!C18</f>
        <v>5337593</v>
      </c>
      <c r="C5071" s="2" t="s">
        <v>573</v>
      </c>
      <c r="D5071" s="2" t="str">
        <f t="shared" si="78"/>
        <v>Error?</v>
      </c>
    </row>
    <row r="5072" spans="1:4" x14ac:dyDescent="0.2">
      <c r="A5072" s="5">
        <v>5011</v>
      </c>
      <c r="B5072" s="138">
        <f>'Revenues 9-14'!C20</f>
        <v>61604</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41243</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21080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175</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124102</v>
      </c>
      <c r="C5087" s="2" t="s">
        <v>573</v>
      </c>
      <c r="D5087" s="2" t="str">
        <f t="shared" si="78"/>
        <v>Error?</v>
      </c>
    </row>
    <row r="5088" spans="1:4" x14ac:dyDescent="0.2">
      <c r="A5088" s="5">
        <v>5027</v>
      </c>
      <c r="B5088" s="138">
        <f>'Revenues 9-14'!C65</f>
        <v>680543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680543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60095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226568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286663</v>
      </c>
      <c r="C5096" s="2" t="s">
        <v>573</v>
      </c>
      <c r="D5096" s="2" t="str">
        <f t="shared" si="78"/>
        <v>Error?</v>
      </c>
    </row>
    <row r="5097" spans="1:4" x14ac:dyDescent="0.2">
      <c r="A5097" s="5">
        <v>5036</v>
      </c>
      <c r="B5097" s="138">
        <f>'Revenues 9-14'!C77</f>
        <v>66536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69145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135681</v>
      </c>
      <c r="C5102" s="2" t="s">
        <v>573</v>
      </c>
      <c r="D5102" s="2" t="str">
        <f t="shared" si="78"/>
        <v>Error?</v>
      </c>
    </row>
    <row r="5103" spans="1:4" x14ac:dyDescent="0.2">
      <c r="A5103" s="5">
        <v>5042</v>
      </c>
      <c r="B5103" s="138">
        <f>'Revenues 9-14'!C84</f>
        <v>224579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42864</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267443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115237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87916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1355715</v>
      </c>
      <c r="D5118" s="2" t="str">
        <f t="shared" si="78"/>
        <v>Error?</v>
      </c>
    </row>
    <row r="5119" spans="1:4" x14ac:dyDescent="0.2">
      <c r="A5119" s="5">
        <v>5058</v>
      </c>
      <c r="B5119" s="138">
        <f>'Revenues 9-14'!C107</f>
        <v>317466</v>
      </c>
      <c r="D5119" s="2" t="str">
        <f t="shared" ref="D5119:D5182" si="79">IF(ISBLANK(B5119),"OK",IF(A5119-B5119=0,"OK","Error?"))</f>
        <v>Error?</v>
      </c>
    </row>
    <row r="5120" spans="1:4" x14ac:dyDescent="0.2">
      <c r="A5120" s="5">
        <v>5059</v>
      </c>
      <c r="B5120" s="138">
        <f>'Revenues 9-14'!C108</f>
        <v>1946509</v>
      </c>
      <c r="C5120" s="2" t="s">
        <v>573</v>
      </c>
      <c r="D5120" s="2" t="str">
        <f t="shared" si="79"/>
        <v>Error?</v>
      </c>
    </row>
    <row r="5121" spans="1:4" x14ac:dyDescent="0.2">
      <c r="A5121" s="5">
        <v>5060</v>
      </c>
      <c r="B5121" s="138">
        <f>'Revenues 9-14'!C109</f>
        <v>78527723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47945094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47945094</v>
      </c>
      <c r="C5132" s="2" t="s">
        <v>573</v>
      </c>
      <c r="D5132" s="2" t="str">
        <f t="shared" si="79"/>
        <v>Error?</v>
      </c>
    </row>
    <row r="5133" spans="1:4" x14ac:dyDescent="0.2">
      <c r="A5133" s="5">
        <v>5072</v>
      </c>
      <c r="B5133" s="138">
        <f>'Revenues 9-14'!C125</f>
        <v>429360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342069</v>
      </c>
      <c r="D5137" s="2" t="str">
        <f t="shared" si="79"/>
        <v>Error?</v>
      </c>
    </row>
    <row r="5138" spans="1:4" x14ac:dyDescent="0.2">
      <c r="A5138" s="10">
        <v>5077</v>
      </c>
      <c r="D5138" s="2" t="str">
        <f t="shared" si="79"/>
        <v>OK</v>
      </c>
    </row>
    <row r="5139" spans="1:4" x14ac:dyDescent="0.2">
      <c r="A5139" s="5">
        <v>5078</v>
      </c>
      <c r="B5139" s="138">
        <f>'Revenues 9-14'!C129</f>
        <v>31952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803381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143954</v>
      </c>
      <c r="D5167" s="2" t="str">
        <f t="shared" si="79"/>
        <v>Error?</v>
      </c>
    </row>
    <row r="5168" spans="1:4" x14ac:dyDescent="0.2">
      <c r="A5168" s="5">
        <v>5107</v>
      </c>
      <c r="B5168" s="138">
        <f>'Revenues 9-14'!C148</f>
        <v>167825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347221</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4983030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7189136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55134230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5886114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1893729</v>
      </c>
      <c r="D5241" s="2" t="str">
        <f t="shared" si="80"/>
        <v>Error?</v>
      </c>
    </row>
    <row r="5242" spans="1:4" x14ac:dyDescent="0.2">
      <c r="A5242" s="5">
        <v>5181</v>
      </c>
      <c r="B5242" s="138">
        <f>'Revenues 9-14'!C194</f>
        <v>131050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8754390</v>
      </c>
      <c r="C5246" s="2" t="s">
        <v>573</v>
      </c>
      <c r="D5246" s="2" t="str">
        <f t="shared" si="80"/>
        <v>Error?</v>
      </c>
    </row>
    <row r="5247" spans="1:4" x14ac:dyDescent="0.2">
      <c r="A5247" s="5">
        <v>5186</v>
      </c>
      <c r="B5247" s="138">
        <f>'Revenues 9-14'!C200</f>
        <v>9065846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10708490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155146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4182416</v>
      </c>
      <c r="D5278" s="2" t="str">
        <f t="shared" si="81"/>
        <v>Error?</v>
      </c>
    </row>
    <row r="5279" spans="1:4" x14ac:dyDescent="0.2">
      <c r="A5279" s="5">
        <v>5218</v>
      </c>
      <c r="B5279" s="138">
        <f>'Revenues 9-14'!C214</f>
        <v>610300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4947862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70366</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100782</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22033</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27438499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27438499</v>
      </c>
      <c r="C5326" s="2" t="s">
        <v>573</v>
      </c>
      <c r="D5326" s="2" t="str">
        <f t="shared" si="82"/>
        <v>Error?</v>
      </c>
    </row>
    <row r="5327" spans="1:5" x14ac:dyDescent="0.2">
      <c r="A5327" s="5">
        <v>5266</v>
      </c>
      <c r="B5327" s="138">
        <f>'Revenues 9-14'!C268</f>
        <v>161100452</v>
      </c>
      <c r="C5327" s="2" t="s">
        <v>573</v>
      </c>
      <c r="D5327" s="2" t="str">
        <f t="shared" si="82"/>
        <v>Error?</v>
      </c>
    </row>
    <row r="5328" spans="1:5" x14ac:dyDescent="0.2">
      <c r="A5328" s="5">
        <v>5267</v>
      </c>
      <c r="B5328" s="138">
        <f>'Revenues 9-14'!D5</f>
        <v>13805002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13805002</v>
      </c>
      <c r="C5334" s="2" t="s">
        <v>573</v>
      </c>
      <c r="D5334" s="2" t="str">
        <f t="shared" si="82"/>
        <v>Error?</v>
      </c>
    </row>
    <row r="5335" spans="1:4" x14ac:dyDescent="0.2">
      <c r="A5335" s="5">
        <v>5274</v>
      </c>
      <c r="B5335" s="138">
        <f>'Revenues 9-14'!D14</f>
        <v>14845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625682</v>
      </c>
      <c r="D5337" s="2" t="str">
        <f t="shared" si="82"/>
        <v>Error?</v>
      </c>
    </row>
    <row r="5338" spans="1:4" x14ac:dyDescent="0.2">
      <c r="A5338" s="5">
        <v>5277</v>
      </c>
      <c r="B5338" s="138">
        <f>'Revenues 9-14'!D17</f>
        <v>200588</v>
      </c>
      <c r="D5338" s="2" t="str">
        <f t="shared" si="82"/>
        <v>Error?</v>
      </c>
    </row>
    <row r="5339" spans="1:4" x14ac:dyDescent="0.2">
      <c r="A5339" s="5">
        <v>5278</v>
      </c>
      <c r="B5339" s="138">
        <f>'Revenues 9-14'!D18</f>
        <v>841115</v>
      </c>
      <c r="C5339" s="2" t="s">
        <v>573</v>
      </c>
      <c r="D5339" s="2" t="str">
        <f t="shared" si="82"/>
        <v>Error?</v>
      </c>
    </row>
    <row r="5340" spans="1:4" x14ac:dyDescent="0.2">
      <c r="A5340" s="5">
        <v>5279</v>
      </c>
      <c r="B5340" s="138">
        <f>'Revenues 9-14'!D65</f>
        <v>101567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101567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755132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17885</v>
      </c>
      <c r="D5354" s="2" t="str">
        <f t="shared" si="82"/>
        <v>Error?</v>
      </c>
    </row>
    <row r="5355" spans="1:4" x14ac:dyDescent="0.2">
      <c r="A5355" s="5">
        <v>5294</v>
      </c>
      <c r="B5355" s="138">
        <f>'Revenues 9-14'!D108</f>
        <v>773017</v>
      </c>
      <c r="C5355" s="2" t="s">
        <v>573</v>
      </c>
      <c r="D5355" s="2" t="str">
        <f t="shared" si="82"/>
        <v>Error?</v>
      </c>
    </row>
    <row r="5356" spans="1:4" x14ac:dyDescent="0.2">
      <c r="A5356" s="5">
        <v>5295</v>
      </c>
      <c r="B5356" s="138">
        <f>'Revenues 9-14'!D109</f>
        <v>15520701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15520701</v>
      </c>
      <c r="C5508" s="2" t="s">
        <v>573</v>
      </c>
      <c r="D5508" s="2" t="str">
        <f t="shared" si="85"/>
        <v>Error?</v>
      </c>
    </row>
    <row r="5509" spans="1:4" x14ac:dyDescent="0.2">
      <c r="A5509" s="5">
        <v>5448</v>
      </c>
      <c r="B5509" s="138">
        <f>'Revenues 9-14'!E5</f>
        <v>7898792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7898792</v>
      </c>
      <c r="C5513" s="2" t="s">
        <v>573</v>
      </c>
      <c r="D5513" s="2" t="str">
        <f t="shared" si="85"/>
        <v>Error?</v>
      </c>
    </row>
    <row r="5514" spans="1:4" x14ac:dyDescent="0.2">
      <c r="A5514" s="5">
        <v>5453</v>
      </c>
      <c r="B5514" s="138">
        <f>'Revenues 9-14'!E14</f>
        <v>8553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8553</v>
      </c>
      <c r="C5518" s="2" t="s">
        <v>573</v>
      </c>
      <c r="D5518" s="2" t="str">
        <f t="shared" si="85"/>
        <v>Error?</v>
      </c>
    </row>
    <row r="5519" spans="1:4" x14ac:dyDescent="0.2">
      <c r="A5519" s="5">
        <v>5458</v>
      </c>
      <c r="B5519" s="138">
        <f>'Revenues 9-14'!E65</f>
        <v>179878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179878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8087223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8087223</v>
      </c>
      <c r="C5552" s="2" t="s">
        <v>573</v>
      </c>
      <c r="D5552" s="2" t="str">
        <f t="shared" si="85"/>
        <v>Error?</v>
      </c>
    </row>
    <row r="5553" spans="1:4" x14ac:dyDescent="0.2">
      <c r="A5553" s="5">
        <v>5492</v>
      </c>
      <c r="B5553" s="138">
        <f>'Revenues 9-14'!F5</f>
        <v>5206540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5206540</v>
      </c>
      <c r="C5557" s="2" t="s">
        <v>573</v>
      </c>
      <c r="D5557" s="2" t="str">
        <f t="shared" si="85"/>
        <v>Error?</v>
      </c>
    </row>
    <row r="5558" spans="1:4" x14ac:dyDescent="0.2">
      <c r="A5558" s="5">
        <v>5497</v>
      </c>
      <c r="B5558" s="138">
        <f>'Revenues 9-14'!F14</f>
        <v>5599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200000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205599</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80854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80854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5492993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3825351</v>
      </c>
      <c r="D5615" s="2" t="str">
        <f t="shared" si="86"/>
        <v>Error?</v>
      </c>
    </row>
    <row r="5616" spans="1:4" x14ac:dyDescent="0.2">
      <c r="A5616" s="10">
        <v>5555</v>
      </c>
      <c r="D5616" s="2" t="str">
        <f t="shared" si="86"/>
        <v>OK</v>
      </c>
    </row>
    <row r="5617" spans="1:5" x14ac:dyDescent="0.2">
      <c r="A5617" s="5">
        <v>5556</v>
      </c>
      <c r="B5617" s="138">
        <f>'Revenues 9-14'!F153</f>
        <v>3865521</v>
      </c>
      <c r="D5617" s="2" t="str">
        <f t="shared" si="86"/>
        <v>Error?</v>
      </c>
    </row>
    <row r="5618" spans="1:5" x14ac:dyDescent="0.2">
      <c r="A5618" s="5">
        <v>5557</v>
      </c>
      <c r="B5618" s="138">
        <f>'Revenues 9-14'!F155</f>
        <v>7690872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7690872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7690872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13183865</v>
      </c>
      <c r="C5720" s="2" t="s">
        <v>573</v>
      </c>
      <c r="D5720" s="2" t="str">
        <f t="shared" si="88"/>
        <v>Error?</v>
      </c>
    </row>
    <row r="5721" spans="1:4" x14ac:dyDescent="0.2">
      <c r="A5721" s="5">
        <v>5660</v>
      </c>
      <c r="B5721" s="138">
        <f>'Revenues 9-14'!G5</f>
        <v>2756015</v>
      </c>
      <c r="D5721" s="2" t="str">
        <f t="shared" si="88"/>
        <v>Error?</v>
      </c>
    </row>
    <row r="5722" spans="1:4" x14ac:dyDescent="0.2">
      <c r="A5722" s="5">
        <v>5661</v>
      </c>
      <c r="B5722" s="138">
        <f>'Revenues 9-14'!G7</f>
        <v>0</v>
      </c>
      <c r="D5722" s="2" t="str">
        <f t="shared" si="88"/>
        <v>Error?</v>
      </c>
    </row>
    <row r="5723" spans="1:4" x14ac:dyDescent="0.2">
      <c r="A5723" s="5">
        <v>5662</v>
      </c>
      <c r="B5723" s="138">
        <f>'Revenues 9-14'!G8</f>
        <v>2848114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5604129</v>
      </c>
      <c r="C5725" s="2" t="s">
        <v>573</v>
      </c>
      <c r="D5725" s="2" t="str">
        <f t="shared" si="88"/>
        <v>Error?</v>
      </c>
    </row>
    <row r="5726" spans="1:4" x14ac:dyDescent="0.2">
      <c r="A5726" s="5">
        <v>5665</v>
      </c>
      <c r="B5726" s="138">
        <f>'Revenues 9-14'!G14</f>
        <v>6026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719426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725452</v>
      </c>
      <c r="C5730" s="2" t="s">
        <v>573</v>
      </c>
      <c r="D5730" s="2" t="str">
        <f t="shared" si="88"/>
        <v>Error?</v>
      </c>
    </row>
    <row r="5731" spans="1:4" x14ac:dyDescent="0.2">
      <c r="A5731" s="5">
        <v>5670</v>
      </c>
      <c r="B5731" s="138">
        <f>'Revenues 9-14'!G65</f>
        <v>51370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51370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6380951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117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117</v>
      </c>
      <c r="C6023" s="2" t="s">
        <v>573</v>
      </c>
      <c r="D6023" s="2" t="str">
        <f t="shared" si="93"/>
        <v>Error?</v>
      </c>
    </row>
    <row r="6024" spans="1:5" x14ac:dyDescent="0.2">
      <c r="A6024" s="5">
        <v>5963</v>
      </c>
      <c r="B6024" s="138">
        <f>'Revenues 9-14'!G109</f>
        <v>6380951</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117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830937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11788.7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2930000</v>
      </c>
      <c r="D6077" s="2" t="str">
        <f t="shared" si="93"/>
        <v>Error?</v>
      </c>
      <c r="E6077" s="2" t="s">
        <v>930</v>
      </c>
    </row>
    <row r="6078" spans="1:5" x14ac:dyDescent="0.2">
      <c r="A6078">
        <v>6017</v>
      </c>
      <c r="B6078" s="138">
        <f>'Short-Term Long-Term Debt 24'!E27</f>
        <v>40000</v>
      </c>
      <c r="D6078" s="2" t="str">
        <f t="shared" si="93"/>
        <v>Error?</v>
      </c>
      <c r="E6078" s="2" t="s">
        <v>930</v>
      </c>
    </row>
    <row r="6079" spans="1:5" x14ac:dyDescent="0.2">
      <c r="A6079">
        <v>6018</v>
      </c>
      <c r="B6079" s="138">
        <f>'Short-Term Long-Term Debt 24'!F27</f>
        <v>2890000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272714</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15550000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10308408</v>
      </c>
      <c r="D6090" s="2" t="str">
        <f t="shared" si="94"/>
        <v>Error?</v>
      </c>
      <c r="E6090" s="2" t="s">
        <v>190</v>
      </c>
    </row>
    <row r="6091" spans="1:5" x14ac:dyDescent="0.2">
      <c r="A6091">
        <v>6030</v>
      </c>
      <c r="B6091" s="138">
        <f>'Assets-Liab 5-6'!D8</f>
        <v>277957</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7949640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3576058</v>
      </c>
      <c r="D6124" s="2" t="str">
        <f t="shared" si="94"/>
        <v>Error?</v>
      </c>
      <c r="E6124" s="2" t="s">
        <v>190</v>
      </c>
    </row>
    <row r="6125" spans="1:5" x14ac:dyDescent="0.2">
      <c r="A6125">
        <v>6064</v>
      </c>
      <c r="B6125" s="138">
        <f>'Assets-Liab 5-6'!C25</f>
        <v>8013079</v>
      </c>
      <c r="D6125" s="2" t="str">
        <f t="shared" si="94"/>
        <v>Error?</v>
      </c>
      <c r="E6125" s="2" t="s">
        <v>190</v>
      </c>
    </row>
    <row r="6126" spans="1:5" x14ac:dyDescent="0.2">
      <c r="A6126">
        <v>6065</v>
      </c>
      <c r="B6126" s="138">
        <f>'Assets-Liab 5-6'!D25</f>
        <v>3255105</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1750617</v>
      </c>
      <c r="D6128" s="2" t="str">
        <f t="shared" si="94"/>
        <v>Error?</v>
      </c>
      <c r="E6128" s="2" t="s">
        <v>190</v>
      </c>
    </row>
    <row r="6129" spans="1:5" x14ac:dyDescent="0.2">
      <c r="A6129">
        <v>6068</v>
      </c>
      <c r="B6129" s="138">
        <f>'Assets-Liab 5-6'!G25</f>
        <v>2802138</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1934</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2668058</v>
      </c>
      <c r="D6142" s="2" t="str">
        <f t="shared" si="94"/>
        <v>Error?</v>
      </c>
      <c r="E6142" s="2" t="s">
        <v>190</v>
      </c>
    </row>
    <row r="6143" spans="1:5" x14ac:dyDescent="0.2">
      <c r="A6143">
        <v>6082</v>
      </c>
      <c r="B6143" s="138">
        <f>'Assets-Liab 5-6'!D27</f>
        <v>566314</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1398366</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63078</v>
      </c>
      <c r="D6149" s="2" t="str">
        <f t="shared" si="95"/>
        <v>Error?</v>
      </c>
      <c r="E6149" s="2" t="s">
        <v>190</v>
      </c>
    </row>
    <row r="6150" spans="1:5" x14ac:dyDescent="0.2">
      <c r="A6150">
        <v>6089</v>
      </c>
      <c r="B6150" s="138">
        <f>'Assets-Liab 5-6'!K27</f>
        <v>45</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14644509</v>
      </c>
      <c r="D6169" s="2" t="str">
        <f t="shared" si="95"/>
        <v>Error?</v>
      </c>
      <c r="E6169" s="2" t="s">
        <v>190</v>
      </c>
    </row>
    <row r="6170" spans="1:5" x14ac:dyDescent="0.2">
      <c r="A6170">
        <v>6109</v>
      </c>
      <c r="B6170" s="138">
        <f>'Assets-Liab 5-6'!D30</f>
        <v>142347</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1924</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195544</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1473458</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1734014</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1842044</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3576058</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2144915</v>
      </c>
      <c r="D6218" s="2" t="str">
        <f t="shared" si="96"/>
        <v>Error?</v>
      </c>
      <c r="E6218" s="2" t="s">
        <v>190</v>
      </c>
    </row>
    <row r="6219" spans="1:5" x14ac:dyDescent="0.2">
      <c r="A6219">
        <v>6158</v>
      </c>
      <c r="B6219" s="138">
        <f>'Assets-Liab 5-6'!J6</f>
        <v>1431143</v>
      </c>
      <c r="D6219" s="2" t="str">
        <f t="shared" si="96"/>
        <v>Error?</v>
      </c>
      <c r="E6219" s="2" t="s">
        <v>190</v>
      </c>
    </row>
    <row r="6220" spans="1:5" x14ac:dyDescent="0.2">
      <c r="A6220">
        <v>6159</v>
      </c>
      <c r="B6220" s="138">
        <f>'Acct Summary 7-8'!J4</f>
        <v>3401725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3401725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3401725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3626243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3626243</v>
      </c>
      <c r="D6229" s="2" t="str">
        <f t="shared" si="96"/>
        <v>Error?</v>
      </c>
      <c r="E6229" s="2" t="s">
        <v>190</v>
      </c>
    </row>
    <row r="6230" spans="1:5" x14ac:dyDescent="0.2">
      <c r="A6230">
        <v>6169</v>
      </c>
      <c r="B6230" s="138">
        <f>'Acct Summary 7-8'!J20</f>
        <v>-224518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107726</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-224518</v>
      </c>
      <c r="D6263" s="2" t="str">
        <f t="shared" si="96"/>
        <v>Error?</v>
      </c>
      <c r="E6263" s="2" t="s">
        <v>190</v>
      </c>
    </row>
    <row r="6264" spans="1:5" x14ac:dyDescent="0.2">
      <c r="A6264">
        <v>6203</v>
      </c>
      <c r="B6264" s="138">
        <f>'Acct Summary 7-8'!J79</f>
        <v>2066562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1842044</v>
      </c>
      <c r="D6266" s="2" t="str">
        <f t="shared" si="96"/>
        <v>Error?</v>
      </c>
      <c r="E6266" s="2" t="s">
        <v>190</v>
      </c>
    </row>
    <row r="6267" spans="1:5" x14ac:dyDescent="0.2">
      <c r="A6267">
        <v>6206</v>
      </c>
      <c r="B6267" s="138">
        <f>'Acct Summary 7-8'!C82</f>
        <v>3356888</v>
      </c>
      <c r="D6267" s="2" t="str">
        <f t="shared" si="96"/>
        <v>Error?</v>
      </c>
      <c r="E6267" s="2" t="s">
        <v>190</v>
      </c>
    </row>
    <row r="6268" spans="1:5" x14ac:dyDescent="0.2">
      <c r="A6268">
        <v>6207</v>
      </c>
      <c r="B6268" s="138">
        <f>'Acct Summary 7-8'!D82</f>
        <v>754009</v>
      </c>
      <c r="D6268" s="2" t="str">
        <f t="shared" si="96"/>
        <v>Error?</v>
      </c>
      <c r="E6268" s="2" t="s">
        <v>190</v>
      </c>
    </row>
    <row r="6269" spans="1:5" x14ac:dyDescent="0.2">
      <c r="A6269">
        <v>6208</v>
      </c>
      <c r="B6269" s="138">
        <f>'Acct Summary 7-8'!E82</f>
        <v>790356</v>
      </c>
      <c r="D6269" s="2" t="str">
        <f t="shared" si="96"/>
        <v>Error?</v>
      </c>
      <c r="E6269" s="2" t="s">
        <v>190</v>
      </c>
    </row>
    <row r="6270" spans="1:5" x14ac:dyDescent="0.2">
      <c r="A6270">
        <v>6209</v>
      </c>
      <c r="B6270" s="138">
        <f>'Acct Summary 7-8'!F82</f>
        <v>1679037</v>
      </c>
      <c r="D6270" s="2" t="str">
        <f t="shared" si="96"/>
        <v>Error?</v>
      </c>
      <c r="E6270" s="2" t="s">
        <v>190</v>
      </c>
    </row>
    <row r="6271" spans="1:5" x14ac:dyDescent="0.2">
      <c r="A6271">
        <v>6210</v>
      </c>
      <c r="B6271" s="138">
        <f>'Acct Summary 7-8'!G82</f>
        <v>315469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32</v>
      </c>
      <c r="D6273" s="2" t="str">
        <f t="shared" si="97"/>
        <v>Error?</v>
      </c>
      <c r="E6273" s="2" t="s">
        <v>190</v>
      </c>
    </row>
    <row r="6274" spans="1:5" x14ac:dyDescent="0.2">
      <c r="A6274">
        <v>6213</v>
      </c>
      <c r="B6274" s="138">
        <f>'Acct Summary 7-8'!J82</f>
        <v>-224518</v>
      </c>
      <c r="D6274" s="2" t="str">
        <f t="shared" si="97"/>
        <v>Error?</v>
      </c>
      <c r="E6274" s="2" t="s">
        <v>190</v>
      </c>
    </row>
    <row r="6275" spans="1:5" x14ac:dyDescent="0.2">
      <c r="A6275">
        <v>6214</v>
      </c>
      <c r="B6275" s="138">
        <f>'Acct Summary 7-8'!K82</f>
        <v>-20335</v>
      </c>
      <c r="D6275" s="2" t="str">
        <f t="shared" si="97"/>
        <v>Error?</v>
      </c>
      <c r="E6275" s="2" t="s">
        <v>190</v>
      </c>
    </row>
    <row r="6276" spans="1:5" x14ac:dyDescent="0.2">
      <c r="A6276">
        <v>6215</v>
      </c>
      <c r="B6276" s="138">
        <f>'Acct Summary 7-8'!C83</f>
        <v>0.20286644071615148</v>
      </c>
      <c r="D6276" s="2" t="str">
        <f t="shared" si="97"/>
        <v>Error?</v>
      </c>
      <c r="E6276" s="2" t="s">
        <v>190</v>
      </c>
    </row>
    <row r="6277" spans="1:5" x14ac:dyDescent="0.2">
      <c r="A6277">
        <v>6216</v>
      </c>
      <c r="B6277" s="138">
        <f>'Acct Summary 7-8'!D83</f>
        <v>0.35656022793100595</v>
      </c>
      <c r="D6277" s="2" t="str">
        <f t="shared" si="97"/>
        <v>Error?</v>
      </c>
      <c r="E6277" s="2" t="s">
        <v>190</v>
      </c>
    </row>
    <row r="6278" spans="1:5" x14ac:dyDescent="0.2">
      <c r="A6278">
        <v>6217</v>
      </c>
      <c r="B6278" s="138">
        <f>'Acct Summary 7-8'!E83</f>
        <v>9.2661479882933329E-2</v>
      </c>
      <c r="D6278" s="2" t="str">
        <f t="shared" si="97"/>
        <v>Error?</v>
      </c>
      <c r="E6278" s="2" t="s">
        <v>190</v>
      </c>
    </row>
    <row r="6279" spans="1:5" x14ac:dyDescent="0.2">
      <c r="A6279">
        <v>6218</v>
      </c>
      <c r="B6279" s="138">
        <f>'Acct Summary 7-8'!F83</f>
        <v>0.65909282719469342</v>
      </c>
      <c r="D6279" s="2" t="str">
        <f t="shared" si="97"/>
        <v>Error?</v>
      </c>
      <c r="E6279" s="2" t="s">
        <v>190</v>
      </c>
    </row>
    <row r="6280" spans="1:5" x14ac:dyDescent="0.2">
      <c r="A6280">
        <v>6219</v>
      </c>
      <c r="B6280" s="138">
        <f>'Acct Summary 7-8'!G83</f>
        <v>13.81878312672478</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2.0576946720626279E-6</v>
      </c>
      <c r="D6282" s="2" t="str">
        <f t="shared" si="97"/>
        <v>Error?</v>
      </c>
      <c r="E6282" s="2" t="s">
        <v>190</v>
      </c>
    </row>
    <row r="6283" spans="1:5" x14ac:dyDescent="0.2">
      <c r="A6283">
        <v>6222</v>
      </c>
      <c r="B6283" s="138">
        <f>'Acct Summary 7-8'!J83</f>
        <v>-0.12188525355528966</v>
      </c>
      <c r="D6283" s="2" t="str">
        <f t="shared" si="97"/>
        <v>Error?</v>
      </c>
      <c r="E6283" s="2" t="s">
        <v>190</v>
      </c>
    </row>
    <row r="6284" spans="1:5" x14ac:dyDescent="0.2">
      <c r="A6284">
        <v>6223</v>
      </c>
      <c r="B6284" s="138">
        <f>'Acct Summary 7-8'!K83</f>
        <v>-8.5946745562130182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107726</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2994170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2994170</v>
      </c>
      <c r="D6301" s="2" t="str">
        <f t="shared" si="97"/>
        <v>Error?</v>
      </c>
      <c r="E6301" s="2" t="s">
        <v>190</v>
      </c>
    </row>
    <row r="6302" spans="1:5" x14ac:dyDescent="0.2">
      <c r="A6302">
        <v>6241</v>
      </c>
      <c r="B6302" s="138">
        <f>'Revenues 9-14'!J14</f>
        <v>3327</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350000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353327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45355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45355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70175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8873</v>
      </c>
      <c r="D6350" s="2" t="str">
        <f t="shared" si="98"/>
        <v>Error?</v>
      </c>
      <c r="E6350" s="2" t="s">
        <v>190</v>
      </c>
    </row>
    <row r="6351" spans="1:5" x14ac:dyDescent="0.2">
      <c r="A6351">
        <v>6290</v>
      </c>
      <c r="B6351" s="138">
        <f>'Revenues 9-14'!J108</f>
        <v>8873</v>
      </c>
      <c r="D6351" s="2" t="str">
        <f t="shared" si="98"/>
        <v>Error?</v>
      </c>
      <c r="E6351" s="2" t="s">
        <v>190</v>
      </c>
    </row>
    <row r="6352" spans="1:5" x14ac:dyDescent="0.2">
      <c r="A6352">
        <v>6291</v>
      </c>
      <c r="B6352" s="138">
        <f>'Revenues 9-14'!J109</f>
        <v>3401725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1459516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75844</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575</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1999392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1767352</v>
      </c>
      <c r="D6853" s="2" t="str">
        <f t="shared" si="106"/>
        <v>Error?</v>
      </c>
    </row>
    <row r="6854" spans="1:4" x14ac:dyDescent="0.2">
      <c r="A6854">
        <v>6793</v>
      </c>
      <c r="B6854" s="138">
        <f>'Expenditures 15-22'!I10</f>
        <v>80433</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11361</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340421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2161065</v>
      </c>
      <c r="D6880" s="2" t="str">
        <f t="shared" si="106"/>
        <v>Error?</v>
      </c>
    </row>
    <row r="6881" spans="1:4" x14ac:dyDescent="0.2">
      <c r="A6881">
        <v>6820</v>
      </c>
      <c r="B6881" s="138">
        <f>'Expenditures 15-22'!K22</f>
        <v>2161065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168213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3550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1229</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899</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5678</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6880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12195</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19075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1991</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8644</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10635</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21895</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21895</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700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2458</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6790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21751</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31699</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3018</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4128</v>
      </c>
      <c r="D6969" s="2" t="str">
        <f t="shared" si="107"/>
        <v>Error?</v>
      </c>
    </row>
    <row r="6970" spans="1:4" x14ac:dyDescent="0.2">
      <c r="A6970">
        <v>6909</v>
      </c>
      <c r="B6970" s="138">
        <f>'Expenditures 15-22'!J70</f>
        <v>1031735</v>
      </c>
      <c r="D6970" s="2" t="str">
        <f t="shared" si="107"/>
        <v>Error?</v>
      </c>
    </row>
    <row r="6971" spans="1:4" x14ac:dyDescent="0.2">
      <c r="A6971">
        <v>6910</v>
      </c>
      <c r="B6971" s="138">
        <f>'Expenditures 15-22'!I71</f>
        <v>52647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59793</v>
      </c>
      <c r="D6973" s="2" t="str">
        <f t="shared" si="107"/>
        <v>Error?</v>
      </c>
    </row>
    <row r="6974" spans="1:4" x14ac:dyDescent="0.2">
      <c r="A6974">
        <v>6913</v>
      </c>
      <c r="B6974" s="138">
        <f>'Expenditures 15-22'!J72</f>
        <v>1031735</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148775</v>
      </c>
      <c r="D6977" s="2" t="str">
        <f t="shared" si="108"/>
        <v>Error?</v>
      </c>
    </row>
    <row r="6978" spans="1:4" x14ac:dyDescent="0.2">
      <c r="A6978">
        <v>6917</v>
      </c>
      <c r="B6978" s="138">
        <f>'Expenditures 15-22'!J74</f>
        <v>1031735</v>
      </c>
      <c r="D6978" s="2" t="str">
        <f t="shared" si="108"/>
        <v>Error?</v>
      </c>
    </row>
    <row r="6979" spans="1:4" x14ac:dyDescent="0.2">
      <c r="A6979">
        <v>6918</v>
      </c>
      <c r="B6979" s="138">
        <f>'Expenditures 15-22'!I75</f>
        <v>10707</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19718</v>
      </c>
      <c r="D7018" s="2" t="str">
        <f t="shared" si="108"/>
        <v>Error?</v>
      </c>
    </row>
    <row r="7019" spans="1:4" x14ac:dyDescent="0.2">
      <c r="A7019">
        <v>6958</v>
      </c>
      <c r="B7019" s="138">
        <f>'Expenditures 15-22'!K112</f>
        <v>19718</v>
      </c>
      <c r="D7019" s="2" t="str">
        <f t="shared" si="108"/>
        <v>Error?</v>
      </c>
    </row>
    <row r="7020" spans="1:4" x14ac:dyDescent="0.2">
      <c r="A7020">
        <v>6959</v>
      </c>
      <c r="B7020" s="138">
        <f>'Expenditures 15-22'!I114</f>
        <v>327695</v>
      </c>
      <c r="D7020" s="2" t="str">
        <f t="shared" si="108"/>
        <v>Error?</v>
      </c>
    </row>
    <row r="7021" spans="1:4" x14ac:dyDescent="0.2">
      <c r="A7021">
        <v>6960</v>
      </c>
      <c r="B7021" s="138">
        <f>'Expenditures 15-22'!J114</f>
        <v>1031735</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2377</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68944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71321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71321</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3626243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45</v>
      </c>
      <c r="D7049" s="2" t="str">
        <f t="shared" si="109"/>
        <v>Error?</v>
      </c>
    </row>
    <row r="7050" spans="1:5" x14ac:dyDescent="0.2">
      <c r="A7050">
        <v>6989</v>
      </c>
      <c r="B7050" s="138">
        <f>'Expenditures 15-22'!K148</f>
        <v>45</v>
      </c>
      <c r="D7050" s="2" t="str">
        <f t="shared" si="109"/>
        <v>Error?</v>
      </c>
    </row>
    <row r="7051" spans="1:5" x14ac:dyDescent="0.2">
      <c r="A7051">
        <v>6990</v>
      </c>
      <c r="B7051" s="138">
        <f>'Expenditures 15-22'!I151</f>
        <v>71321</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3401725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61325</v>
      </c>
      <c r="D7075" s="2" t="str">
        <f t="shared" si="109"/>
        <v>Error?</v>
      </c>
    </row>
    <row r="7076" spans="1:4" x14ac:dyDescent="0.2">
      <c r="A7076">
        <v>7015</v>
      </c>
      <c r="B7076" s="138">
        <f>'Expenditures 15-22'!K218</f>
        <v>61325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3967</v>
      </c>
      <c r="D7079" s="2" t="str">
        <f t="shared" si="109"/>
        <v>Error?</v>
      </c>
    </row>
    <row r="7080" spans="1:4" x14ac:dyDescent="0.2">
      <c r="A7080">
        <v>7019</v>
      </c>
      <c r="B7080" s="138">
        <f>'Expenditures 15-22'!K226</f>
        <v>3967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304432</v>
      </c>
      <c r="D7093" s="2" t="str">
        <f t="shared" si="109"/>
        <v>Error?</v>
      </c>
    </row>
    <row r="7094" spans="1:4" x14ac:dyDescent="0.2">
      <c r="A7094">
        <v>7033</v>
      </c>
      <c r="B7094" s="138">
        <f>'Expenditures 15-22'!K254</f>
        <v>304432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530833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530833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54360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54360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240187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240187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1908580</v>
      </c>
      <c r="D7172" s="2" t="str">
        <f t="shared" si="111"/>
        <v>Error?</v>
      </c>
    </row>
    <row r="7173" spans="1:4" x14ac:dyDescent="0.2">
      <c r="A7173">
        <v>7112</v>
      </c>
      <c r="B7173" s="138">
        <f>'Expenditures 15-22'!D325</f>
        <v>384333</v>
      </c>
      <c r="D7173" s="2" t="str">
        <f t="shared" si="111"/>
        <v>Error?</v>
      </c>
    </row>
    <row r="7174" spans="1:4" x14ac:dyDescent="0.2">
      <c r="A7174">
        <v>7113</v>
      </c>
      <c r="B7174" s="138">
        <f>'Expenditures 15-22'!E325</f>
        <v>455248</v>
      </c>
      <c r="D7174" s="2" t="str">
        <f t="shared" si="111"/>
        <v>Error?</v>
      </c>
    </row>
    <row r="7175" spans="1:4" x14ac:dyDescent="0.2">
      <c r="A7175">
        <v>7114</v>
      </c>
      <c r="B7175" s="138">
        <f>'Expenditures 15-22'!F325</f>
        <v>215</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2748376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52487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52487</v>
      </c>
      <c r="D7198" s="2" t="str">
        <f t="shared" si="111"/>
        <v>Error?</v>
      </c>
    </row>
    <row r="7199" spans="1:4" x14ac:dyDescent="0.2">
      <c r="A7199">
        <v>7138</v>
      </c>
      <c r="B7199" s="138">
        <f>'Expenditures 15-22'!C330</f>
        <v>1908580</v>
      </c>
      <c r="D7199" s="2" t="str">
        <f t="shared" si="111"/>
        <v>Error?</v>
      </c>
    </row>
    <row r="7200" spans="1:4" x14ac:dyDescent="0.2">
      <c r="A7200">
        <v>7139</v>
      </c>
      <c r="B7200" s="138">
        <f>'Expenditures 15-22'!D330</f>
        <v>384333</v>
      </c>
      <c r="D7200" s="2" t="str">
        <f t="shared" si="111"/>
        <v>Error?</v>
      </c>
    </row>
    <row r="7201" spans="1:4" x14ac:dyDescent="0.2">
      <c r="A7201">
        <v>7140</v>
      </c>
      <c r="B7201" s="138">
        <f>'Expenditures 15-22'!E330</f>
        <v>1333115</v>
      </c>
      <c r="D7201" s="2" t="str">
        <f t="shared" si="111"/>
        <v>Error?</v>
      </c>
    </row>
    <row r="7202" spans="1:4" x14ac:dyDescent="0.2">
      <c r="A7202">
        <v>7141</v>
      </c>
      <c r="B7202" s="138">
        <f>'Expenditures 15-22'!F330</f>
        <v>215</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3626243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1908580</v>
      </c>
      <c r="D7216" s="2" t="str">
        <f t="shared" si="111"/>
        <v>Error?</v>
      </c>
    </row>
    <row r="7217" spans="1:4" x14ac:dyDescent="0.2">
      <c r="A7217">
        <v>7156</v>
      </c>
      <c r="B7217" s="138">
        <f>'Expenditures 15-22'!D342</f>
        <v>384333</v>
      </c>
      <c r="D7217" s="2" t="str">
        <f t="shared" si="111"/>
        <v>Error?</v>
      </c>
    </row>
    <row r="7218" spans="1:4" x14ac:dyDescent="0.2">
      <c r="A7218">
        <v>7157</v>
      </c>
      <c r="B7218" s="138">
        <f>'Expenditures 15-22'!E342</f>
        <v>1333115</v>
      </c>
      <c r="D7218" s="2" t="str">
        <f t="shared" si="111"/>
        <v>Error?</v>
      </c>
    </row>
    <row r="7219" spans="1:4" x14ac:dyDescent="0.2">
      <c r="A7219">
        <v>7158</v>
      </c>
      <c r="B7219" s="138">
        <f>'Expenditures 15-22'!F342</f>
        <v>215</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3626243</v>
      </c>
      <c r="D7224" s="2" t="str">
        <f t="shared" si="111"/>
        <v>Error?</v>
      </c>
    </row>
    <row r="7225" spans="1:4" x14ac:dyDescent="0.2">
      <c r="A7225">
        <v>7164</v>
      </c>
      <c r="B7225" s="138">
        <f>'Expenditures 15-22'!K343</f>
        <v>-224518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486433</v>
      </c>
      <c r="D7246" s="2" t="str">
        <f t="shared" si="112"/>
        <v>Error?</v>
      </c>
    </row>
    <row r="7247" spans="1:4" x14ac:dyDescent="0.2">
      <c r="A7247">
        <f t="shared" si="113"/>
        <v>7186</v>
      </c>
      <c r="B7247" s="138">
        <f>'Expenditures 15-22'!E7</f>
        <v>1138</v>
      </c>
      <c r="D7247" s="2" t="str">
        <f t="shared" si="112"/>
        <v>Error?</v>
      </c>
    </row>
    <row r="7248" spans="1:4" x14ac:dyDescent="0.2">
      <c r="A7248">
        <f t="shared" si="113"/>
        <v>7187</v>
      </c>
      <c r="B7248" s="138">
        <f>'Expenditures 15-22'!F7</f>
        <v>51730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1355682</v>
      </c>
      <c r="D7251" s="2" t="str">
        <f t="shared" si="112"/>
        <v>Error?</v>
      </c>
    </row>
    <row r="7252" spans="1:4" x14ac:dyDescent="0.2">
      <c r="A7252">
        <f t="shared" si="113"/>
        <v>7191</v>
      </c>
      <c r="B7252" s="138">
        <f>'Expenditures 15-22'!D9</f>
        <v>390134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21536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236623</v>
      </c>
      <c r="D7263" s="2" t="str">
        <f t="shared" si="112"/>
        <v>Error?</v>
      </c>
    </row>
    <row r="7264" spans="1:4" x14ac:dyDescent="0.2">
      <c r="A7264">
        <f t="shared" si="113"/>
        <v>7203</v>
      </c>
      <c r="B7264" s="138">
        <f>'Expenditures 15-22'!D17</f>
        <v>33693</v>
      </c>
      <c r="D7264" s="2" t="str">
        <f t="shared" si="112"/>
        <v>Error?</v>
      </c>
    </row>
    <row r="7265" spans="1:5" x14ac:dyDescent="0.2">
      <c r="A7265">
        <f t="shared" si="113"/>
        <v>7204</v>
      </c>
      <c r="B7265" s="138">
        <f>'Expenditures 15-22'!E17</f>
        <v>11857</v>
      </c>
      <c r="D7265" s="2" t="str">
        <f t="shared" si="112"/>
        <v>Error?</v>
      </c>
    </row>
    <row r="7266" spans="1:5" x14ac:dyDescent="0.2">
      <c r="A7266">
        <f t="shared" si="113"/>
        <v>7205</v>
      </c>
      <c r="B7266" s="138">
        <f>'Expenditures 15-22'!F17</f>
        <v>14895</v>
      </c>
      <c r="D7266" s="2" t="str">
        <f t="shared" si="112"/>
        <v>Error?</v>
      </c>
    </row>
    <row r="7267" spans="1:5" x14ac:dyDescent="0.2">
      <c r="A7267">
        <f t="shared" si="113"/>
        <v>7206</v>
      </c>
      <c r="B7267" s="138">
        <f>'Expenditures 15-22'!G17</f>
        <v>43103</v>
      </c>
      <c r="D7267" s="2" t="str">
        <f t="shared" si="112"/>
        <v>Error?</v>
      </c>
    </row>
    <row r="7268" spans="1:5" x14ac:dyDescent="0.2">
      <c r="A7268">
        <f t="shared" si="113"/>
        <v>7207</v>
      </c>
      <c r="B7268" s="138">
        <f>'Expenditures 15-22'!H17</f>
        <v>250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399016</v>
      </c>
      <c r="D7624" s="2" t="str">
        <f t="shared" si="124"/>
        <v>Error?</v>
      </c>
      <c r="E7624" s="2" t="s">
        <v>19</v>
      </c>
    </row>
    <row r="7625" spans="1:5" x14ac:dyDescent="0.2">
      <c r="A7625">
        <f t="shared" si="123"/>
        <v>7564</v>
      </c>
      <c r="B7625" s="138">
        <f>'Cap Outlay Deprec 26'!I17</f>
        <v>39901.599999999999</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5914508.5999999996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281401</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70175</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167825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238000</v>
      </c>
      <c r="D7719" s="2" t="str">
        <f t="shared" si="126"/>
        <v>Error?</v>
      </c>
      <c r="E7719" s="2" t="s">
        <v>827</v>
      </c>
    </row>
    <row r="7720" spans="1:6" x14ac:dyDescent="0.2">
      <c r="A7720">
        <v>7659</v>
      </c>
      <c r="B7720" s="138">
        <f>'Rest Tax Levies-Tort Im 25'!H14</f>
        <v>27086239</v>
      </c>
      <c r="D7720" s="2" t="str">
        <f t="shared" si="126"/>
        <v>Error?</v>
      </c>
      <c r="E7720" s="2" t="s">
        <v>827</v>
      </c>
    </row>
    <row r="7721" spans="1:6" x14ac:dyDescent="0.2">
      <c r="A7721">
        <v>7660</v>
      </c>
      <c r="B7721" s="138">
        <f>'Rest Tax Levies-Tort Im 25'!K14</f>
        <v>340421</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-102421</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-25017262</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-102421</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1604148</v>
      </c>
      <c r="D7759" s="2" t="str">
        <f t="shared" si="127"/>
        <v>Error?</v>
      </c>
      <c r="E7759" s="4" t="s">
        <v>1333</v>
      </c>
    </row>
    <row r="7760" spans="1:6" x14ac:dyDescent="0.2">
      <c r="A7760">
        <v>7699</v>
      </c>
      <c r="B7760" s="138">
        <f>'Aud Quest 2'!J90</f>
        <v>1604148</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1484759</v>
      </c>
      <c r="D7797" s="2" t="str">
        <f t="shared" si="127"/>
        <v>Error?</v>
      </c>
      <c r="E7797" s="4" t="s">
        <v>1900</v>
      </c>
    </row>
    <row r="7798" spans="1:5" x14ac:dyDescent="0.2">
      <c r="A7798">
        <v>7737</v>
      </c>
      <c r="B7798" s="138">
        <f>'Contracts Paid in CY 29'!F142</f>
        <v>400000</v>
      </c>
      <c r="D7798" s="2" t="str">
        <f t="shared" si="127"/>
        <v>Error?</v>
      </c>
      <c r="E7798" s="4" t="s">
        <v>1900</v>
      </c>
    </row>
    <row r="7799" spans="1:5" x14ac:dyDescent="0.2">
      <c r="A7799">
        <v>7738</v>
      </c>
      <c r="B7799" s="138">
        <f>'Contracts Paid in CY 29'!G142</f>
        <v>1084759</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topLeftCell="A25" zoomScale="110" zoomScaleNormal="110" workbookViewId="0">
      <selection activeCell="N15" sqref="N1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75" t="s">
        <v>1191</v>
      </c>
      <c r="B2" s="2475"/>
      <c r="C2" s="2475"/>
      <c r="D2" s="2475"/>
      <c r="E2" s="2475"/>
      <c r="F2" s="2475"/>
      <c r="G2" s="2475"/>
      <c r="H2" s="2475"/>
      <c r="I2" s="2475"/>
      <c r="J2" s="2475"/>
      <c r="K2" s="2475"/>
      <c r="L2" s="2475"/>
    </row>
    <row r="3" spans="1:29" ht="13.5" customHeight="1" x14ac:dyDescent="0.2">
      <c r="A3" s="2461" t="s">
        <v>1190</v>
      </c>
      <c r="B3" s="2461"/>
      <c r="C3" s="2461"/>
      <c r="D3" s="2461"/>
      <c r="E3" s="2461"/>
      <c r="F3" s="2461"/>
      <c r="G3" s="2461"/>
      <c r="H3" s="2461"/>
      <c r="I3" s="2461"/>
      <c r="J3" s="2461"/>
      <c r="K3" s="2461"/>
      <c r="L3" s="2461"/>
    </row>
    <row r="4" spans="1:29" ht="13.5" customHeight="1" x14ac:dyDescent="0.2">
      <c r="A4" s="2475" t="s">
        <v>1984</v>
      </c>
      <c r="B4" s="2492"/>
      <c r="C4" s="2492"/>
      <c r="D4" s="2492"/>
      <c r="E4" s="2492"/>
      <c r="F4" s="2492"/>
      <c r="G4" s="2492"/>
      <c r="H4" s="2492"/>
      <c r="I4" s="2492"/>
      <c r="J4" s="2492"/>
      <c r="K4" s="2492"/>
      <c r="L4" s="249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55" t="str">
        <f>COVER!A17</f>
        <v>Springfield SD 186</v>
      </c>
      <c r="B7" s="2456"/>
      <c r="C7" s="2456"/>
      <c r="D7" s="2493"/>
      <c r="E7" s="2494">
        <f>COVER!A13</f>
        <v>51084186025</v>
      </c>
      <c r="F7" s="2495"/>
      <c r="G7" s="2462">
        <f>COVER!T23</f>
        <v>0</v>
      </c>
      <c r="H7" s="2463"/>
      <c r="I7" s="2463"/>
      <c r="J7" s="2463"/>
      <c r="K7" s="2463"/>
      <c r="L7" s="246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65"/>
      <c r="B9" s="2466"/>
      <c r="C9" s="2466"/>
      <c r="D9" s="2466"/>
      <c r="E9" s="2466"/>
      <c r="F9" s="2467"/>
      <c r="G9" s="2468" t="str">
        <f>COVER!T13</f>
        <v>RSM US LLP</v>
      </c>
      <c r="H9" s="2469"/>
      <c r="I9" s="2469"/>
      <c r="J9" s="2469"/>
      <c r="K9" s="2469"/>
      <c r="L9" s="2470"/>
    </row>
    <row r="10" spans="1:29" ht="13.5" customHeight="1" x14ac:dyDescent="0.2">
      <c r="A10" s="2452" t="str">
        <f>COVER!A38</f>
        <v>Jennifer Gill</v>
      </c>
      <c r="B10" s="2453"/>
      <c r="C10" s="2453"/>
      <c r="D10" s="2453"/>
      <c r="E10" s="2453"/>
      <c r="F10" s="2454"/>
      <c r="G10" s="2468" t="str">
        <f>COVER!T17</f>
        <v>1 South Wacker Drive, Suite 800</v>
      </c>
      <c r="H10" s="2481"/>
      <c r="I10" s="2481"/>
      <c r="J10" s="2481"/>
      <c r="K10" s="2481"/>
      <c r="L10" s="2482"/>
    </row>
    <row r="11" spans="1:29" ht="13.5" customHeight="1" x14ac:dyDescent="0.2">
      <c r="A11" s="1184" t="s">
        <v>1519</v>
      </c>
      <c r="B11" s="1185"/>
      <c r="C11" s="1186"/>
      <c r="D11" s="1191"/>
      <c r="E11" s="1186"/>
      <c r="F11" s="1190"/>
      <c r="G11" s="2468" t="str">
        <f>COVER!T19</f>
        <v>Chicago</v>
      </c>
      <c r="H11" s="2481"/>
      <c r="I11" s="2481"/>
      <c r="J11" s="2481"/>
      <c r="K11" s="2481"/>
      <c r="L11" s="2482"/>
    </row>
    <row r="12" spans="1:29" ht="13.5" customHeight="1" x14ac:dyDescent="0.2">
      <c r="A12" s="2486" t="s">
        <v>1518</v>
      </c>
      <c r="B12" s="2487"/>
      <c r="C12" s="2487"/>
      <c r="D12" s="2487"/>
      <c r="E12" s="2487"/>
      <c r="F12" s="2488"/>
      <c r="G12" s="2483"/>
      <c r="H12" s="2484"/>
      <c r="I12" s="2484"/>
      <c r="J12" s="2484"/>
      <c r="K12" s="2484"/>
      <c r="L12" s="2485"/>
    </row>
    <row r="13" spans="1:29" ht="13.5" customHeight="1" x14ac:dyDescent="0.2">
      <c r="A13" s="2468"/>
      <c r="B13" s="2481"/>
      <c r="C13" s="2481"/>
      <c r="D13" s="2481"/>
      <c r="E13" s="2481"/>
      <c r="F13" s="2482"/>
      <c r="G13" s="2476" t="s">
        <v>1520</v>
      </c>
      <c r="H13" s="2477"/>
      <c r="I13" s="2489" t="str">
        <f>COVER!T25</f>
        <v>katie.barry@rsmus.com</v>
      </c>
      <c r="J13" s="2490"/>
      <c r="K13" s="2490"/>
      <c r="L13" s="2491"/>
    </row>
    <row r="14" spans="1:29" ht="13.5" customHeight="1" x14ac:dyDescent="0.2">
      <c r="A14" s="2468" t="str">
        <f>COVER!A19</f>
        <v>1900 West Monroe Street</v>
      </c>
      <c r="B14" s="2481"/>
      <c r="C14" s="2481"/>
      <c r="D14" s="2481"/>
      <c r="E14" s="2481"/>
      <c r="F14" s="2482"/>
      <c r="G14" s="1195" t="s">
        <v>1185</v>
      </c>
      <c r="H14" s="1193"/>
      <c r="I14" s="1193"/>
      <c r="J14" s="1193"/>
      <c r="K14" s="1193"/>
      <c r="L14" s="1194"/>
    </row>
    <row r="15" spans="1:29" ht="13.5" customHeight="1" x14ac:dyDescent="0.2">
      <c r="A15" s="2468" t="str">
        <f>COVER!A21</f>
        <v xml:space="preserve">Springfield </v>
      </c>
      <c r="B15" s="2481"/>
      <c r="C15" s="2481"/>
      <c r="D15" s="2481"/>
      <c r="E15" s="2481"/>
      <c r="F15" s="2482"/>
      <c r="G15" s="2478" t="str">
        <f>COVER!T15</f>
        <v>Katie Barry</v>
      </c>
      <c r="H15" s="2479"/>
      <c r="I15" s="2479"/>
      <c r="J15" s="2479"/>
      <c r="K15" s="2479"/>
      <c r="L15" s="2480"/>
    </row>
    <row r="16" spans="1:29" ht="12.2" customHeight="1" x14ac:dyDescent="0.2">
      <c r="A16" s="2458">
        <f>COVER!A25</f>
        <v>62704</v>
      </c>
      <c r="B16" s="2459"/>
      <c r="C16" s="2459"/>
      <c r="D16" s="2459"/>
      <c r="E16" s="2459"/>
      <c r="F16" s="2460"/>
      <c r="G16" s="2471"/>
      <c r="H16" s="2472"/>
      <c r="I16" s="2472"/>
      <c r="J16" s="2472"/>
      <c r="K16" s="2472"/>
      <c r="L16" s="2473"/>
    </row>
    <row r="17" spans="1:13" ht="12.2" customHeight="1" x14ac:dyDescent="0.2">
      <c r="A17" s="2474"/>
      <c r="B17" s="2459"/>
      <c r="C17" s="2459"/>
      <c r="D17" s="2459"/>
      <c r="E17" s="2459"/>
      <c r="F17" s="2460"/>
      <c r="G17" s="1195" t="s">
        <v>1184</v>
      </c>
      <c r="H17" s="1193"/>
      <c r="I17" s="1193"/>
      <c r="J17" s="1193"/>
      <c r="K17" s="1197" t="s">
        <v>1183</v>
      </c>
      <c r="L17" s="1190"/>
      <c r="M17" s="1183"/>
    </row>
    <row r="18" spans="1:13" ht="12.2" customHeight="1" x14ac:dyDescent="0.2">
      <c r="A18" s="2452"/>
      <c r="B18" s="2453"/>
      <c r="C18" s="2453"/>
      <c r="D18" s="2453"/>
      <c r="E18" s="2453"/>
      <c r="F18" s="2454"/>
      <c r="G18" s="2455" t="str">
        <f>COVER!T21</f>
        <v>312.634.4415</v>
      </c>
      <c r="H18" s="2456"/>
      <c r="I18" s="2456"/>
      <c r="J18" s="2456"/>
      <c r="K18" s="2455" t="str">
        <f>COVER!X21</f>
        <v>312.634.5523</v>
      </c>
      <c r="L18" s="245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zoomScale="125" zoomScaleNormal="125" workbookViewId="0">
      <selection activeCell="N15" sqref="N15"/>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96" t="str">
        <f>'Single Audit Cover'!A7</f>
        <v>Springfield SD 186</v>
      </c>
      <c r="B1" s="2492"/>
      <c r="C1" s="2492"/>
      <c r="D1" s="2492"/>
    </row>
    <row r="2" spans="1:11" s="1212" customFormat="1" ht="12.75" x14ac:dyDescent="0.2">
      <c r="A2" s="2497">
        <f>'Single Audit Cover'!E7</f>
        <v>51084186025</v>
      </c>
      <c r="B2" s="2498"/>
      <c r="C2" s="2498"/>
      <c r="D2" s="2498"/>
    </row>
    <row r="3" spans="1:11" s="1212" customFormat="1" ht="12.75" x14ac:dyDescent="0.2">
      <c r="A3" s="2496" t="s">
        <v>1513</v>
      </c>
      <c r="B3" s="2492"/>
      <c r="C3" s="2492"/>
      <c r="D3" s="249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N15" sqref="N1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500" t="str">
        <f>'Single Audit Cover'!A7</f>
        <v>Springfield SD 186</v>
      </c>
      <c r="B1" s="2500"/>
      <c r="C1" s="2500"/>
      <c r="D1" s="2500"/>
      <c r="E1" s="2500"/>
    </row>
    <row r="2" spans="1:5" x14ac:dyDescent="0.2">
      <c r="A2" s="2501">
        <f>'Single Audit Cover'!E7</f>
        <v>51084186025</v>
      </c>
      <c r="B2" s="2501"/>
      <c r="C2" s="2501"/>
      <c r="D2" s="2501"/>
      <c r="E2" s="2501"/>
    </row>
    <row r="3" spans="1:5" ht="4.5" customHeight="1" x14ac:dyDescent="0.2"/>
    <row r="4" spans="1:5" x14ac:dyDescent="0.2">
      <c r="A4" s="2500" t="s">
        <v>1245</v>
      </c>
      <c r="B4" s="2500"/>
      <c r="C4" s="2500"/>
      <c r="D4" s="2500"/>
      <c r="E4" s="2500"/>
    </row>
    <row r="5" spans="1:5" x14ac:dyDescent="0.2">
      <c r="A5" s="2503" t="str">
        <f>'Single Audit Cover'!A4</f>
        <v>Year Ending June 30, 2019</v>
      </c>
      <c r="B5" s="2503"/>
      <c r="C5" s="2503"/>
      <c r="D5" s="2503"/>
      <c r="E5" s="2503"/>
    </row>
    <row r="6" spans="1:5" x14ac:dyDescent="0.2">
      <c r="A6" s="2500" t="s">
        <v>1244</v>
      </c>
      <c r="B6" s="2500"/>
      <c r="C6" s="2500"/>
      <c r="D6" s="2500"/>
      <c r="E6" s="2500"/>
    </row>
    <row r="8" spans="1:5" x14ac:dyDescent="0.2">
      <c r="A8" s="1257" t="s">
        <v>1243</v>
      </c>
    </row>
    <row r="10" spans="1:5" x14ac:dyDescent="0.2">
      <c r="A10" s="1258" t="s">
        <v>1242</v>
      </c>
      <c r="B10" s="1259" t="s">
        <v>1241</v>
      </c>
      <c r="C10" s="1259"/>
      <c r="D10" s="1260">
        <f>SUM('Acct Summary 7-8'!C7:K7)</f>
        <v>27438499</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830937</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-770859</v>
      </c>
    </row>
    <row r="19" spans="1:4" ht="13.5" thickBot="1" x14ac:dyDescent="0.25">
      <c r="A19" s="1262" t="s">
        <v>1235</v>
      </c>
      <c r="D19" s="1263">
        <f>SUM(D10:D17)</f>
        <v>27498577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502"/>
      <c r="B24" s="2502"/>
      <c r="D24" s="1265"/>
    </row>
    <row r="25" spans="1:4" x14ac:dyDescent="0.2">
      <c r="A25" s="2499" t="s">
        <v>2092</v>
      </c>
      <c r="B25" s="2499"/>
      <c r="D25" s="1265">
        <v>-259768</v>
      </c>
    </row>
    <row r="26" spans="1:4" x14ac:dyDescent="0.2">
      <c r="A26" s="2499" t="s">
        <v>2093</v>
      </c>
      <c r="B26" s="2499"/>
      <c r="D26" s="1265"/>
    </row>
    <row r="27" spans="1:4" x14ac:dyDescent="0.2">
      <c r="A27" s="2499" t="s">
        <v>2094</v>
      </c>
      <c r="B27" s="2499"/>
      <c r="D27" s="1265">
        <v>-830937</v>
      </c>
    </row>
    <row r="28" spans="1:4" x14ac:dyDescent="0.2">
      <c r="A28" s="2499" t="s">
        <v>2095</v>
      </c>
      <c r="B28" s="2499"/>
      <c r="D28" s="1265">
        <v>198</v>
      </c>
    </row>
    <row r="29" spans="1:4" x14ac:dyDescent="0.2">
      <c r="A29" s="2499"/>
      <c r="B29" s="2499"/>
      <c r="D29" s="1265"/>
    </row>
    <row r="30" spans="1:4" x14ac:dyDescent="0.2">
      <c r="A30" s="2499"/>
      <c r="B30" s="2499"/>
      <c r="D30" s="1265"/>
    </row>
    <row r="32" spans="1:4" x14ac:dyDescent="0.2">
      <c r="A32" s="1257" t="s">
        <v>1233</v>
      </c>
      <c r="D32" s="1260">
        <f>SUM(D19:D30)</f>
        <v>26408070</v>
      </c>
    </row>
    <row r="33" spans="1:4" x14ac:dyDescent="0.2">
      <c r="D33" s="1266"/>
    </row>
    <row r="34" spans="1:4" x14ac:dyDescent="0.2">
      <c r="A34" s="317" t="s">
        <v>1232</v>
      </c>
    </row>
    <row r="35" spans="1:4" x14ac:dyDescent="0.2">
      <c r="A35" s="317" t="s">
        <v>1231</v>
      </c>
      <c r="B35" s="1255" t="s">
        <v>1230</v>
      </c>
      <c r="D35" s="1267">
        <f>SEFA!F159</f>
        <v>26408070</v>
      </c>
    </row>
    <row r="37" spans="1:4" x14ac:dyDescent="0.2">
      <c r="A37" s="1257" t="s">
        <v>1229</v>
      </c>
    </row>
    <row r="39" spans="1:4" ht="13.35" customHeight="1" x14ac:dyDescent="0.2">
      <c r="A39" s="1264" t="s">
        <v>1228</v>
      </c>
    </row>
    <row r="40" spans="1:4" x14ac:dyDescent="0.2">
      <c r="A40" s="2499"/>
      <c r="B40" s="2499"/>
      <c r="D40" s="1265"/>
    </row>
    <row r="41" spans="1:4" x14ac:dyDescent="0.2">
      <c r="A41" s="2499"/>
      <c r="B41" s="2499"/>
      <c r="D41" s="1268"/>
    </row>
    <row r="42" spans="1:4" x14ac:dyDescent="0.2">
      <c r="A42" s="2499"/>
      <c r="B42" s="2499"/>
      <c r="D42" s="1268"/>
    </row>
    <row r="43" spans="1:4" x14ac:dyDescent="0.2">
      <c r="A43" s="2499"/>
      <c r="B43" s="2499"/>
      <c r="D43" s="1268"/>
    </row>
    <row r="44" spans="1:4" x14ac:dyDescent="0.2">
      <c r="A44" s="2499"/>
      <c r="B44" s="2499"/>
      <c r="D44" s="1268"/>
    </row>
    <row r="45" spans="1:4" x14ac:dyDescent="0.2">
      <c r="A45" s="2499"/>
      <c r="B45" s="2499"/>
      <c r="D45" s="1268"/>
    </row>
    <row r="47" spans="1:4" x14ac:dyDescent="0.2">
      <c r="B47" s="1269" t="s">
        <v>1227</v>
      </c>
      <c r="C47" s="1269"/>
      <c r="D47" s="1270">
        <f>SUM(D35:D45)</f>
        <v>26408070</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61" t="str">
        <f>'Single Audit Cover'!A7</f>
        <v>Springfield SD 186</v>
      </c>
      <c r="C1" s="2504"/>
      <c r="D1" s="2504"/>
      <c r="E1" s="2504"/>
      <c r="F1" s="2504"/>
      <c r="G1" s="2504"/>
      <c r="H1" s="2504"/>
      <c r="I1" s="2504"/>
      <c r="J1" s="2504"/>
      <c r="K1" s="2504"/>
      <c r="L1" s="2504"/>
      <c r="M1" s="2504"/>
    </row>
    <row r="2" spans="2:14" ht="15" x14ac:dyDescent="0.2">
      <c r="B2" s="2505">
        <f>'Single Audit Cover'!E7</f>
        <v>51084186025</v>
      </c>
      <c r="C2" s="2505"/>
      <c r="D2" s="2505"/>
      <c r="E2" s="2505"/>
      <c r="F2" s="2505"/>
      <c r="G2" s="2505"/>
      <c r="H2" s="2505"/>
      <c r="I2" s="2505"/>
      <c r="J2" s="2505"/>
      <c r="K2" s="2505"/>
      <c r="L2" s="2505"/>
      <c r="M2" s="2505"/>
      <c r="N2" s="1299"/>
    </row>
    <row r="3" spans="2:14" ht="15" x14ac:dyDescent="0.2">
      <c r="B3" s="2506" t="s">
        <v>1219</v>
      </c>
      <c r="C3" s="2506"/>
      <c r="D3" s="2506"/>
      <c r="E3" s="2506"/>
      <c r="F3" s="2506"/>
      <c r="G3" s="2506"/>
      <c r="H3" s="2506"/>
      <c r="I3" s="2506"/>
      <c r="J3" s="2506"/>
      <c r="K3" s="2506"/>
      <c r="L3" s="2506"/>
      <c r="M3" s="2506"/>
      <c r="N3" s="1299"/>
    </row>
    <row r="4" spans="2:14" ht="15" x14ac:dyDescent="0.2">
      <c r="B4" s="2507" t="str">
        <f>'Single Audit Cover'!A4</f>
        <v>Year Ending June 30, 2019</v>
      </c>
      <c r="C4" s="2507"/>
      <c r="D4" s="2507"/>
      <c r="E4" s="2507"/>
      <c r="F4" s="2507"/>
      <c r="G4" s="2507"/>
      <c r="H4" s="2507"/>
      <c r="I4" s="2507"/>
      <c r="J4" s="2507"/>
      <c r="K4" s="2507"/>
      <c r="L4" s="2507"/>
      <c r="M4" s="2507"/>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AA197"/>
  <sheetViews>
    <sheetView zoomScale="80" zoomScaleNormal="80" workbookViewId="0">
      <selection activeCell="J160" sqref="J160"/>
    </sheetView>
  </sheetViews>
  <sheetFormatPr defaultColWidth="9.140625" defaultRowHeight="12.75" x14ac:dyDescent="0.2"/>
  <cols>
    <col min="1" max="1" width="68.28515625" style="1941" bestFit="1" customWidth="1"/>
    <col min="2" max="2" width="7.85546875" style="1941" bestFit="1" customWidth="1"/>
    <col min="3" max="3" width="11.7109375" style="1941" bestFit="1" customWidth="1"/>
    <col min="4" max="4" width="9.140625" style="1941"/>
    <col min="5" max="6" width="11.28515625" style="1941" bestFit="1" customWidth="1"/>
    <col min="7" max="7" width="12.28515625" style="1941" bestFit="1" customWidth="1"/>
    <col min="8" max="8" width="11.28515625" style="1941" bestFit="1" customWidth="1"/>
    <col min="9" max="9" width="12.28515625" style="1941" bestFit="1" customWidth="1"/>
    <col min="10" max="10" width="32.28515625" style="1941" bestFit="1" customWidth="1"/>
    <col min="11" max="11" width="13.5703125" style="1941" bestFit="1" customWidth="1"/>
    <col min="12" max="12" width="11.28515625" style="1941" bestFit="1" customWidth="1"/>
    <col min="13" max="13" width="9.140625" style="1941"/>
    <col min="14" max="14" width="11.28515625" style="1941" bestFit="1" customWidth="1"/>
    <col min="15" max="16384" width="9.140625" style="1940"/>
  </cols>
  <sheetData>
    <row r="1" spans="1:14" x14ac:dyDescent="0.2">
      <c r="A1" s="1942" t="s">
        <v>1169</v>
      </c>
      <c r="C1" s="1943" t="s">
        <v>1169</v>
      </c>
      <c r="D1" s="1943"/>
      <c r="E1" s="1944" t="s">
        <v>1169</v>
      </c>
      <c r="J1" s="1945" t="s">
        <v>2114</v>
      </c>
      <c r="K1" s="1945"/>
      <c r="L1" s="1945"/>
      <c r="M1" s="1945"/>
      <c r="N1" s="1946"/>
    </row>
    <row r="2" spans="1:14" x14ac:dyDescent="0.2">
      <c r="C2" s="1943"/>
      <c r="D2" s="1943"/>
      <c r="J2" s="1941" t="s">
        <v>2115</v>
      </c>
    </row>
    <row r="3" spans="1:14" x14ac:dyDescent="0.2">
      <c r="C3" s="1943"/>
      <c r="D3" s="1943"/>
      <c r="E3" s="1941" t="s">
        <v>1169</v>
      </c>
      <c r="J3" s="1945" t="s">
        <v>2063</v>
      </c>
      <c r="K3" s="1945"/>
      <c r="L3" s="1945"/>
      <c r="M3" s="1945"/>
      <c r="N3" s="1945"/>
    </row>
    <row r="4" spans="1:14" x14ac:dyDescent="0.2">
      <c r="A4" s="1947" t="s">
        <v>405</v>
      </c>
      <c r="C4" s="1943"/>
      <c r="D4" s="1943"/>
      <c r="E4" s="1948"/>
      <c r="F4" s="1948"/>
      <c r="G4" s="1948"/>
      <c r="J4" s="1941" t="s">
        <v>1007</v>
      </c>
    </row>
    <row r="5" spans="1:14" x14ac:dyDescent="0.2">
      <c r="A5" s="1949" t="s">
        <v>2116</v>
      </c>
      <c r="C5" s="1950" t="s">
        <v>1169</v>
      </c>
      <c r="D5" s="1950"/>
      <c r="E5" s="1951"/>
      <c r="F5" s="1951"/>
      <c r="G5" s="1951"/>
      <c r="J5" s="1945" t="s">
        <v>2064</v>
      </c>
      <c r="K5" s="1945"/>
      <c r="L5" s="1945"/>
      <c r="M5" s="1945"/>
      <c r="N5" s="1945"/>
    </row>
    <row r="6" spans="1:14" x14ac:dyDescent="0.2">
      <c r="A6" s="1947" t="s">
        <v>2117</v>
      </c>
      <c r="C6" s="1943"/>
      <c r="D6" s="1943"/>
      <c r="E6" s="1951"/>
      <c r="F6" s="1951"/>
      <c r="G6" s="1951"/>
      <c r="J6" s="1941" t="s">
        <v>2118</v>
      </c>
    </row>
    <row r="7" spans="1:14" x14ac:dyDescent="0.2">
      <c r="A7" s="1947"/>
      <c r="C7" s="1943"/>
      <c r="D7" s="1943"/>
      <c r="E7" s="1951"/>
      <c r="F7" s="1951"/>
      <c r="G7" s="1951"/>
      <c r="J7" s="1945"/>
      <c r="K7" s="1945"/>
      <c r="L7" s="1945"/>
      <c r="M7" s="1945"/>
      <c r="N7" s="1945"/>
    </row>
    <row r="8" spans="1:14" x14ac:dyDescent="0.2">
      <c r="A8" s="1947" t="s">
        <v>1219</v>
      </c>
      <c r="C8" s="1943"/>
      <c r="D8" s="1943"/>
    </row>
    <row r="9" spans="1:14" x14ac:dyDescent="0.2">
      <c r="A9" s="1952" t="s">
        <v>2119</v>
      </c>
      <c r="C9" s="1943"/>
      <c r="D9" s="1943"/>
    </row>
    <row r="10" spans="1:14" x14ac:dyDescent="0.2">
      <c r="A10" s="1945"/>
      <c r="B10" s="1945"/>
      <c r="C10" s="1953"/>
      <c r="D10" s="1953"/>
      <c r="E10" s="1945"/>
      <c r="F10" s="1945"/>
      <c r="G10" s="1945"/>
      <c r="H10" s="1954" t="s">
        <v>1169</v>
      </c>
      <c r="I10" s="1954"/>
      <c r="J10" s="1945"/>
      <c r="K10" s="1945"/>
      <c r="L10" s="1945"/>
      <c r="M10" s="1945"/>
      <c r="N10" s="1945"/>
    </row>
    <row r="11" spans="1:14" x14ac:dyDescent="0.2">
      <c r="C11" s="1943"/>
      <c r="D11" s="1943"/>
      <c r="H11" s="1955"/>
      <c r="I11" s="1955"/>
      <c r="J11" s="1955"/>
    </row>
    <row r="12" spans="1:14" x14ac:dyDescent="0.2">
      <c r="A12" s="1947" t="s">
        <v>2120</v>
      </c>
      <c r="C12" s="1943" t="s">
        <v>2121</v>
      </c>
      <c r="D12" s="1943"/>
      <c r="E12" s="2508" t="s">
        <v>15</v>
      </c>
      <c r="F12" s="2508"/>
      <c r="G12" s="1953"/>
      <c r="H12" s="2508" t="s">
        <v>16</v>
      </c>
      <c r="I12" s="2508"/>
      <c r="J12" s="2508"/>
    </row>
    <row r="13" spans="1:14" x14ac:dyDescent="0.2">
      <c r="A13" s="1947" t="s">
        <v>2122</v>
      </c>
      <c r="B13" s="1943" t="s">
        <v>1264</v>
      </c>
      <c r="C13" s="1943" t="s">
        <v>2123</v>
      </c>
      <c r="D13" s="1943"/>
      <c r="E13" s="1956">
        <v>42917</v>
      </c>
      <c r="F13" s="1956">
        <v>43282</v>
      </c>
      <c r="G13" s="1957" t="s">
        <v>2124</v>
      </c>
      <c r="H13" s="1956">
        <f>E13</f>
        <v>42917</v>
      </c>
      <c r="I13" s="1957" t="s">
        <v>2124</v>
      </c>
      <c r="J13" s="1956">
        <f>F13</f>
        <v>43282</v>
      </c>
      <c r="K13" s="1943" t="s">
        <v>1261</v>
      </c>
      <c r="L13" s="1943" t="s">
        <v>2125</v>
      </c>
      <c r="M13" s="1943"/>
    </row>
    <row r="14" spans="1:14" x14ac:dyDescent="0.2">
      <c r="A14" s="1947" t="s">
        <v>2126</v>
      </c>
      <c r="B14" s="1943" t="s">
        <v>2127</v>
      </c>
      <c r="C14" s="1943" t="s">
        <v>2127</v>
      </c>
      <c r="D14" s="1943"/>
      <c r="E14" s="1956">
        <v>43281</v>
      </c>
      <c r="F14" s="1956">
        <v>43646</v>
      </c>
      <c r="G14" s="1957" t="s">
        <v>2128</v>
      </c>
      <c r="H14" s="1956">
        <f>E14</f>
        <v>43281</v>
      </c>
      <c r="I14" s="1957" t="s">
        <v>2128</v>
      </c>
      <c r="J14" s="1956">
        <f>F14</f>
        <v>43646</v>
      </c>
      <c r="K14" s="1943" t="s">
        <v>2129</v>
      </c>
      <c r="L14" s="1943" t="s">
        <v>1257</v>
      </c>
      <c r="M14" s="1943"/>
      <c r="N14" s="1943" t="s">
        <v>30</v>
      </c>
    </row>
    <row r="15" spans="1:14" x14ac:dyDescent="0.2">
      <c r="A15" s="1945"/>
      <c r="B15" s="1953" t="s">
        <v>1255</v>
      </c>
      <c r="C15" s="1953" t="s">
        <v>1254</v>
      </c>
      <c r="D15" s="1953"/>
      <c r="E15" s="1953" t="s">
        <v>1253</v>
      </c>
      <c r="F15" s="1953" t="s">
        <v>1252</v>
      </c>
      <c r="G15" s="1953" t="s">
        <v>1266</v>
      </c>
      <c r="H15" s="1953" t="s">
        <v>1251</v>
      </c>
      <c r="I15" s="1953" t="s">
        <v>1266</v>
      </c>
      <c r="J15" s="1953" t="s">
        <v>1250</v>
      </c>
      <c r="K15" s="1953" t="s">
        <v>1249</v>
      </c>
      <c r="L15" s="1953" t="s">
        <v>1248</v>
      </c>
      <c r="M15" s="1943"/>
      <c r="N15" s="1953" t="s">
        <v>1247</v>
      </c>
    </row>
    <row r="16" spans="1:14" x14ac:dyDescent="0.2">
      <c r="B16" s="1943"/>
      <c r="C16" s="1943"/>
      <c r="D16" s="1943"/>
      <c r="E16" s="1943"/>
      <c r="F16" s="1943"/>
      <c r="G16" s="1943"/>
      <c r="H16" s="1943"/>
      <c r="I16" s="1943"/>
      <c r="J16" s="1943"/>
      <c r="K16" s="1943"/>
      <c r="L16" s="1943"/>
      <c r="M16" s="1943"/>
      <c r="N16" s="1943"/>
    </row>
    <row r="17" spans="1:14" x14ac:dyDescent="0.2">
      <c r="A17" s="1941" t="s">
        <v>2130</v>
      </c>
      <c r="B17" s="1943"/>
      <c r="C17" s="1943"/>
      <c r="D17" s="1943"/>
      <c r="E17" s="1943"/>
      <c r="F17" s="1943"/>
      <c r="G17" s="1943"/>
      <c r="H17" s="1943"/>
      <c r="I17" s="1943"/>
      <c r="J17" s="1943"/>
      <c r="K17" s="1943"/>
      <c r="L17" s="1943"/>
      <c r="M17" s="1943"/>
      <c r="N17" s="1943"/>
    </row>
    <row r="18" spans="1:14" x14ac:dyDescent="0.2">
      <c r="A18" s="1958" t="s">
        <v>2131</v>
      </c>
      <c r="B18" s="1945"/>
      <c r="C18" s="1945"/>
      <c r="D18" s="1945"/>
      <c r="E18" s="1959"/>
      <c r="F18" s="1959"/>
      <c r="G18" s="1959"/>
      <c r="H18" s="1945"/>
      <c r="I18" s="1959"/>
      <c r="J18" s="1945"/>
      <c r="K18" s="1945"/>
      <c r="L18" s="1945"/>
      <c r="N18" s="1945"/>
    </row>
    <row r="19" spans="1:14" x14ac:dyDescent="0.2">
      <c r="C19" s="1943" t="s">
        <v>1169</v>
      </c>
      <c r="D19" s="1943"/>
      <c r="E19" s="1960"/>
      <c r="F19" s="1960"/>
      <c r="G19" s="1960"/>
      <c r="H19" s="1961"/>
      <c r="I19" s="1960"/>
      <c r="J19" s="1961"/>
      <c r="K19" s="1962"/>
      <c r="L19" s="1962"/>
      <c r="M19" s="1963"/>
      <c r="N19" s="1961"/>
    </row>
    <row r="20" spans="1:14" x14ac:dyDescent="0.2">
      <c r="A20" s="1964" t="s">
        <v>2132</v>
      </c>
      <c r="B20" s="1943"/>
      <c r="C20" s="1943"/>
      <c r="D20" s="1943"/>
      <c r="E20" s="1951"/>
      <c r="F20" s="1951"/>
      <c r="G20" s="1951"/>
      <c r="H20" s="1965"/>
      <c r="I20" s="1951"/>
      <c r="J20" s="1965"/>
      <c r="K20" s="1965"/>
      <c r="L20" s="1965"/>
      <c r="M20" s="1965"/>
      <c r="N20" s="1965"/>
    </row>
    <row r="21" spans="1:14" x14ac:dyDescent="0.2">
      <c r="A21" s="1966" t="s">
        <v>2133</v>
      </c>
      <c r="B21" s="1943" t="s">
        <v>2105</v>
      </c>
      <c r="C21" s="1967" t="s">
        <v>2134</v>
      </c>
      <c r="D21" s="1943"/>
      <c r="E21" s="1968">
        <v>0</v>
      </c>
      <c r="F21" s="1968">
        <v>7251821</v>
      </c>
      <c r="G21" s="1968">
        <v>0</v>
      </c>
      <c r="H21" s="1968">
        <v>0</v>
      </c>
      <c r="I21" s="1968">
        <v>0</v>
      </c>
      <c r="J21" s="1969">
        <v>7251821</v>
      </c>
      <c r="K21" s="1969">
        <v>0</v>
      </c>
      <c r="L21" s="1969">
        <f>+H21+J21+K21</f>
        <v>7251821</v>
      </c>
      <c r="M21" s="1969"/>
      <c r="N21" s="1969">
        <v>9775067</v>
      </c>
    </row>
    <row r="22" spans="1:14" x14ac:dyDescent="0.2">
      <c r="A22" s="1940"/>
      <c r="B22" s="1940"/>
      <c r="C22" s="1967" t="s">
        <v>2135</v>
      </c>
      <c r="D22" s="1943"/>
      <c r="E22" s="1968">
        <v>6111901</v>
      </c>
      <c r="F22" s="1968">
        <f>1646897+20745</f>
        <v>1667642</v>
      </c>
      <c r="G22" s="1968">
        <v>0</v>
      </c>
      <c r="H22" s="1969">
        <v>6111901</v>
      </c>
      <c r="I22" s="1968">
        <v>0</v>
      </c>
      <c r="J22" s="1969">
        <f>1646897+20745</f>
        <v>1667642</v>
      </c>
      <c r="K22" s="1969">
        <v>0</v>
      </c>
      <c r="L22" s="1969">
        <f>+H22+J22+K22</f>
        <v>7779543</v>
      </c>
      <c r="M22" s="1969"/>
      <c r="N22" s="1969">
        <v>8692790</v>
      </c>
    </row>
    <row r="23" spans="1:14" x14ac:dyDescent="0.2">
      <c r="A23" s="1940"/>
      <c r="B23" s="1940"/>
      <c r="C23" s="1967" t="s">
        <v>2136</v>
      </c>
      <c r="D23" s="1943"/>
      <c r="E23" s="1968">
        <v>679763</v>
      </c>
      <c r="F23" s="1968">
        <v>-20745</v>
      </c>
      <c r="G23" s="1968">
        <v>0</v>
      </c>
      <c r="H23" s="1969">
        <v>659018</v>
      </c>
      <c r="I23" s="1968">
        <v>0</v>
      </c>
      <c r="J23" s="1969">
        <v>0</v>
      </c>
      <c r="K23" s="1969">
        <v>0</v>
      </c>
      <c r="L23" s="1969">
        <v>7416959</v>
      </c>
      <c r="M23" s="1969"/>
      <c r="N23" s="1969">
        <v>8443800</v>
      </c>
    </row>
    <row r="24" spans="1:14" x14ac:dyDescent="0.2">
      <c r="A24" s="1970"/>
      <c r="B24" s="1940"/>
      <c r="C24" s="1943"/>
      <c r="D24" s="1943"/>
      <c r="E24" s="1971">
        <f>SUM(E21:E23)</f>
        <v>6791664</v>
      </c>
      <c r="F24" s="1971">
        <f>SUM(F21:F23)</f>
        <v>8898718</v>
      </c>
      <c r="G24" s="1971">
        <v>0</v>
      </c>
      <c r="H24" s="1971">
        <f>SUM(H21:H23)</f>
        <v>6770919</v>
      </c>
      <c r="I24" s="1971">
        <v>0</v>
      </c>
      <c r="J24" s="1971">
        <f>SUM(J21:J23)</f>
        <v>8919463</v>
      </c>
      <c r="K24" s="1971">
        <f>SUM(K21:K23)</f>
        <v>0</v>
      </c>
      <c r="L24" s="1971">
        <f>SUM(L21:L23)</f>
        <v>22448323</v>
      </c>
      <c r="M24" s="1968"/>
      <c r="N24" s="1971">
        <f>SUM(N21:N23)</f>
        <v>26911657</v>
      </c>
    </row>
    <row r="25" spans="1:14" x14ac:dyDescent="0.2">
      <c r="A25" s="1966"/>
      <c r="B25" s="1972"/>
      <c r="C25" s="1943"/>
      <c r="D25" s="1943"/>
      <c r="E25" s="1968"/>
      <c r="F25" s="1973"/>
      <c r="G25" s="1973"/>
      <c r="H25" s="1968"/>
      <c r="I25" s="1973"/>
      <c r="J25" s="1968"/>
      <c r="K25" s="1968"/>
      <c r="L25" s="1968"/>
      <c r="M25" s="1968"/>
      <c r="N25" s="1968"/>
    </row>
    <row r="26" spans="1:14" x14ac:dyDescent="0.2">
      <c r="A26" s="1966" t="s">
        <v>2137</v>
      </c>
      <c r="B26" s="1943" t="s">
        <v>2105</v>
      </c>
      <c r="C26" s="1967" t="s">
        <v>2138</v>
      </c>
      <c r="D26" s="1943"/>
      <c r="E26" s="1968">
        <v>0</v>
      </c>
      <c r="F26" s="1974">
        <v>157370</v>
      </c>
      <c r="G26" s="1974">
        <v>0</v>
      </c>
      <c r="H26" s="1968">
        <v>0</v>
      </c>
      <c r="I26" s="1974">
        <v>0</v>
      </c>
      <c r="J26" s="1968">
        <v>157370</v>
      </c>
      <c r="K26" s="1968">
        <v>0</v>
      </c>
      <c r="L26" s="1969">
        <f>+H26+J26+K26</f>
        <v>157370</v>
      </c>
      <c r="M26" s="1969"/>
      <c r="N26" s="1968">
        <v>1124239</v>
      </c>
    </row>
    <row r="27" spans="1:14" x14ac:dyDescent="0.2">
      <c r="A27" s="1970"/>
      <c r="B27" s="1940"/>
      <c r="C27" s="1943"/>
      <c r="D27" s="1943"/>
      <c r="E27" s="1968"/>
      <c r="F27" s="1973"/>
      <c r="G27" s="1973"/>
      <c r="H27" s="1968"/>
      <c r="I27" s="1973"/>
      <c r="J27" s="1968"/>
      <c r="K27" s="1968"/>
      <c r="L27" s="1969"/>
      <c r="M27" s="1969"/>
      <c r="N27" s="1968"/>
    </row>
    <row r="28" spans="1:14" x14ac:dyDescent="0.2">
      <c r="A28" s="1966" t="s">
        <v>2139</v>
      </c>
      <c r="B28" s="1943" t="s">
        <v>2105</v>
      </c>
      <c r="C28" s="1967" t="s">
        <v>2140</v>
      </c>
      <c r="D28" s="1943"/>
      <c r="E28" s="1968">
        <v>0</v>
      </c>
      <c r="F28" s="1968">
        <v>9757</v>
      </c>
      <c r="G28" s="1968">
        <v>0</v>
      </c>
      <c r="H28" s="1968">
        <v>0</v>
      </c>
      <c r="I28" s="1968">
        <v>0</v>
      </c>
      <c r="J28" s="1969">
        <v>9757</v>
      </c>
      <c r="K28" s="1969">
        <v>0</v>
      </c>
      <c r="L28" s="1969">
        <f>+H28+J28+K28</f>
        <v>9757</v>
      </c>
      <c r="M28" s="1969"/>
      <c r="N28" s="1969">
        <v>56277</v>
      </c>
    </row>
    <row r="29" spans="1:14" x14ac:dyDescent="0.2">
      <c r="A29" s="1940"/>
      <c r="B29" s="1940"/>
      <c r="C29" s="1967" t="s">
        <v>2141</v>
      </c>
      <c r="D29" s="1943"/>
      <c r="E29" s="1968">
        <v>11270</v>
      </c>
      <c r="F29" s="1968">
        <v>1</v>
      </c>
      <c r="G29" s="1968">
        <v>0</v>
      </c>
      <c r="H29" s="1969">
        <v>11270</v>
      </c>
      <c r="I29" s="1968">
        <v>0</v>
      </c>
      <c r="J29" s="1969">
        <v>1</v>
      </c>
      <c r="K29" s="1969">
        <v>0</v>
      </c>
      <c r="L29" s="1969">
        <f>+H29+J29+K29</f>
        <v>11271</v>
      </c>
      <c r="M29" s="1969"/>
      <c r="N29" s="1969">
        <v>26896</v>
      </c>
    </row>
    <row r="30" spans="1:14" x14ac:dyDescent="0.2">
      <c r="A30" s="1940"/>
      <c r="B30" s="1940"/>
      <c r="C30" s="1967" t="s">
        <v>2142</v>
      </c>
      <c r="D30" s="1943"/>
      <c r="E30" s="1968">
        <v>1766</v>
      </c>
      <c r="F30" s="1968">
        <v>0</v>
      </c>
      <c r="G30" s="1968">
        <v>0</v>
      </c>
      <c r="H30" s="1969">
        <v>1766</v>
      </c>
      <c r="I30" s="1968">
        <v>0</v>
      </c>
      <c r="J30" s="1969">
        <v>0</v>
      </c>
      <c r="K30" s="1969">
        <v>0</v>
      </c>
      <c r="L30" s="1969">
        <v>7369</v>
      </c>
      <c r="M30" s="1969"/>
      <c r="N30" s="1969">
        <v>15760</v>
      </c>
    </row>
    <row r="31" spans="1:14" x14ac:dyDescent="0.2">
      <c r="A31" s="1940"/>
      <c r="B31" s="1940"/>
      <c r="C31" s="1943"/>
      <c r="D31" s="1943"/>
      <c r="E31" s="1975">
        <f>SUM(E28:E30)</f>
        <v>13036</v>
      </c>
      <c r="F31" s="1975">
        <f>SUM(F28:F30)</f>
        <v>9758</v>
      </c>
      <c r="G31" s="1975">
        <v>0</v>
      </c>
      <c r="H31" s="1975">
        <f>SUM(H28:H30)</f>
        <v>13036</v>
      </c>
      <c r="I31" s="1975">
        <v>0</v>
      </c>
      <c r="J31" s="1975">
        <f>SUM(J28:J30)</f>
        <v>9758</v>
      </c>
      <c r="K31" s="1975">
        <f>SUM(K28:K30)</f>
        <v>0</v>
      </c>
      <c r="L31" s="1975">
        <f>SUM(L28:L29)</f>
        <v>21028</v>
      </c>
      <c r="M31" s="1968"/>
      <c r="N31" s="1975">
        <f>SUM(N28:N30)</f>
        <v>98933</v>
      </c>
    </row>
    <row r="32" spans="1:14" x14ac:dyDescent="0.2">
      <c r="A32" s="1940"/>
      <c r="B32" s="1940"/>
      <c r="C32" s="1943"/>
      <c r="D32" s="1943"/>
      <c r="E32" s="1968"/>
      <c r="F32" s="1973"/>
      <c r="G32" s="1973"/>
      <c r="H32" s="1969"/>
      <c r="I32" s="1973"/>
      <c r="J32" s="1969"/>
      <c r="K32" s="1969"/>
      <c r="L32" s="1969"/>
      <c r="M32" s="1969"/>
      <c r="N32" s="1969"/>
    </row>
    <row r="33" spans="1:14" x14ac:dyDescent="0.2">
      <c r="A33" s="1949" t="s">
        <v>2143</v>
      </c>
      <c r="B33" s="1943"/>
      <c r="C33" s="1943"/>
      <c r="D33" s="1943"/>
      <c r="E33" s="1968">
        <f>+E24+E31+E26</f>
        <v>6804700</v>
      </c>
      <c r="F33" s="1968">
        <f>+F24+F31+F26</f>
        <v>9065846</v>
      </c>
      <c r="G33" s="1968">
        <v>0</v>
      </c>
      <c r="H33" s="1968">
        <f>+H24+H31+H26</f>
        <v>6783955</v>
      </c>
      <c r="I33" s="1968">
        <v>0</v>
      </c>
      <c r="J33" s="1968">
        <f>+J24+J31+J26</f>
        <v>9086591</v>
      </c>
      <c r="K33" s="1968">
        <f>+K24+K31+K26</f>
        <v>0</v>
      </c>
      <c r="L33" s="1968">
        <f>+L24+L31+L26</f>
        <v>22626721</v>
      </c>
      <c r="M33" s="1968"/>
      <c r="N33" s="1968">
        <f>+N24+N31+N26</f>
        <v>28134829</v>
      </c>
    </row>
    <row r="34" spans="1:14" x14ac:dyDescent="0.2">
      <c r="A34" s="1976"/>
      <c r="B34" s="1976"/>
      <c r="C34" s="1977"/>
      <c r="D34" s="1977"/>
      <c r="E34" s="1978"/>
      <c r="F34" s="1979"/>
      <c r="G34" s="1979"/>
      <c r="H34" s="1980" t="s">
        <v>1169</v>
      </c>
      <c r="I34" s="1979"/>
      <c r="J34" s="1980" t="s">
        <v>1169</v>
      </c>
      <c r="K34" s="1980" t="s">
        <v>1169</v>
      </c>
      <c r="L34" s="1980" t="s">
        <v>1169</v>
      </c>
      <c r="M34" s="1969"/>
      <c r="N34" s="1980" t="s">
        <v>1169</v>
      </c>
    </row>
    <row r="35" spans="1:14" x14ac:dyDescent="0.2">
      <c r="C35" s="1943"/>
      <c r="D35" s="1943"/>
      <c r="E35" s="1968"/>
      <c r="F35" s="1968"/>
      <c r="G35" s="1968"/>
      <c r="H35" s="1969"/>
      <c r="I35" s="1968"/>
      <c r="J35" s="1969"/>
      <c r="K35" s="1969"/>
      <c r="L35" s="1969"/>
      <c r="M35" s="1969"/>
      <c r="N35" s="1969"/>
    </row>
    <row r="36" spans="1:14" x14ac:dyDescent="0.2">
      <c r="A36" s="1981" t="s">
        <v>2144</v>
      </c>
      <c r="C36" s="1943"/>
      <c r="D36" s="1943"/>
      <c r="E36" s="1968"/>
      <c r="F36" s="1968"/>
      <c r="G36" s="1968"/>
      <c r="H36" s="1969"/>
      <c r="I36" s="1968"/>
      <c r="J36" s="1969"/>
      <c r="K36" s="1969"/>
      <c r="L36" s="1969"/>
      <c r="M36" s="1969"/>
      <c r="N36" s="1969"/>
    </row>
    <row r="37" spans="1:14" x14ac:dyDescent="0.2">
      <c r="A37" s="1982" t="s">
        <v>2145</v>
      </c>
      <c r="B37" s="1967" t="s">
        <v>2146</v>
      </c>
      <c r="C37" s="1943" t="s">
        <v>2147</v>
      </c>
      <c r="D37" s="1943"/>
      <c r="E37" s="1968">
        <v>0</v>
      </c>
      <c r="F37" s="1968">
        <f>109490+198</f>
        <v>109688</v>
      </c>
      <c r="G37" s="1968">
        <v>0</v>
      </c>
      <c r="H37" s="1968">
        <v>0</v>
      </c>
      <c r="I37" s="1968">
        <v>0</v>
      </c>
      <c r="J37" s="1968">
        <f>109490+198</f>
        <v>109688</v>
      </c>
      <c r="K37" s="1969">
        <v>0</v>
      </c>
      <c r="L37" s="1969">
        <f>H37+J37+K37</f>
        <v>109688</v>
      </c>
      <c r="M37" s="1969"/>
      <c r="N37" s="1969">
        <v>234710</v>
      </c>
    </row>
    <row r="38" spans="1:14" x14ac:dyDescent="0.2">
      <c r="A38" s="1940"/>
      <c r="B38" s="1940"/>
      <c r="C38" s="1943" t="s">
        <v>2148</v>
      </c>
      <c r="D38" s="1943"/>
      <c r="E38" s="1968">
        <v>97275</v>
      </c>
      <c r="F38" s="1968">
        <f>45656+1619-198</f>
        <v>47077</v>
      </c>
      <c r="G38" s="1968">
        <v>0</v>
      </c>
      <c r="H38" s="1968">
        <v>97275</v>
      </c>
      <c r="I38" s="1968">
        <v>0</v>
      </c>
      <c r="J38" s="1968">
        <f>45656+1619-198</f>
        <v>47077</v>
      </c>
      <c r="K38" s="1969">
        <v>0</v>
      </c>
      <c r="L38" s="1969">
        <f>H38+J38+K38</f>
        <v>144352</v>
      </c>
      <c r="M38" s="1969"/>
      <c r="N38" s="1969">
        <v>176830</v>
      </c>
    </row>
    <row r="39" spans="1:14" x14ac:dyDescent="0.2">
      <c r="A39" s="1940"/>
      <c r="B39" s="1940"/>
      <c r="C39" s="1967" t="s">
        <v>2149</v>
      </c>
      <c r="D39" s="1943"/>
      <c r="E39" s="1968">
        <v>12971</v>
      </c>
      <c r="F39" s="1968">
        <v>-1421</v>
      </c>
      <c r="G39" s="1968">
        <v>0</v>
      </c>
      <c r="H39" s="1968">
        <v>11352</v>
      </c>
      <c r="I39" s="1968">
        <v>0</v>
      </c>
      <c r="J39" s="1968">
        <v>0</v>
      </c>
      <c r="K39" s="1969">
        <v>0</v>
      </c>
      <c r="L39" s="1969">
        <v>106840</v>
      </c>
      <c r="M39" s="1969"/>
      <c r="N39" s="1969">
        <v>201023</v>
      </c>
    </row>
    <row r="40" spans="1:14" x14ac:dyDescent="0.2">
      <c r="C40" s="1943"/>
      <c r="D40" s="1943"/>
      <c r="E40" s="1971">
        <f>+SUM(E37:E39)</f>
        <v>110246</v>
      </c>
      <c r="F40" s="1971">
        <f>+SUM(F37:F39)</f>
        <v>155344</v>
      </c>
      <c r="G40" s="1971">
        <v>0</v>
      </c>
      <c r="H40" s="1971">
        <f>+SUM(H37:H39)</f>
        <v>108627</v>
      </c>
      <c r="I40" s="1971">
        <v>0</v>
      </c>
      <c r="J40" s="1971">
        <f>+SUM(J37:J39)</f>
        <v>156765</v>
      </c>
      <c r="K40" s="1971">
        <f>+SUM(K37:K39)</f>
        <v>0</v>
      </c>
      <c r="L40" s="1971">
        <f>+SUM(L37:L39)</f>
        <v>360880</v>
      </c>
      <c r="M40" s="1968"/>
      <c r="N40" s="1971">
        <f>+SUM(N37:N39)</f>
        <v>612563</v>
      </c>
    </row>
    <row r="41" spans="1:14" x14ac:dyDescent="0.2">
      <c r="A41" s="1981" t="s">
        <v>2150</v>
      </c>
      <c r="C41" s="1943"/>
      <c r="D41" s="1943"/>
      <c r="E41" s="1968"/>
      <c r="F41" s="1973"/>
      <c r="G41" s="1973"/>
      <c r="H41" s="1968"/>
      <c r="I41" s="1973"/>
      <c r="J41" s="1968"/>
      <c r="K41" s="1969"/>
      <c r="L41" s="1969"/>
      <c r="M41" s="1969"/>
      <c r="N41" s="1969"/>
    </row>
    <row r="42" spans="1:14" x14ac:dyDescent="0.2">
      <c r="A42" s="1981" t="s">
        <v>2151</v>
      </c>
      <c r="B42" s="1967" t="s">
        <v>2152</v>
      </c>
      <c r="C42" s="1943" t="s">
        <v>2153</v>
      </c>
      <c r="D42" s="1943"/>
      <c r="E42" s="1968">
        <v>0</v>
      </c>
      <c r="F42" s="1968">
        <v>4021899</v>
      </c>
      <c r="G42" s="1968">
        <v>0</v>
      </c>
      <c r="H42" s="1968">
        <v>0</v>
      </c>
      <c r="I42" s="1968">
        <v>0</v>
      </c>
      <c r="J42" s="1968">
        <v>4021899</v>
      </c>
      <c r="K42" s="1969">
        <v>0</v>
      </c>
      <c r="L42" s="1969">
        <f>J42+H42+K42</f>
        <v>4021899</v>
      </c>
      <c r="M42" s="1969"/>
      <c r="N42" s="1969">
        <v>4363672</v>
      </c>
    </row>
    <row r="43" spans="1:14" x14ac:dyDescent="0.2">
      <c r="A43" s="1941" t="s">
        <v>1169</v>
      </c>
      <c r="B43" s="1940"/>
      <c r="C43" s="1943" t="s">
        <v>2154</v>
      </c>
      <c r="D43" s="1943"/>
      <c r="E43" s="1968">
        <v>4095821</v>
      </c>
      <c r="F43" s="1968">
        <f>160517+2050</f>
        <v>162567</v>
      </c>
      <c r="G43" s="1968">
        <v>0</v>
      </c>
      <c r="H43" s="1968">
        <v>4095821</v>
      </c>
      <c r="I43" s="1968">
        <v>0</v>
      </c>
      <c r="J43" s="1968">
        <f>160517+2050</f>
        <v>162567</v>
      </c>
      <c r="K43" s="1969">
        <v>0</v>
      </c>
      <c r="L43" s="1969">
        <f>J43+H43+K43</f>
        <v>4258388</v>
      </c>
      <c r="M43" s="1969"/>
      <c r="N43" s="1969">
        <v>4479248</v>
      </c>
    </row>
    <row r="44" spans="1:14" x14ac:dyDescent="0.2">
      <c r="B44" s="1940"/>
      <c r="C44" s="1943" t="s">
        <v>2155</v>
      </c>
      <c r="D44" s="1943"/>
      <c r="E44" s="1968">
        <v>90221</v>
      </c>
      <c r="F44" s="1968">
        <v>-2050</v>
      </c>
      <c r="G44" s="1968">
        <v>0</v>
      </c>
      <c r="H44" s="1968">
        <v>88171</v>
      </c>
      <c r="I44" s="1968">
        <v>0</v>
      </c>
      <c r="J44" s="1968">
        <v>0</v>
      </c>
      <c r="K44" s="1969">
        <v>0</v>
      </c>
      <c r="L44" s="1969">
        <v>4484347</v>
      </c>
      <c r="M44" s="1969"/>
      <c r="N44" s="1969">
        <v>4572438</v>
      </c>
    </row>
    <row r="45" spans="1:14" x14ac:dyDescent="0.2">
      <c r="A45" s="1940"/>
      <c r="B45" s="1940"/>
      <c r="C45" s="1943"/>
      <c r="D45" s="1943"/>
      <c r="E45" s="1971">
        <f>SUM(E41:E44)</f>
        <v>4186042</v>
      </c>
      <c r="F45" s="1971">
        <f>SUM(F41:F44)</f>
        <v>4182416</v>
      </c>
      <c r="G45" s="1971">
        <v>0</v>
      </c>
      <c r="H45" s="1971">
        <f>SUM(H41:H44)</f>
        <v>4183992</v>
      </c>
      <c r="I45" s="1971">
        <v>0</v>
      </c>
      <c r="J45" s="1971">
        <f>SUM(J41:J44)</f>
        <v>4184466</v>
      </c>
      <c r="K45" s="1971">
        <f>SUM(K41:K44)</f>
        <v>0</v>
      </c>
      <c r="L45" s="1971">
        <f>SUM(L41:L44)</f>
        <v>12764634</v>
      </c>
      <c r="M45" s="1968"/>
      <c r="N45" s="1971">
        <f>SUM(N41:N44)</f>
        <v>13415358</v>
      </c>
    </row>
    <row r="46" spans="1:14" x14ac:dyDescent="0.2">
      <c r="A46" s="1981"/>
      <c r="C46" s="1943"/>
      <c r="D46" s="1943"/>
      <c r="E46" s="1968"/>
      <c r="F46" s="1973"/>
      <c r="G46" s="1973"/>
      <c r="H46" s="1969"/>
      <c r="I46" s="1973"/>
      <c r="J46" s="1969"/>
      <c r="K46" s="1969"/>
      <c r="L46" s="1969"/>
      <c r="M46" s="1969"/>
      <c r="N46" s="1969"/>
    </row>
    <row r="47" spans="1:14" x14ac:dyDescent="0.2">
      <c r="A47" s="1981" t="s">
        <v>2150</v>
      </c>
      <c r="C47" s="1943"/>
      <c r="D47" s="1943"/>
      <c r="E47" s="1968"/>
      <c r="F47" s="1968"/>
      <c r="G47" s="1968"/>
      <c r="H47" s="1969"/>
      <c r="I47" s="1968"/>
      <c r="J47" s="1969"/>
      <c r="K47" s="1969"/>
      <c r="L47" s="1969"/>
      <c r="M47" s="1969"/>
      <c r="N47" s="1969"/>
    </row>
    <row r="48" spans="1:14" x14ac:dyDescent="0.2">
      <c r="A48" s="1982" t="s">
        <v>2156</v>
      </c>
      <c r="B48" s="1967" t="s">
        <v>2152</v>
      </c>
      <c r="C48" s="1943" t="s">
        <v>2157</v>
      </c>
      <c r="D48" s="1943"/>
      <c r="E48" s="1968">
        <v>0</v>
      </c>
      <c r="F48" s="1968">
        <v>412317</v>
      </c>
      <c r="G48" s="1968">
        <v>0</v>
      </c>
      <c r="H48" s="1968">
        <v>0</v>
      </c>
      <c r="I48" s="1968">
        <v>0</v>
      </c>
      <c r="J48" s="1968">
        <v>412317</v>
      </c>
      <c r="K48" s="1969">
        <v>0</v>
      </c>
      <c r="L48" s="1969">
        <f>H48+J48+K48</f>
        <v>412317</v>
      </c>
      <c r="M48" s="1969"/>
      <c r="N48" s="1983" t="s">
        <v>2091</v>
      </c>
    </row>
    <row r="49" spans="1:14" x14ac:dyDescent="0.2">
      <c r="A49" s="1982"/>
      <c r="B49" s="1943"/>
      <c r="C49" s="1943" t="s">
        <v>2158</v>
      </c>
      <c r="D49" s="1943"/>
      <c r="E49" s="1968">
        <v>0</v>
      </c>
      <c r="F49" s="1968">
        <v>1858</v>
      </c>
      <c r="G49" s="1968">
        <v>0</v>
      </c>
      <c r="H49" s="1968">
        <v>0</v>
      </c>
      <c r="I49" s="1968">
        <v>0</v>
      </c>
      <c r="J49" s="1968">
        <v>1858</v>
      </c>
      <c r="K49" s="1969">
        <v>0</v>
      </c>
      <c r="L49" s="1969">
        <f>H49+J49+K49</f>
        <v>1858</v>
      </c>
      <c r="M49" s="1969"/>
      <c r="N49" s="1983" t="s">
        <v>2091</v>
      </c>
    </row>
    <row r="50" spans="1:14" x14ac:dyDescent="0.2">
      <c r="A50" s="1940"/>
      <c r="B50" s="1940"/>
      <c r="C50" s="1943" t="s">
        <v>2159</v>
      </c>
      <c r="D50" s="1943"/>
      <c r="E50" s="1968">
        <v>407407</v>
      </c>
      <c r="F50" s="1968">
        <f>197983-F49</f>
        <v>196125</v>
      </c>
      <c r="G50" s="1968">
        <v>0</v>
      </c>
      <c r="H50" s="1968">
        <v>407407</v>
      </c>
      <c r="I50" s="1968">
        <v>0</v>
      </c>
      <c r="J50" s="1968">
        <f>197983-J49</f>
        <v>196125</v>
      </c>
      <c r="K50" s="1969">
        <v>0</v>
      </c>
      <c r="L50" s="1969">
        <f>H50+J50+K50</f>
        <v>603532</v>
      </c>
      <c r="M50" s="1969"/>
      <c r="N50" s="1983" t="s">
        <v>2091</v>
      </c>
    </row>
    <row r="51" spans="1:14" x14ac:dyDescent="0.2">
      <c r="A51" s="1940"/>
      <c r="B51" s="1940"/>
      <c r="C51" s="1943" t="s">
        <v>2160</v>
      </c>
      <c r="D51" s="1943"/>
      <c r="E51" s="1968">
        <v>72166</v>
      </c>
      <c r="F51" s="1968">
        <v>0</v>
      </c>
      <c r="G51" s="1968">
        <v>0</v>
      </c>
      <c r="H51" s="1968">
        <v>72166</v>
      </c>
      <c r="I51" s="1968">
        <v>0</v>
      </c>
      <c r="J51" s="1968">
        <v>0</v>
      </c>
      <c r="K51" s="1969">
        <v>0</v>
      </c>
      <c r="L51" s="1969">
        <v>72166</v>
      </c>
      <c r="M51" s="1969"/>
      <c r="N51" s="1983" t="s">
        <v>2091</v>
      </c>
    </row>
    <row r="52" spans="1:14" x14ac:dyDescent="0.2">
      <c r="A52" s="1940"/>
      <c r="B52" s="1940"/>
      <c r="C52" s="1943" t="s">
        <v>2161</v>
      </c>
      <c r="D52" s="1943"/>
      <c r="E52" s="1968">
        <v>207491</v>
      </c>
      <c r="F52" s="1968">
        <v>0</v>
      </c>
      <c r="G52" s="1968">
        <v>0</v>
      </c>
      <c r="H52" s="1968">
        <v>207491</v>
      </c>
      <c r="I52" s="1968">
        <v>0</v>
      </c>
      <c r="J52" s="1968">
        <v>0</v>
      </c>
      <c r="K52" s="1969">
        <v>0</v>
      </c>
      <c r="L52" s="1969">
        <v>787694</v>
      </c>
      <c r="M52" s="1969"/>
      <c r="N52" s="1983" t="s">
        <v>2091</v>
      </c>
    </row>
    <row r="53" spans="1:14" x14ac:dyDescent="0.2">
      <c r="A53" s="1981"/>
      <c r="C53" s="1943"/>
      <c r="D53" s="1943"/>
      <c r="E53" s="1975">
        <f>SUM(E48:E52)</f>
        <v>687064</v>
      </c>
      <c r="F53" s="1975">
        <f>SUM(F48:F52)</f>
        <v>610300</v>
      </c>
      <c r="G53" s="1975">
        <v>0</v>
      </c>
      <c r="H53" s="1975">
        <f>SUM(H48:H52)</f>
        <v>687064</v>
      </c>
      <c r="I53" s="1975">
        <v>0</v>
      </c>
      <c r="J53" s="1975">
        <f>SUM(J48:J52)</f>
        <v>610300</v>
      </c>
      <c r="K53" s="1975">
        <f>SUM(K48:K52)</f>
        <v>0</v>
      </c>
      <c r="L53" s="1975">
        <f>SUM(L48:L52)</f>
        <v>1877567</v>
      </c>
      <c r="M53" s="1968"/>
      <c r="N53" s="1984" t="s">
        <v>2091</v>
      </c>
    </row>
    <row r="54" spans="1:14" x14ac:dyDescent="0.2">
      <c r="A54" s="1982"/>
      <c r="B54" s="1943"/>
      <c r="C54" s="1943"/>
      <c r="D54" s="1943"/>
      <c r="E54" s="1968"/>
      <c r="F54" s="1973" t="s">
        <v>1169</v>
      </c>
      <c r="G54" s="1973"/>
      <c r="H54" s="1969"/>
      <c r="I54" s="1973"/>
      <c r="J54" s="1969"/>
      <c r="K54" s="1969"/>
      <c r="L54" s="1969"/>
      <c r="M54" s="1969"/>
      <c r="N54" s="1969"/>
    </row>
    <row r="55" spans="1:14" x14ac:dyDescent="0.2">
      <c r="A55" s="1982"/>
      <c r="B55" s="1943"/>
      <c r="C55" s="1943"/>
      <c r="D55" s="1943"/>
      <c r="E55" s="1968"/>
      <c r="F55" s="1973"/>
      <c r="G55" s="1973"/>
      <c r="H55" s="1969"/>
      <c r="I55" s="1973"/>
      <c r="J55" s="1969"/>
      <c r="K55" s="1969"/>
      <c r="L55" s="1969"/>
      <c r="M55" s="1969"/>
      <c r="N55" s="1969"/>
    </row>
    <row r="56" spans="1:14" x14ac:dyDescent="0.2">
      <c r="A56" s="1952" t="s">
        <v>2162</v>
      </c>
      <c r="C56" s="1943"/>
      <c r="D56" s="1943"/>
      <c r="E56" s="1968">
        <f>+E40+E45+E53</f>
        <v>4983352</v>
      </c>
      <c r="F56" s="1968">
        <f>+F40+F45+F53</f>
        <v>4948060</v>
      </c>
      <c r="G56" s="1968">
        <v>0</v>
      </c>
      <c r="H56" s="1968">
        <f>+H40+H45+H53</f>
        <v>4979683</v>
      </c>
      <c r="I56" s="1968">
        <v>0</v>
      </c>
      <c r="J56" s="1968">
        <f>+J40+J45+J53</f>
        <v>4951531</v>
      </c>
      <c r="K56" s="1968">
        <f>+K40+K45+K53</f>
        <v>0</v>
      </c>
      <c r="L56" s="1968">
        <f>+L40+L45+L53</f>
        <v>15003081</v>
      </c>
      <c r="M56" s="1968"/>
      <c r="N56" s="1983" t="s">
        <v>2091</v>
      </c>
    </row>
    <row r="57" spans="1:14" x14ac:dyDescent="0.2">
      <c r="A57" s="1976"/>
      <c r="B57" s="1976"/>
      <c r="C57" s="1977"/>
      <c r="D57" s="1977"/>
      <c r="E57" s="1978"/>
      <c r="F57" s="1979" t="s">
        <v>1169</v>
      </c>
      <c r="G57" s="1979"/>
      <c r="H57" s="1978"/>
      <c r="I57" s="1979"/>
      <c r="J57" s="1978"/>
      <c r="K57" s="1980"/>
      <c r="L57" s="1980"/>
      <c r="M57" s="1969"/>
      <c r="N57" s="1980"/>
    </row>
    <row r="58" spans="1:14" x14ac:dyDescent="0.2">
      <c r="C58" s="1943"/>
      <c r="D58" s="1943"/>
      <c r="E58" s="1968"/>
      <c r="F58" s="1968"/>
      <c r="G58" s="1968"/>
      <c r="H58" s="1968"/>
      <c r="I58" s="1968"/>
      <c r="J58" s="1968"/>
      <c r="K58" s="1969"/>
      <c r="L58" s="1969"/>
      <c r="M58" s="1969"/>
      <c r="N58" s="1969"/>
    </row>
    <row r="59" spans="1:14" x14ac:dyDescent="0.2">
      <c r="A59" s="1964" t="s">
        <v>2163</v>
      </c>
      <c r="B59" s="1943"/>
      <c r="C59" s="1985"/>
      <c r="D59" s="1985"/>
      <c r="E59" s="1968" t="s">
        <v>1169</v>
      </c>
      <c r="F59" s="1968"/>
      <c r="G59" s="1968"/>
      <c r="H59" s="1969"/>
      <c r="I59" s="1968"/>
      <c r="J59" s="1969"/>
      <c r="K59" s="1969"/>
      <c r="L59" s="1969"/>
      <c r="M59" s="1969"/>
      <c r="N59" s="1969"/>
    </row>
    <row r="60" spans="1:14" x14ac:dyDescent="0.2">
      <c r="A60" s="1982" t="s">
        <v>2164</v>
      </c>
      <c r="B60" s="1943" t="s">
        <v>2165</v>
      </c>
      <c r="C60" s="1967" t="s">
        <v>2166</v>
      </c>
      <c r="D60" s="1943"/>
      <c r="E60" s="1968">
        <v>0</v>
      </c>
      <c r="F60" s="1968">
        <v>290</v>
      </c>
      <c r="G60" s="1968">
        <v>0</v>
      </c>
      <c r="H60" s="1968">
        <v>0</v>
      </c>
      <c r="I60" s="1968">
        <v>0</v>
      </c>
      <c r="J60" s="1968">
        <v>290</v>
      </c>
      <c r="K60" s="1969">
        <v>0</v>
      </c>
      <c r="L60" s="1969">
        <f>H60+J60+K60</f>
        <v>290</v>
      </c>
      <c r="M60" s="1969"/>
      <c r="N60" s="1969">
        <v>290</v>
      </c>
    </row>
    <row r="61" spans="1:14" x14ac:dyDescent="0.2">
      <c r="A61" s="1982"/>
      <c r="B61" s="1943"/>
      <c r="C61" s="1967" t="s">
        <v>2167</v>
      </c>
      <c r="D61" s="1943"/>
      <c r="E61" s="1968">
        <v>0</v>
      </c>
      <c r="F61" s="1968">
        <v>21743</v>
      </c>
      <c r="G61" s="1968">
        <v>0</v>
      </c>
      <c r="H61" s="1968">
        <v>0</v>
      </c>
      <c r="I61" s="1968">
        <v>0</v>
      </c>
      <c r="J61" s="1968">
        <v>21743</v>
      </c>
      <c r="K61" s="1969"/>
      <c r="L61" s="1969">
        <f>H61+J61+K61</f>
        <v>21743</v>
      </c>
      <c r="M61" s="1969"/>
      <c r="N61" s="1969">
        <v>21743</v>
      </c>
    </row>
    <row r="62" spans="1:14" x14ac:dyDescent="0.2">
      <c r="A62" s="1982" t="s">
        <v>2168</v>
      </c>
      <c r="B62" s="1943" t="s">
        <v>2165</v>
      </c>
      <c r="C62" s="1967" t="s">
        <v>2169</v>
      </c>
      <c r="D62" s="1943"/>
      <c r="E62" s="1968">
        <v>0</v>
      </c>
      <c r="F62" s="1968">
        <v>22022</v>
      </c>
      <c r="G62" s="1968">
        <v>0</v>
      </c>
      <c r="H62" s="1968">
        <v>0</v>
      </c>
      <c r="I62" s="1968">
        <v>0</v>
      </c>
      <c r="J62" s="1968">
        <v>22022</v>
      </c>
      <c r="K62" s="1969">
        <v>0</v>
      </c>
      <c r="L62" s="1969">
        <f>H62+J62+K62</f>
        <v>22022</v>
      </c>
      <c r="M62" s="1969"/>
      <c r="N62" s="1969">
        <v>22361</v>
      </c>
    </row>
    <row r="63" spans="1:14" x14ac:dyDescent="0.2">
      <c r="A63" s="1982"/>
      <c r="B63" s="1943"/>
      <c r="C63" s="1967" t="s">
        <v>2170</v>
      </c>
      <c r="D63" s="1943"/>
      <c r="E63" s="1968">
        <v>7369</v>
      </c>
      <c r="F63" s="1968">
        <f>9541+179</f>
        <v>9720</v>
      </c>
      <c r="G63" s="1968">
        <v>0</v>
      </c>
      <c r="H63" s="1968">
        <v>7548</v>
      </c>
      <c r="I63" s="1968">
        <v>0</v>
      </c>
      <c r="J63" s="1968">
        <v>9541</v>
      </c>
      <c r="K63" s="1969"/>
      <c r="L63" s="1969">
        <f>H63+J63+K63</f>
        <v>17089</v>
      </c>
      <c r="M63" s="1969"/>
      <c r="N63" s="1969">
        <v>22033</v>
      </c>
    </row>
    <row r="64" spans="1:14" x14ac:dyDescent="0.2">
      <c r="A64" s="1986"/>
      <c r="B64" s="1940"/>
      <c r="C64" s="1967" t="s">
        <v>2171</v>
      </c>
      <c r="D64" s="1943"/>
      <c r="E64" s="1968">
        <v>0</v>
      </c>
      <c r="F64" s="1968">
        <v>-179</v>
      </c>
      <c r="G64" s="1968">
        <v>0</v>
      </c>
      <c r="H64" s="1968">
        <v>-179</v>
      </c>
      <c r="I64" s="1968">
        <v>0</v>
      </c>
      <c r="J64" s="1968">
        <v>0</v>
      </c>
      <c r="K64" s="1969">
        <v>0</v>
      </c>
      <c r="L64" s="1969">
        <v>23606</v>
      </c>
      <c r="M64" s="1969"/>
      <c r="N64" s="1969">
        <v>23786</v>
      </c>
    </row>
    <row r="65" spans="1:14" x14ac:dyDescent="0.2">
      <c r="A65" s="1949" t="s">
        <v>1169</v>
      </c>
      <c r="B65" s="1943"/>
      <c r="C65" s="1943"/>
      <c r="D65" s="1943"/>
      <c r="E65" s="1971">
        <f>SUM(E60:E64)</f>
        <v>7369</v>
      </c>
      <c r="F65" s="1971">
        <f>SUM(F60:F64)</f>
        <v>53596</v>
      </c>
      <c r="G65" s="1971">
        <v>0</v>
      </c>
      <c r="H65" s="1971">
        <f>SUM(H60:H64)</f>
        <v>7369</v>
      </c>
      <c r="I65" s="1971">
        <v>0</v>
      </c>
      <c r="J65" s="1971">
        <f>SUM(J60:J64)</f>
        <v>53596</v>
      </c>
      <c r="K65" s="1971">
        <f>SUM(K62:K64)</f>
        <v>0</v>
      </c>
      <c r="L65" s="1971">
        <f>SUM(L62:L64)</f>
        <v>62717</v>
      </c>
      <c r="M65" s="1968"/>
      <c r="N65" s="1971">
        <f>SUM(N62:N64)</f>
        <v>68180</v>
      </c>
    </row>
    <row r="66" spans="1:14" x14ac:dyDescent="0.2">
      <c r="B66" s="1943"/>
      <c r="C66" s="1943"/>
      <c r="D66" s="1943"/>
      <c r="E66" s="1968"/>
      <c r="F66" s="1973" t="s">
        <v>1169</v>
      </c>
      <c r="G66" s="1973"/>
      <c r="H66" s="1969"/>
      <c r="I66" s="1973"/>
      <c r="J66" s="1969"/>
      <c r="K66" s="1969"/>
      <c r="L66" s="1969"/>
      <c r="M66" s="1969"/>
      <c r="N66" s="1968"/>
    </row>
    <row r="67" spans="1:14" x14ac:dyDescent="0.2">
      <c r="A67" s="1976"/>
      <c r="B67" s="1977"/>
      <c r="C67" s="1977"/>
      <c r="D67" s="1977"/>
      <c r="E67" s="1978"/>
      <c r="F67" s="1978"/>
      <c r="G67" s="1978"/>
      <c r="H67" s="1980"/>
      <c r="I67" s="1978"/>
      <c r="J67" s="1980"/>
      <c r="K67" s="1980"/>
      <c r="L67" s="1980"/>
      <c r="M67" s="1969"/>
      <c r="N67" s="1978"/>
    </row>
    <row r="68" spans="1:14" x14ac:dyDescent="0.2">
      <c r="B68" s="1943"/>
      <c r="C68" s="1943"/>
      <c r="D68" s="1943"/>
      <c r="E68" s="1968"/>
      <c r="F68" s="1968"/>
      <c r="G68" s="1968"/>
      <c r="H68" s="1969"/>
      <c r="I68" s="1968"/>
      <c r="J68" s="1969"/>
      <c r="K68" s="1969"/>
      <c r="L68" s="1969"/>
      <c r="M68" s="1969"/>
      <c r="N68" s="1968"/>
    </row>
    <row r="69" spans="1:14" x14ac:dyDescent="0.2">
      <c r="A69" s="1964" t="s">
        <v>2172</v>
      </c>
      <c r="B69" s="1943"/>
      <c r="C69" s="1943"/>
      <c r="D69" s="1943"/>
      <c r="E69" s="1968"/>
      <c r="F69" s="1968"/>
      <c r="G69" s="1968"/>
      <c r="H69" s="1969"/>
      <c r="I69" s="1968"/>
      <c r="J69" s="1969"/>
      <c r="K69" s="1969" t="s">
        <v>1169</v>
      </c>
      <c r="L69" s="1969"/>
      <c r="M69" s="1969"/>
      <c r="N69" s="1968"/>
    </row>
    <row r="70" spans="1:14" x14ac:dyDescent="0.2">
      <c r="A70" s="1982" t="s">
        <v>2173</v>
      </c>
      <c r="B70" s="1943" t="s">
        <v>2099</v>
      </c>
      <c r="C70" s="1967" t="s">
        <v>2174</v>
      </c>
      <c r="D70" s="1943"/>
      <c r="E70" s="1968">
        <v>0</v>
      </c>
      <c r="F70" s="1968">
        <v>879766</v>
      </c>
      <c r="G70" s="1968">
        <v>0</v>
      </c>
      <c r="H70" s="1968">
        <v>0</v>
      </c>
      <c r="I70" s="1968">
        <v>0</v>
      </c>
      <c r="J70" s="1968">
        <v>879766</v>
      </c>
      <c r="K70" s="1969">
        <v>0</v>
      </c>
      <c r="L70" s="1969">
        <f>H70+J70+K70</f>
        <v>879766</v>
      </c>
      <c r="M70" s="1969"/>
      <c r="N70" s="1968">
        <v>2607907</v>
      </c>
    </row>
    <row r="71" spans="1:14" x14ac:dyDescent="0.2">
      <c r="A71" s="1940"/>
      <c r="B71" s="1940"/>
      <c r="C71" s="1967" t="s">
        <v>2175</v>
      </c>
      <c r="D71" s="1943"/>
      <c r="E71" s="1968">
        <v>821880</v>
      </c>
      <c r="F71" s="1968">
        <v>272658</v>
      </c>
      <c r="G71" s="1968">
        <v>0</v>
      </c>
      <c r="H71" s="1968">
        <v>821880</v>
      </c>
      <c r="I71" s="1968">
        <v>0</v>
      </c>
      <c r="J71" s="1968">
        <f>272658+7021</f>
        <v>279679</v>
      </c>
      <c r="K71" s="1969">
        <v>0</v>
      </c>
      <c r="L71" s="1969">
        <f>H71+J71+K71</f>
        <v>1101559</v>
      </c>
      <c r="M71" s="1969"/>
      <c r="N71" s="1968">
        <v>2154095</v>
      </c>
    </row>
    <row r="72" spans="1:14" x14ac:dyDescent="0.2">
      <c r="A72" s="1940"/>
      <c r="B72" s="1940"/>
      <c r="C72" s="1967" t="s">
        <v>2176</v>
      </c>
      <c r="D72" s="1943"/>
      <c r="E72" s="1968">
        <v>327663</v>
      </c>
      <c r="F72" s="1968">
        <v>0</v>
      </c>
      <c r="G72" s="1968">
        <v>0</v>
      </c>
      <c r="H72" s="1968">
        <v>320642</v>
      </c>
      <c r="I72" s="1968">
        <v>0</v>
      </c>
      <c r="J72" s="1968">
        <v>0</v>
      </c>
      <c r="K72" s="1969">
        <v>0</v>
      </c>
      <c r="L72" s="1969">
        <v>1029084</v>
      </c>
      <c r="M72" s="1969"/>
      <c r="N72" s="1968">
        <v>2050771</v>
      </c>
    </row>
    <row r="73" spans="1:14" x14ac:dyDescent="0.2">
      <c r="B73" s="1943"/>
      <c r="C73" s="1943"/>
      <c r="D73" s="1943"/>
      <c r="E73" s="1971">
        <f>SUM(E70:E72)</f>
        <v>1149543</v>
      </c>
      <c r="F73" s="1971">
        <f>SUM(F70:F72)</f>
        <v>1152424</v>
      </c>
      <c r="G73" s="1971">
        <v>0</v>
      </c>
      <c r="H73" s="1971">
        <f>SUM(H70:H72)</f>
        <v>1142522</v>
      </c>
      <c r="I73" s="1971">
        <v>0</v>
      </c>
      <c r="J73" s="1971">
        <f>SUM(J70:J72)</f>
        <v>1159445</v>
      </c>
      <c r="K73" s="1971">
        <f>SUM(K70:K72)</f>
        <v>0</v>
      </c>
      <c r="L73" s="1971">
        <f>SUM(L70:L72)</f>
        <v>3010409</v>
      </c>
      <c r="M73" s="1968"/>
      <c r="N73" s="1971">
        <f>SUM(N70:N72)</f>
        <v>6812773</v>
      </c>
    </row>
    <row r="74" spans="1:14" x14ac:dyDescent="0.2">
      <c r="A74" s="1976"/>
      <c r="B74" s="1977"/>
      <c r="C74" s="1977"/>
      <c r="D74" s="1977"/>
      <c r="E74" s="1978"/>
      <c r="F74" s="1987" t="s">
        <v>1169</v>
      </c>
      <c r="G74" s="1987"/>
      <c r="H74" s="1978"/>
      <c r="I74" s="1987"/>
      <c r="J74" s="1978"/>
      <c r="K74" s="1978"/>
      <c r="L74" s="1978"/>
      <c r="M74" s="1968"/>
      <c r="N74" s="1978"/>
    </row>
    <row r="75" spans="1:14" x14ac:dyDescent="0.2">
      <c r="B75" s="1943"/>
      <c r="C75" s="1943"/>
      <c r="D75" s="1943"/>
      <c r="E75" s="1968"/>
      <c r="F75" s="1968"/>
      <c r="G75" s="1968"/>
      <c r="H75" s="1988"/>
      <c r="I75" s="1968"/>
      <c r="J75" s="1988"/>
      <c r="K75" s="1969"/>
      <c r="L75" s="1969"/>
      <c r="M75" s="1969"/>
      <c r="N75" s="1968"/>
    </row>
    <row r="76" spans="1:14" x14ac:dyDescent="0.2">
      <c r="A76" s="1964" t="s">
        <v>2177</v>
      </c>
      <c r="B76" s="1943" t="s">
        <v>2178</v>
      </c>
      <c r="C76" s="1972" t="s">
        <v>2179</v>
      </c>
      <c r="D76" s="1972"/>
      <c r="E76" s="1968">
        <v>0</v>
      </c>
      <c r="F76" s="1968">
        <v>1415077</v>
      </c>
      <c r="G76" s="1968">
        <v>0</v>
      </c>
      <c r="H76" s="1968">
        <v>0</v>
      </c>
      <c r="I76" s="1968">
        <v>0</v>
      </c>
      <c r="J76" s="1968">
        <v>1415077</v>
      </c>
      <c r="K76" s="1968">
        <v>0</v>
      </c>
      <c r="L76" s="1969">
        <f>H76+J76+K76</f>
        <v>1415077</v>
      </c>
      <c r="M76" s="1969"/>
      <c r="N76" s="1968">
        <v>2115787</v>
      </c>
    </row>
    <row r="77" spans="1:14" x14ac:dyDescent="0.2">
      <c r="A77" s="1964"/>
      <c r="B77" s="1943"/>
      <c r="C77" s="1972" t="s">
        <v>2180</v>
      </c>
      <c r="D77" s="1972"/>
      <c r="E77" s="1968">
        <v>1390429</v>
      </c>
      <c r="F77" s="1968">
        <f>227567+796</f>
        <v>228363</v>
      </c>
      <c r="G77" s="1968">
        <v>0</v>
      </c>
      <c r="H77" s="1968">
        <v>1390429</v>
      </c>
      <c r="I77" s="1968">
        <v>0</v>
      </c>
      <c r="J77" s="1968">
        <f>227567+796</f>
        <v>228363</v>
      </c>
      <c r="K77" s="1968"/>
      <c r="L77" s="1969">
        <f>H77+J77+K77</f>
        <v>1618792</v>
      </c>
      <c r="M77" s="1969"/>
      <c r="N77" s="1968">
        <v>2390706</v>
      </c>
    </row>
    <row r="78" spans="1:14" x14ac:dyDescent="0.2">
      <c r="A78" s="1940"/>
      <c r="B78" s="1940"/>
      <c r="C78" s="1972" t="s">
        <v>2181</v>
      </c>
      <c r="D78" s="1972"/>
      <c r="E78" s="1978">
        <v>296859</v>
      </c>
      <c r="F78" s="1978">
        <v>-796</v>
      </c>
      <c r="G78" s="1978">
        <v>0</v>
      </c>
      <c r="H78" s="1978">
        <v>296063</v>
      </c>
      <c r="I78" s="1978">
        <v>0</v>
      </c>
      <c r="J78" s="1978">
        <v>0</v>
      </c>
      <c r="K78" s="1978">
        <v>0</v>
      </c>
      <c r="L78" s="1980">
        <v>1705392</v>
      </c>
      <c r="M78" s="1969"/>
      <c r="N78" s="1978">
        <v>2096894</v>
      </c>
    </row>
    <row r="79" spans="1:14" x14ac:dyDescent="0.2">
      <c r="B79" s="1943"/>
      <c r="C79" s="1943"/>
      <c r="D79" s="1943"/>
      <c r="E79" s="1968">
        <f>+SUM(E76:E78)</f>
        <v>1687288</v>
      </c>
      <c r="F79" s="1968">
        <f>+SUM(F76:F78)</f>
        <v>1642644</v>
      </c>
      <c r="G79" s="1968">
        <v>0</v>
      </c>
      <c r="H79" s="1968">
        <f>+SUM(H76:H78)</f>
        <v>1686492</v>
      </c>
      <c r="I79" s="1968">
        <v>0</v>
      </c>
      <c r="J79" s="1968">
        <f>+SUM(J76:J78)</f>
        <v>1643440</v>
      </c>
      <c r="K79" s="1968">
        <f>+SUM(K76:K78)</f>
        <v>0</v>
      </c>
      <c r="L79" s="1968">
        <f>+SUM(L76:L78)</f>
        <v>4739261</v>
      </c>
      <c r="M79" s="1968"/>
      <c r="N79" s="1968">
        <f>+SUM(N76:N78)</f>
        <v>6603387</v>
      </c>
    </row>
    <row r="80" spans="1:14" x14ac:dyDescent="0.2">
      <c r="A80" s="1986"/>
      <c r="B80" s="1977"/>
      <c r="C80" s="1977"/>
      <c r="D80" s="1977"/>
      <c r="E80" s="1978"/>
      <c r="F80" s="1987" t="s">
        <v>1169</v>
      </c>
      <c r="G80" s="1987"/>
      <c r="H80" s="1978"/>
      <c r="I80" s="1987"/>
      <c r="J80" s="1978"/>
      <c r="K80" s="1978"/>
      <c r="L80" s="1978"/>
      <c r="M80" s="1968"/>
      <c r="N80" s="1978"/>
    </row>
    <row r="81" spans="1:14" x14ac:dyDescent="0.2">
      <c r="A81" s="1986"/>
      <c r="B81" s="1943"/>
      <c r="C81" s="1943"/>
      <c r="D81" s="1943"/>
      <c r="E81" s="1968"/>
      <c r="F81" s="1973"/>
      <c r="G81" s="1973"/>
      <c r="H81" s="1968"/>
      <c r="I81" s="1973"/>
      <c r="J81" s="1968"/>
      <c r="K81" s="1968"/>
      <c r="L81" s="1968"/>
      <c r="M81" s="1968"/>
      <c r="N81" s="1968"/>
    </row>
    <row r="82" spans="1:14" x14ac:dyDescent="0.2">
      <c r="B82" s="1943"/>
      <c r="C82" s="1943"/>
      <c r="D82" s="1943"/>
      <c r="E82" s="1968"/>
      <c r="F82" s="1968"/>
      <c r="G82" s="1968"/>
      <c r="H82" s="1988"/>
      <c r="I82" s="1968"/>
      <c r="J82" s="1988"/>
      <c r="K82" s="1969"/>
      <c r="L82" s="1969"/>
      <c r="M82" s="1969"/>
      <c r="N82" s="1968"/>
    </row>
    <row r="83" spans="1:14" x14ac:dyDescent="0.2">
      <c r="A83" s="1947" t="s">
        <v>2182</v>
      </c>
      <c r="B83" s="1943"/>
      <c r="C83" s="1943"/>
      <c r="D83" s="1943"/>
      <c r="E83" s="1968"/>
      <c r="F83" s="1968"/>
      <c r="G83" s="1968"/>
      <c r="H83" s="1969"/>
      <c r="I83" s="1968"/>
      <c r="J83" s="1969"/>
      <c r="K83" s="1969"/>
      <c r="L83" s="1969"/>
      <c r="M83" s="1969"/>
      <c r="N83" s="1968"/>
    </row>
    <row r="84" spans="1:14" x14ac:dyDescent="0.2">
      <c r="A84" s="1964" t="s">
        <v>2183</v>
      </c>
      <c r="B84" s="1940"/>
      <c r="C84" s="1940"/>
      <c r="D84" s="1940"/>
      <c r="E84" s="1968"/>
      <c r="F84" s="1968"/>
      <c r="G84" s="1968"/>
      <c r="H84" s="1969"/>
      <c r="I84" s="1968"/>
      <c r="J84" s="1969"/>
      <c r="K84" s="1969"/>
      <c r="L84" s="1969"/>
      <c r="M84" s="1969"/>
      <c r="N84" s="1968"/>
    </row>
    <row r="85" spans="1:14" x14ac:dyDescent="0.2">
      <c r="A85" s="1966" t="s">
        <v>2184</v>
      </c>
      <c r="B85" s="1943" t="s">
        <v>2185</v>
      </c>
      <c r="C85" s="1967" t="s">
        <v>2186</v>
      </c>
      <c r="D85" s="1943"/>
      <c r="E85" s="1968">
        <v>0</v>
      </c>
      <c r="F85" s="1968">
        <v>56700</v>
      </c>
      <c r="G85" s="1968">
        <v>0</v>
      </c>
      <c r="H85" s="1968">
        <v>0</v>
      </c>
      <c r="I85" s="1968">
        <v>0</v>
      </c>
      <c r="J85" s="1968">
        <v>56700</v>
      </c>
      <c r="K85" s="1968">
        <v>0</v>
      </c>
      <c r="L85" s="1969">
        <f>H85+J85+K85</f>
        <v>56700</v>
      </c>
      <c r="M85" s="1969"/>
      <c r="N85" s="1983">
        <v>0</v>
      </c>
    </row>
    <row r="86" spans="1:14" x14ac:dyDescent="0.2">
      <c r="B86" s="1943"/>
      <c r="C86" s="1967" t="s">
        <v>2187</v>
      </c>
      <c r="D86" s="1943"/>
      <c r="E86" s="1968">
        <v>77706</v>
      </c>
      <c r="F86" s="1968">
        <v>13666</v>
      </c>
      <c r="G86" s="1968">
        <v>0</v>
      </c>
      <c r="H86" s="1968">
        <v>77706</v>
      </c>
      <c r="I86" s="1968">
        <v>0</v>
      </c>
      <c r="J86" s="1968">
        <v>13666</v>
      </c>
      <c r="K86" s="1968">
        <v>0</v>
      </c>
      <c r="L86" s="1969">
        <f>H86+J86+K86</f>
        <v>91372</v>
      </c>
      <c r="M86" s="1969"/>
      <c r="N86" s="1983">
        <v>0</v>
      </c>
    </row>
    <row r="87" spans="1:14" x14ac:dyDescent="0.2">
      <c r="B87" s="1943"/>
      <c r="C87" s="1967" t="s">
        <v>2188</v>
      </c>
      <c r="D87" s="1943"/>
      <c r="E87" s="1978">
        <v>11755</v>
      </c>
      <c r="F87" s="1978">
        <v>0</v>
      </c>
      <c r="G87" s="1978">
        <v>0</v>
      </c>
      <c r="H87" s="1978">
        <v>11755</v>
      </c>
      <c r="I87" s="1978">
        <v>0</v>
      </c>
      <c r="J87" s="1978">
        <v>0</v>
      </c>
      <c r="K87" s="1978">
        <v>0</v>
      </c>
      <c r="L87" s="1978">
        <v>102335</v>
      </c>
      <c r="M87" s="1968"/>
      <c r="N87" s="1989">
        <v>90580</v>
      </c>
    </row>
    <row r="88" spans="1:14" x14ac:dyDescent="0.2">
      <c r="B88" s="1943"/>
      <c r="C88" s="1943"/>
      <c r="D88" s="1943"/>
      <c r="E88" s="1968">
        <f>+SUM(E85:E87)</f>
        <v>89461</v>
      </c>
      <c r="F88" s="1968">
        <f>+SUM(F85:F87)</f>
        <v>70366</v>
      </c>
      <c r="G88" s="1968">
        <v>0</v>
      </c>
      <c r="H88" s="1968">
        <f>+SUM(H85:H87)</f>
        <v>89461</v>
      </c>
      <c r="I88" s="1968">
        <v>0</v>
      </c>
      <c r="J88" s="1968">
        <f>+SUM(J85:J87)</f>
        <v>70366</v>
      </c>
      <c r="K88" s="1968">
        <f>+SUM(K85:K87)</f>
        <v>0</v>
      </c>
      <c r="L88" s="1968">
        <f>+SUM(L85:L87)</f>
        <v>250407</v>
      </c>
      <c r="M88" s="1968"/>
      <c r="N88" s="1968">
        <f>+SUM(N85:N87)</f>
        <v>90580</v>
      </c>
    </row>
    <row r="89" spans="1:14" x14ac:dyDescent="0.2">
      <c r="A89" s="1976"/>
      <c r="B89" s="1977"/>
      <c r="C89" s="1977"/>
      <c r="D89" s="1977"/>
      <c r="E89" s="1978"/>
      <c r="F89" s="1987" t="s">
        <v>1169</v>
      </c>
      <c r="G89" s="1987"/>
      <c r="H89" s="1978"/>
      <c r="I89" s="1987"/>
      <c r="J89" s="1978"/>
      <c r="K89" s="1978"/>
      <c r="L89" s="1978"/>
      <c r="M89" s="1968"/>
      <c r="N89" s="1978"/>
    </row>
    <row r="90" spans="1:14" x14ac:dyDescent="0.2">
      <c r="B90" s="1943"/>
      <c r="C90" s="1943"/>
      <c r="D90" s="1943"/>
      <c r="E90" s="1968"/>
      <c r="F90" s="1968"/>
      <c r="G90" s="1968"/>
      <c r="H90" s="1969" t="s">
        <v>1169</v>
      </c>
      <c r="I90" s="1968"/>
      <c r="J90" s="1969"/>
      <c r="K90" s="1969"/>
      <c r="L90" s="1969"/>
      <c r="M90" s="1969"/>
      <c r="N90" s="1969"/>
    </row>
    <row r="91" spans="1:14" x14ac:dyDescent="0.2">
      <c r="A91" s="1947" t="s">
        <v>2189</v>
      </c>
      <c r="B91" s="1943"/>
      <c r="C91" s="1943"/>
      <c r="D91" s="1943"/>
      <c r="E91" s="1968"/>
      <c r="F91" s="1968"/>
      <c r="G91" s="1968"/>
      <c r="H91" s="1969"/>
      <c r="I91" s="1968"/>
      <c r="J91" s="1969"/>
      <c r="K91" s="1969"/>
      <c r="L91" s="1969"/>
      <c r="M91" s="1969"/>
      <c r="N91" s="1969"/>
    </row>
    <row r="92" spans="1:14" x14ac:dyDescent="0.2">
      <c r="A92" s="1964" t="s">
        <v>2190</v>
      </c>
      <c r="B92" s="1943"/>
      <c r="C92" s="1943"/>
      <c r="D92" s="1943"/>
      <c r="E92" s="1968"/>
      <c r="F92" s="1968"/>
      <c r="G92" s="1968"/>
      <c r="H92" s="1969"/>
      <c r="I92" s="1968"/>
      <c r="J92" s="1969"/>
      <c r="K92" s="1969"/>
      <c r="L92" s="1969"/>
      <c r="M92" s="1969"/>
      <c r="N92" s="1969"/>
    </row>
    <row r="93" spans="1:14" x14ac:dyDescent="0.2">
      <c r="A93" s="1966" t="s">
        <v>2191</v>
      </c>
      <c r="B93" s="1943">
        <v>84.001999999999995</v>
      </c>
      <c r="C93" s="1972" t="s">
        <v>2192</v>
      </c>
      <c r="D93" s="1972"/>
      <c r="E93" s="1968">
        <v>0</v>
      </c>
      <c r="F93" s="1968">
        <v>100782</v>
      </c>
      <c r="G93" s="1968">
        <v>0</v>
      </c>
      <c r="H93" s="1968">
        <v>0</v>
      </c>
      <c r="I93" s="1968">
        <v>0</v>
      </c>
      <c r="J93" s="1968">
        <v>100782</v>
      </c>
      <c r="K93" s="1968">
        <v>0</v>
      </c>
      <c r="L93" s="1969">
        <f>H93+J93+K93</f>
        <v>100782</v>
      </c>
      <c r="M93" s="1969"/>
      <c r="N93" s="1983">
        <v>0</v>
      </c>
    </row>
    <row r="94" spans="1:14" x14ac:dyDescent="0.2">
      <c r="A94" s="1966"/>
      <c r="B94" s="1943"/>
      <c r="C94" s="1972" t="s">
        <v>2193</v>
      </c>
      <c r="D94" s="1972"/>
      <c r="E94" s="1968">
        <v>175060</v>
      </c>
      <c r="F94" s="1968">
        <v>0</v>
      </c>
      <c r="G94" s="1968">
        <v>0</v>
      </c>
      <c r="H94" s="1968">
        <v>175060</v>
      </c>
      <c r="I94" s="1968">
        <v>0</v>
      </c>
      <c r="J94" s="1968">
        <v>0</v>
      </c>
      <c r="K94" s="1968"/>
      <c r="L94" s="1969">
        <f>H94+J94+K94</f>
        <v>175060</v>
      </c>
      <c r="M94" s="1969"/>
      <c r="N94" s="1989">
        <v>0</v>
      </c>
    </row>
    <row r="95" spans="1:14" x14ac:dyDescent="0.2">
      <c r="A95" s="1966"/>
      <c r="B95" s="1943"/>
      <c r="C95" s="1972"/>
      <c r="D95" s="1972"/>
      <c r="E95" s="1971">
        <f>+SUM(E93:E94)</f>
        <v>175060</v>
      </c>
      <c r="F95" s="1971">
        <f>+SUM(F93:F94)</f>
        <v>100782</v>
      </c>
      <c r="G95" s="1971">
        <v>0</v>
      </c>
      <c r="H95" s="1971">
        <f>+SUM(H93:H94)</f>
        <v>175060</v>
      </c>
      <c r="I95" s="1971">
        <v>0</v>
      </c>
      <c r="J95" s="1971">
        <f>+SUM(J93:J94)</f>
        <v>100782</v>
      </c>
      <c r="K95" s="1971">
        <f>+SUM(K93:K94)</f>
        <v>0</v>
      </c>
      <c r="L95" s="1971">
        <f>+SUM(L93:L94)</f>
        <v>275842</v>
      </c>
      <c r="M95" s="1968"/>
      <c r="N95" s="1983">
        <f>SUM(N93:N94)</f>
        <v>0</v>
      </c>
    </row>
    <row r="96" spans="1:14" x14ac:dyDescent="0.2">
      <c r="A96" s="1976"/>
      <c r="B96" s="1977"/>
      <c r="C96" s="1977"/>
      <c r="D96" s="1977"/>
      <c r="E96" s="1978"/>
      <c r="F96" s="1979" t="s">
        <v>1169</v>
      </c>
      <c r="G96" s="1979"/>
      <c r="H96" s="1980"/>
      <c r="I96" s="1979"/>
      <c r="J96" s="1980"/>
      <c r="K96" s="1980"/>
      <c r="L96" s="1980"/>
      <c r="M96" s="1969"/>
      <c r="N96" s="1980"/>
    </row>
    <row r="97" spans="1:27" x14ac:dyDescent="0.2">
      <c r="B97" s="1943"/>
      <c r="C97" s="1943"/>
      <c r="D97" s="1943"/>
      <c r="E97" s="1968"/>
      <c r="F97" s="1968"/>
      <c r="G97" s="1968"/>
      <c r="H97" s="1969"/>
      <c r="I97" s="1968"/>
      <c r="J97" s="1969"/>
      <c r="K97" s="1969"/>
      <c r="L97" s="1969"/>
      <c r="M97" s="1969"/>
      <c r="N97" s="1969"/>
    </row>
    <row r="98" spans="1:27" x14ac:dyDescent="0.2">
      <c r="A98" s="1990" t="s">
        <v>2194</v>
      </c>
      <c r="B98" s="1943"/>
      <c r="C98" s="1943"/>
      <c r="D98" s="1943"/>
      <c r="E98" s="1991">
        <f>+E33+E56+E65+E73+E79+E88+E95</f>
        <v>14896773</v>
      </c>
      <c r="F98" s="1991">
        <f>+F33+F56+F65+F73+F79+F88+F95</f>
        <v>17033718</v>
      </c>
      <c r="G98" s="1991">
        <v>0</v>
      </c>
      <c r="H98" s="1991">
        <f>+H33+H56+H65+H73+H79+H88+H95</f>
        <v>14864542</v>
      </c>
      <c r="I98" s="1991">
        <v>0</v>
      </c>
      <c r="J98" s="1968">
        <f>+J33+J56+J65+J73+J79+J88+J95</f>
        <v>17065751</v>
      </c>
      <c r="K98" s="1968">
        <f>+K33+K56+K65+K73+K79+K88+K95</f>
        <v>0</v>
      </c>
      <c r="L98" s="1968">
        <f>+L33+L56+L65+L73+L79+L88+L95</f>
        <v>45968438</v>
      </c>
      <c r="M98" s="1968"/>
      <c r="N98" s="1983" t="s">
        <v>2091</v>
      </c>
    </row>
    <row r="99" spans="1:27" x14ac:dyDescent="0.2">
      <c r="A99" s="1945"/>
      <c r="B99" s="1953"/>
      <c r="C99" s="1953"/>
      <c r="D99" s="1943"/>
      <c r="E99" s="1978"/>
      <c r="F99" s="1979" t="s">
        <v>1169</v>
      </c>
      <c r="G99" s="1979"/>
      <c r="H99" s="1980"/>
      <c r="I99" s="1979"/>
      <c r="J99" s="1980"/>
      <c r="K99" s="1980"/>
      <c r="L99" s="1980"/>
      <c r="M99" s="1969"/>
      <c r="N99" s="1992"/>
    </row>
    <row r="100" spans="1:27" x14ac:dyDescent="0.2">
      <c r="B100" s="1943"/>
      <c r="C100" s="1943"/>
      <c r="D100" s="1943"/>
      <c r="E100" s="1968"/>
      <c r="F100" s="1968"/>
      <c r="G100" s="1968"/>
      <c r="H100" s="1969"/>
      <c r="I100" s="1968"/>
      <c r="J100" s="1969"/>
      <c r="K100" s="1969"/>
      <c r="L100" s="1969"/>
      <c r="M100" s="1969"/>
      <c r="N100" s="1969"/>
    </row>
    <row r="101" spans="1:27" x14ac:dyDescent="0.2">
      <c r="A101" s="1941" t="s">
        <v>2195</v>
      </c>
      <c r="C101" s="1943"/>
      <c r="D101" s="1943"/>
      <c r="E101" s="1968"/>
      <c r="F101" s="1968"/>
      <c r="G101" s="1968"/>
      <c r="H101" s="1969"/>
      <c r="I101" s="1968"/>
      <c r="J101" s="1969"/>
      <c r="K101" s="1969"/>
      <c r="L101" s="1969"/>
      <c r="M101" s="1969"/>
      <c r="N101" s="1983"/>
    </row>
    <row r="102" spans="1:27" x14ac:dyDescent="0.2">
      <c r="A102" s="1993" t="s">
        <v>2196</v>
      </c>
      <c r="C102" s="1943"/>
      <c r="D102" s="1943"/>
      <c r="E102" s="1968"/>
      <c r="F102" s="1968"/>
      <c r="G102" s="1968"/>
      <c r="H102" s="1969"/>
      <c r="I102" s="1968"/>
      <c r="J102" s="1969"/>
      <c r="K102" s="1969"/>
      <c r="L102" s="1969"/>
      <c r="M102" s="1969"/>
      <c r="N102" s="1983"/>
    </row>
    <row r="103" spans="1:27" x14ac:dyDescent="0.2">
      <c r="A103" s="1964" t="s">
        <v>2197</v>
      </c>
      <c r="B103" s="1943">
        <v>93.778000000000006</v>
      </c>
      <c r="C103" s="1943" t="s">
        <v>2198</v>
      </c>
      <c r="D103" s="1943"/>
      <c r="E103" s="1968">
        <v>0</v>
      </c>
      <c r="F103" s="1968">
        <v>453106</v>
      </c>
      <c r="G103" s="1968">
        <v>0</v>
      </c>
      <c r="H103" s="1968">
        <v>0</v>
      </c>
      <c r="I103" s="1968">
        <v>0</v>
      </c>
      <c r="J103" s="1968">
        <f>+F103/0.96</f>
        <v>471985.41666666669</v>
      </c>
      <c r="K103" s="1968">
        <v>0</v>
      </c>
      <c r="L103" s="1968">
        <f>H103+J103</f>
        <v>471985.41666666669</v>
      </c>
      <c r="M103" s="1968"/>
      <c r="N103" s="1983" t="s">
        <v>2091</v>
      </c>
    </row>
    <row r="104" spans="1:27" x14ac:dyDescent="0.2">
      <c r="A104" s="1964"/>
      <c r="B104" s="1943"/>
      <c r="C104" s="1943" t="s">
        <v>2199</v>
      </c>
      <c r="D104" s="1943"/>
      <c r="E104" s="1978">
        <v>383945</v>
      </c>
      <c r="F104" s="1978">
        <v>0</v>
      </c>
      <c r="G104" s="1978">
        <v>0</v>
      </c>
      <c r="H104" s="1978">
        <v>399943</v>
      </c>
      <c r="I104" s="1978">
        <v>0</v>
      </c>
      <c r="J104" s="1978"/>
      <c r="K104" s="1978"/>
      <c r="L104" s="1978">
        <f>H104+J104</f>
        <v>399943</v>
      </c>
      <c r="M104" s="1968"/>
      <c r="N104" s="1989" t="s">
        <v>2091</v>
      </c>
    </row>
    <row r="105" spans="1:27" x14ac:dyDescent="0.2">
      <c r="B105" s="1943"/>
      <c r="C105" s="1943"/>
      <c r="D105" s="1943"/>
      <c r="E105" s="1969"/>
      <c r="F105" s="1973" t="s">
        <v>1169</v>
      </c>
      <c r="G105" s="1973"/>
      <c r="H105" s="1969"/>
      <c r="I105" s="1973"/>
      <c r="J105" s="1969"/>
      <c r="K105" s="1969"/>
      <c r="L105" s="1969"/>
      <c r="M105" s="1969"/>
      <c r="N105" s="1969"/>
    </row>
    <row r="106" spans="1:27" x14ac:dyDescent="0.2">
      <c r="A106" s="1990" t="s">
        <v>2200</v>
      </c>
      <c r="B106" s="1943"/>
      <c r="C106" s="1994"/>
      <c r="D106" s="1994"/>
      <c r="E106" s="1991">
        <f>SUM(E103:E104)</f>
        <v>383945</v>
      </c>
      <c r="F106" s="1991">
        <f>SUM(F103:F104)</f>
        <v>453106</v>
      </c>
      <c r="G106" s="1991">
        <v>0</v>
      </c>
      <c r="H106" s="1991">
        <f>SUM(H103:H104)</f>
        <v>399943</v>
      </c>
      <c r="I106" s="1991">
        <v>0</v>
      </c>
      <c r="J106" s="1968">
        <f>SUM(J103:J104)</f>
        <v>471985.41666666669</v>
      </c>
      <c r="K106" s="1968">
        <f>SUM(K103:K104)</f>
        <v>0</v>
      </c>
      <c r="L106" s="1968">
        <f>SUM(L103:L104)</f>
        <v>871928.41666666674</v>
      </c>
      <c r="M106" s="1968"/>
      <c r="N106" s="1983" t="s">
        <v>2091</v>
      </c>
    </row>
    <row r="107" spans="1:27" x14ac:dyDescent="0.2">
      <c r="A107" s="1945"/>
      <c r="B107" s="1953"/>
      <c r="C107" s="1953"/>
      <c r="D107" s="1943"/>
      <c r="E107" s="1978"/>
      <c r="F107" s="1980"/>
      <c r="G107" s="1980"/>
      <c r="H107" s="1980"/>
      <c r="I107" s="1980"/>
      <c r="J107" s="1980"/>
      <c r="K107" s="1980"/>
      <c r="L107" s="1980"/>
      <c r="M107" s="1969"/>
      <c r="N107" s="1992"/>
    </row>
    <row r="108" spans="1:27" x14ac:dyDescent="0.2">
      <c r="B108" s="1943"/>
      <c r="C108" s="1994"/>
      <c r="D108" s="1994"/>
      <c r="E108" s="1968"/>
      <c r="F108" s="1968"/>
      <c r="G108" s="1968"/>
      <c r="H108" s="1969"/>
      <c r="I108" s="1968"/>
      <c r="J108" s="1969"/>
      <c r="K108" s="1969"/>
      <c r="L108" s="1969"/>
      <c r="M108" s="1969"/>
      <c r="N108" s="1983"/>
    </row>
    <row r="109" spans="1:27" x14ac:dyDescent="0.2">
      <c r="A109" s="1970" t="s">
        <v>2201</v>
      </c>
      <c r="C109" s="1943"/>
      <c r="D109" s="1943"/>
      <c r="E109" s="1968"/>
      <c r="F109" s="1968"/>
      <c r="G109" s="1968"/>
      <c r="H109" s="1969"/>
      <c r="I109" s="1968"/>
      <c r="J109" s="1969"/>
      <c r="K109" s="1969"/>
      <c r="L109" s="1969"/>
      <c r="M109" s="1969"/>
      <c r="N109" s="1983"/>
    </row>
    <row r="110" spans="1:27" x14ac:dyDescent="0.2">
      <c r="A110" s="1995" t="s">
        <v>2202</v>
      </c>
      <c r="C110" s="1943"/>
      <c r="D110" s="1943"/>
      <c r="E110" s="1968"/>
      <c r="F110" s="1968"/>
      <c r="G110" s="1968"/>
      <c r="H110" s="1969"/>
      <c r="I110" s="1968"/>
      <c r="J110" s="1969"/>
      <c r="K110" s="1969"/>
      <c r="L110" s="1969"/>
      <c r="M110" s="1969"/>
      <c r="N110" s="1983"/>
    </row>
    <row r="111" spans="1:27" s="1996" customFormat="1" x14ac:dyDescent="0.2">
      <c r="A111" s="1981" t="s">
        <v>2097</v>
      </c>
      <c r="B111" s="1941"/>
      <c r="C111" s="1943"/>
      <c r="D111" s="1943"/>
      <c r="E111" s="1968"/>
      <c r="F111" s="1968"/>
      <c r="G111" s="1968"/>
      <c r="H111" s="1969"/>
      <c r="I111" s="1968"/>
      <c r="J111" s="1969"/>
      <c r="K111" s="1969" t="s">
        <v>1169</v>
      </c>
      <c r="L111" s="1969"/>
      <c r="M111" s="1969"/>
      <c r="N111" s="1983"/>
      <c r="O111" s="1940"/>
      <c r="P111" s="1940"/>
      <c r="Q111" s="1940"/>
      <c r="R111" s="1940"/>
      <c r="S111" s="1940"/>
      <c r="T111" s="1940"/>
      <c r="U111" s="1940"/>
      <c r="V111" s="1940"/>
      <c r="W111" s="1940"/>
      <c r="X111" s="1940"/>
      <c r="Y111" s="1940"/>
      <c r="Z111" s="1940"/>
      <c r="AA111" s="1940"/>
    </row>
    <row r="112" spans="1:27" s="1996" customFormat="1" x14ac:dyDescent="0.2">
      <c r="A112" s="1982" t="s">
        <v>1059</v>
      </c>
      <c r="B112" s="1967" t="s">
        <v>2203</v>
      </c>
      <c r="C112" s="1943" t="s">
        <v>2204</v>
      </c>
      <c r="D112" s="1943"/>
      <c r="E112" s="1968">
        <v>0</v>
      </c>
      <c r="F112" s="1968">
        <f>1591889+108310-103268+1</f>
        <v>1596932</v>
      </c>
      <c r="G112" s="1968">
        <v>0</v>
      </c>
      <c r="H112" s="1968">
        <v>0</v>
      </c>
      <c r="I112" s="1968">
        <v>0</v>
      </c>
      <c r="J112" s="1968">
        <f>F112</f>
        <v>1596932</v>
      </c>
      <c r="K112" s="1968">
        <v>0</v>
      </c>
      <c r="L112" s="1969">
        <f>H112+J112+K112</f>
        <v>1596932</v>
      </c>
      <c r="M112" s="1969"/>
      <c r="N112" s="1983" t="s">
        <v>2091</v>
      </c>
      <c r="O112" s="1940"/>
      <c r="P112" s="1940"/>
      <c r="Q112" s="1940"/>
      <c r="R112" s="1940"/>
      <c r="S112" s="1940"/>
      <c r="T112" s="1940"/>
      <c r="U112" s="1940"/>
      <c r="V112" s="1940"/>
      <c r="W112" s="1940"/>
      <c r="X112" s="1940"/>
      <c r="Y112" s="1940"/>
      <c r="Z112" s="1940"/>
      <c r="AA112" s="1940"/>
    </row>
    <row r="113" spans="1:27" s="1996" customFormat="1" x14ac:dyDescent="0.2">
      <c r="A113" s="1997"/>
      <c r="B113" s="1940"/>
      <c r="C113" s="1943" t="s">
        <v>2205</v>
      </c>
      <c r="D113" s="1943"/>
      <c r="E113" s="1968">
        <v>1607063</v>
      </c>
      <c r="F113" s="1968">
        <f>301141-4344</f>
        <v>296797</v>
      </c>
      <c r="G113" s="1968">
        <v>0</v>
      </c>
      <c r="H113" s="1968">
        <v>1607063</v>
      </c>
      <c r="I113" s="1968">
        <v>0</v>
      </c>
      <c r="J113" s="1968">
        <f>F113</f>
        <v>296797</v>
      </c>
      <c r="K113" s="1968">
        <v>0</v>
      </c>
      <c r="L113" s="1969">
        <f>H113+J113+K113</f>
        <v>1903860</v>
      </c>
      <c r="M113" s="1969"/>
      <c r="N113" s="1983" t="s">
        <v>2091</v>
      </c>
      <c r="O113" s="1940"/>
      <c r="P113" s="1940"/>
      <c r="Q113" s="1940"/>
      <c r="R113" s="1940"/>
      <c r="S113" s="1940"/>
      <c r="T113" s="1940"/>
      <c r="U113" s="1940"/>
      <c r="V113" s="1940"/>
      <c r="W113" s="1940"/>
      <c r="X113" s="1940"/>
      <c r="Y113" s="1940"/>
      <c r="Z113" s="1940"/>
      <c r="AA113" s="1940"/>
    </row>
    <row r="114" spans="1:27" s="1996" customFormat="1" x14ac:dyDescent="0.2">
      <c r="A114" s="1997"/>
      <c r="B114" s="1940"/>
      <c r="C114" s="1943" t="s">
        <v>2206</v>
      </c>
      <c r="D114" s="1943"/>
      <c r="E114" s="1968">
        <v>306749</v>
      </c>
      <c r="F114" s="1968">
        <v>0</v>
      </c>
      <c r="G114" s="1968">
        <v>0</v>
      </c>
      <c r="H114" s="1968">
        <v>306749</v>
      </c>
      <c r="I114" s="1968">
        <v>0</v>
      </c>
      <c r="J114" s="1968">
        <v>0</v>
      </c>
      <c r="K114" s="1968">
        <v>0</v>
      </c>
      <c r="L114" s="1969">
        <v>1981200</v>
      </c>
      <c r="M114" s="1969"/>
      <c r="N114" s="1983" t="s">
        <v>2091</v>
      </c>
      <c r="O114" s="1940"/>
      <c r="P114" s="1940"/>
      <c r="Q114" s="1940"/>
      <c r="R114" s="1940"/>
      <c r="S114" s="1940"/>
      <c r="T114" s="1940"/>
      <c r="U114" s="1940"/>
      <c r="V114" s="1940"/>
      <c r="W114" s="1940"/>
      <c r="X114" s="1940"/>
      <c r="Y114" s="1940"/>
      <c r="Z114" s="1940"/>
      <c r="AA114" s="1940"/>
    </row>
    <row r="115" spans="1:27" s="1996" customFormat="1" x14ac:dyDescent="0.2">
      <c r="A115" s="1947"/>
      <c r="B115" s="1941"/>
      <c r="C115" s="1943"/>
      <c r="D115" s="1943"/>
      <c r="E115" s="1975">
        <f>SUM(E112:E114)</f>
        <v>1913812</v>
      </c>
      <c r="F115" s="1975">
        <f>SUM(F112:F114)</f>
        <v>1893729</v>
      </c>
      <c r="G115" s="1975">
        <v>0</v>
      </c>
      <c r="H115" s="1975">
        <f>SUM(H112:H114)</f>
        <v>1913812</v>
      </c>
      <c r="I115" s="1975">
        <v>0</v>
      </c>
      <c r="J115" s="1975">
        <f>SUM(J112:J114)</f>
        <v>1893729</v>
      </c>
      <c r="K115" s="1975">
        <f>SUM(K112:K114)</f>
        <v>0</v>
      </c>
      <c r="L115" s="1975">
        <f>SUM(L112:L114)</f>
        <v>5481992</v>
      </c>
      <c r="M115" s="1968"/>
      <c r="N115" s="1984" t="s">
        <v>2091</v>
      </c>
      <c r="O115" s="1940"/>
      <c r="P115" s="1940"/>
      <c r="Q115" s="1940"/>
      <c r="R115" s="1940"/>
      <c r="S115" s="1940"/>
      <c r="T115" s="1940"/>
      <c r="U115" s="1940"/>
      <c r="V115" s="1940"/>
      <c r="W115" s="1940"/>
      <c r="X115" s="1940"/>
      <c r="Y115" s="1940"/>
      <c r="Z115" s="1940"/>
      <c r="AA115" s="1940"/>
    </row>
    <row r="116" spans="1:27" s="1996" customFormat="1" x14ac:dyDescent="0.2">
      <c r="A116" s="1981"/>
      <c r="B116" s="1941"/>
      <c r="C116" s="1943"/>
      <c r="D116" s="1943"/>
      <c r="E116" s="1968"/>
      <c r="F116" s="1973" t="s">
        <v>1169</v>
      </c>
      <c r="G116" s="1973"/>
      <c r="H116" s="1968"/>
      <c r="I116" s="1973"/>
      <c r="J116" s="1968"/>
      <c r="K116" s="1968"/>
      <c r="L116" s="1969"/>
      <c r="M116" s="1969"/>
      <c r="N116" s="1983"/>
      <c r="O116" s="1940"/>
      <c r="P116" s="1940"/>
      <c r="Q116" s="1940"/>
      <c r="R116" s="1940"/>
      <c r="S116" s="1940"/>
      <c r="T116" s="1940"/>
      <c r="U116" s="1940"/>
      <c r="V116" s="1940"/>
      <c r="W116" s="1940"/>
      <c r="X116" s="1940"/>
      <c r="Y116" s="1940"/>
      <c r="Z116" s="1940"/>
      <c r="AA116" s="1940"/>
    </row>
    <row r="117" spans="1:27" s="1996" customFormat="1" x14ac:dyDescent="0.2">
      <c r="A117" s="1982" t="s">
        <v>1058</v>
      </c>
      <c r="B117" s="1967" t="s">
        <v>2207</v>
      </c>
      <c r="C117" s="1943" t="s">
        <v>2208</v>
      </c>
      <c r="D117" s="1943"/>
      <c r="E117" s="1968">
        <v>0</v>
      </c>
      <c r="F117" s="1968">
        <f>4911958+370311-356832+1</f>
        <v>4925438</v>
      </c>
      <c r="G117" s="1968">
        <v>0</v>
      </c>
      <c r="H117" s="1968">
        <v>0</v>
      </c>
      <c r="I117" s="1968">
        <v>0</v>
      </c>
      <c r="J117" s="1968">
        <f>F117</f>
        <v>4925438</v>
      </c>
      <c r="K117" s="1968">
        <v>0</v>
      </c>
      <c r="L117" s="1969">
        <f>H117+J117+K117</f>
        <v>4925438</v>
      </c>
      <c r="M117" s="1969"/>
      <c r="N117" s="1983" t="s">
        <v>2091</v>
      </c>
      <c r="O117" s="1940"/>
      <c r="P117" s="1940"/>
      <c r="Q117" s="1940"/>
      <c r="R117" s="1940"/>
      <c r="S117" s="1940"/>
      <c r="T117" s="1940"/>
      <c r="U117" s="1940"/>
      <c r="V117" s="1940"/>
      <c r="W117" s="1940"/>
      <c r="X117" s="1940"/>
      <c r="Y117" s="1940"/>
      <c r="Z117" s="1940"/>
      <c r="AA117" s="1940"/>
    </row>
    <row r="118" spans="1:27" s="1996" customFormat="1" x14ac:dyDescent="0.2">
      <c r="A118" s="1997"/>
      <c r="B118" s="1940"/>
      <c r="C118" s="1943" t="s">
        <v>2209</v>
      </c>
      <c r="D118" s="1943"/>
      <c r="E118" s="1968">
        <v>5009022</v>
      </c>
      <c r="F118" s="1968">
        <f>971527-10851</f>
        <v>960676</v>
      </c>
      <c r="G118" s="1968">
        <v>0</v>
      </c>
      <c r="H118" s="1968">
        <v>5009022</v>
      </c>
      <c r="I118" s="1968">
        <v>0</v>
      </c>
      <c r="J118" s="1968">
        <f>F118</f>
        <v>960676</v>
      </c>
      <c r="K118" s="1968">
        <v>0</v>
      </c>
      <c r="L118" s="1969">
        <f>H118+J118+K118</f>
        <v>5969698</v>
      </c>
      <c r="M118" s="1969"/>
      <c r="N118" s="1983" t="s">
        <v>2091</v>
      </c>
      <c r="O118" s="1940"/>
      <c r="P118" s="1940"/>
      <c r="Q118" s="1940"/>
      <c r="R118" s="1940"/>
      <c r="S118" s="1940"/>
      <c r="T118" s="1940"/>
      <c r="U118" s="1940"/>
      <c r="V118" s="1940"/>
      <c r="W118" s="1940"/>
      <c r="X118" s="1940"/>
      <c r="Y118" s="1940"/>
      <c r="Z118" s="1940"/>
      <c r="AA118" s="1940"/>
    </row>
    <row r="119" spans="1:27" s="1996" customFormat="1" x14ac:dyDescent="0.2">
      <c r="A119" s="1997"/>
      <c r="B119" s="1940"/>
      <c r="C119" s="1943" t="s">
        <v>2210</v>
      </c>
      <c r="D119" s="1943"/>
      <c r="E119" s="1968">
        <v>977344</v>
      </c>
      <c r="F119" s="1968">
        <v>0</v>
      </c>
      <c r="G119" s="1968">
        <v>0</v>
      </c>
      <c r="H119" s="1968">
        <v>977344</v>
      </c>
      <c r="I119" s="1968">
        <v>0</v>
      </c>
      <c r="J119" s="1968">
        <v>0</v>
      </c>
      <c r="K119" s="1968">
        <v>0</v>
      </c>
      <c r="L119" s="1969">
        <v>6141567</v>
      </c>
      <c r="M119" s="1969"/>
      <c r="N119" s="1983" t="s">
        <v>2091</v>
      </c>
      <c r="O119" s="1940"/>
      <c r="P119" s="1940"/>
      <c r="Q119" s="1940"/>
      <c r="R119" s="1940"/>
      <c r="S119" s="1940"/>
      <c r="T119" s="1940"/>
      <c r="U119" s="1940"/>
      <c r="V119" s="1940"/>
      <c r="W119" s="1940"/>
      <c r="X119" s="1940"/>
      <c r="Y119" s="1940"/>
      <c r="Z119" s="1940"/>
      <c r="AA119" s="1940"/>
    </row>
    <row r="120" spans="1:27" s="1996" customFormat="1" x14ac:dyDescent="0.2">
      <c r="A120" s="1947"/>
      <c r="B120" s="1941"/>
      <c r="C120" s="1943"/>
      <c r="D120" s="1943"/>
      <c r="E120" s="1975">
        <f>SUM(E117:E119)</f>
        <v>5986366</v>
      </c>
      <c r="F120" s="1975">
        <f>SUM(F117:F119)</f>
        <v>5886114</v>
      </c>
      <c r="G120" s="1975">
        <v>0</v>
      </c>
      <c r="H120" s="1975">
        <f>SUM(H117:H119)</f>
        <v>5986366</v>
      </c>
      <c r="I120" s="1975">
        <v>0</v>
      </c>
      <c r="J120" s="1975">
        <f>SUM(J117:J119)</f>
        <v>5886114</v>
      </c>
      <c r="K120" s="1975">
        <f>SUM(K117:K119)</f>
        <v>0</v>
      </c>
      <c r="L120" s="1975">
        <f>SUM(L117:L119)</f>
        <v>17036703</v>
      </c>
      <c r="M120" s="1968"/>
      <c r="N120" s="1984" t="s">
        <v>2091</v>
      </c>
      <c r="O120" s="1940"/>
      <c r="P120" s="1940"/>
      <c r="Q120" s="1940"/>
      <c r="R120" s="1940"/>
      <c r="S120" s="1940"/>
      <c r="T120" s="1940"/>
      <c r="U120" s="1940"/>
      <c r="V120" s="1940"/>
      <c r="W120" s="1940"/>
      <c r="X120" s="1940"/>
      <c r="Y120" s="1940"/>
      <c r="Z120" s="1940"/>
      <c r="AA120" s="1940"/>
    </row>
    <row r="121" spans="1:27" s="1996" customFormat="1" x14ac:dyDescent="0.2">
      <c r="A121" s="1993"/>
      <c r="B121" s="1941"/>
      <c r="C121" s="1943"/>
      <c r="D121" s="1943"/>
      <c r="E121" s="1968"/>
      <c r="F121" s="1973" t="s">
        <v>1169</v>
      </c>
      <c r="G121" s="1973"/>
      <c r="H121" s="1968"/>
      <c r="I121" s="1973"/>
      <c r="J121" s="1968"/>
      <c r="K121" s="1968"/>
      <c r="L121" s="1969"/>
      <c r="M121" s="1969"/>
      <c r="N121" s="1983"/>
      <c r="O121" s="1940"/>
      <c r="P121" s="1940"/>
      <c r="Q121" s="1940"/>
      <c r="R121" s="1940"/>
      <c r="S121" s="1940"/>
      <c r="T121" s="1940"/>
      <c r="U121" s="1940"/>
      <c r="V121" s="1940"/>
      <c r="W121" s="1940"/>
      <c r="X121" s="1940"/>
      <c r="Y121" s="1940"/>
      <c r="Z121" s="1940"/>
      <c r="AA121" s="1940"/>
    </row>
    <row r="122" spans="1:27" s="1996" customFormat="1" x14ac:dyDescent="0.2">
      <c r="A122" s="1982" t="s">
        <v>1451</v>
      </c>
      <c r="B122" s="1943">
        <v>10.558999999999999</v>
      </c>
      <c r="C122" s="1943" t="s">
        <v>2211</v>
      </c>
      <c r="D122" s="1943"/>
      <c r="E122" s="1968">
        <v>0</v>
      </c>
      <c r="F122" s="1968">
        <v>51611</v>
      </c>
      <c r="G122" s="1968">
        <v>0</v>
      </c>
      <c r="H122" s="1968">
        <v>0</v>
      </c>
      <c r="I122" s="1968">
        <v>0</v>
      </c>
      <c r="J122" s="1968">
        <f>F122</f>
        <v>51611</v>
      </c>
      <c r="K122" s="1968">
        <v>0</v>
      </c>
      <c r="L122" s="1969">
        <f>H122+J122+K122</f>
        <v>51611</v>
      </c>
      <c r="M122" s="1969"/>
      <c r="N122" s="1983" t="s">
        <v>2091</v>
      </c>
      <c r="O122" s="1940"/>
      <c r="P122" s="1940"/>
      <c r="Q122" s="1940"/>
      <c r="R122" s="1940"/>
      <c r="S122" s="1940"/>
      <c r="T122" s="1940"/>
      <c r="U122" s="1940"/>
      <c r="V122" s="1940"/>
      <c r="W122" s="1940"/>
      <c r="X122" s="1940"/>
      <c r="Y122" s="1940"/>
      <c r="Z122" s="1940"/>
      <c r="AA122" s="1940"/>
    </row>
    <row r="123" spans="1:27" s="1996" customFormat="1" x14ac:dyDescent="0.2">
      <c r="A123" s="1947"/>
      <c r="B123" s="1941"/>
      <c r="C123" s="1943" t="s">
        <v>2212</v>
      </c>
      <c r="D123" s="1943"/>
      <c r="E123" s="1968">
        <v>63411</v>
      </c>
      <c r="F123" s="1968">
        <f>142933-63411-82-1</f>
        <v>79439</v>
      </c>
      <c r="G123" s="1968">
        <v>0</v>
      </c>
      <c r="H123" s="1968">
        <v>63411</v>
      </c>
      <c r="I123" s="1968">
        <v>0</v>
      </c>
      <c r="J123" s="1968">
        <f>F123</f>
        <v>79439</v>
      </c>
      <c r="K123" s="1968">
        <v>0</v>
      </c>
      <c r="L123" s="1969">
        <f>H123+J123+K123</f>
        <v>142850</v>
      </c>
      <c r="M123" s="1969"/>
      <c r="N123" s="1983" t="s">
        <v>2091</v>
      </c>
      <c r="O123" s="1940"/>
      <c r="P123" s="1940"/>
      <c r="Q123" s="1940"/>
      <c r="R123" s="1940"/>
      <c r="S123" s="1940"/>
      <c r="T123" s="1940"/>
      <c r="U123" s="1940"/>
      <c r="V123" s="1940"/>
      <c r="W123" s="1940"/>
      <c r="X123" s="1940"/>
      <c r="Y123" s="1940"/>
      <c r="Z123" s="1940"/>
      <c r="AA123" s="1940"/>
    </row>
    <row r="124" spans="1:27" s="1996" customFormat="1" x14ac:dyDescent="0.2">
      <c r="A124" s="1947"/>
      <c r="B124" s="1941"/>
      <c r="C124" s="1943" t="s">
        <v>2213</v>
      </c>
      <c r="D124" s="1943"/>
      <c r="E124" s="1968">
        <v>65983</v>
      </c>
      <c r="F124" s="1968">
        <v>0</v>
      </c>
      <c r="G124" s="1968">
        <v>0</v>
      </c>
      <c r="H124" s="1968">
        <v>65983</v>
      </c>
      <c r="I124" s="1968">
        <v>0</v>
      </c>
      <c r="J124" s="1968">
        <v>0</v>
      </c>
      <c r="K124" s="1968">
        <v>0</v>
      </c>
      <c r="L124" s="1969">
        <v>140314</v>
      </c>
      <c r="M124" s="1969"/>
      <c r="N124" s="1983" t="s">
        <v>2091</v>
      </c>
      <c r="O124" s="1940"/>
      <c r="P124" s="1940"/>
      <c r="Q124" s="1940"/>
      <c r="R124" s="1940"/>
      <c r="S124" s="1940"/>
      <c r="T124" s="1940"/>
      <c r="U124" s="1940"/>
      <c r="V124" s="1940"/>
      <c r="W124" s="1940"/>
      <c r="X124" s="1940"/>
      <c r="Y124" s="1940"/>
      <c r="Z124" s="1940"/>
      <c r="AA124" s="1940"/>
    </row>
    <row r="125" spans="1:27" s="1996" customFormat="1" x14ac:dyDescent="0.2">
      <c r="A125" s="1947"/>
      <c r="B125" s="1941"/>
      <c r="C125" s="1943"/>
      <c r="D125" s="1943"/>
      <c r="E125" s="1975">
        <f>SUM(E122:E124)</f>
        <v>129394</v>
      </c>
      <c r="F125" s="1975">
        <f>SUM(F122:F124)</f>
        <v>131050</v>
      </c>
      <c r="G125" s="1975">
        <v>0</v>
      </c>
      <c r="H125" s="1975">
        <f>SUM(H122:H124)</f>
        <v>129394</v>
      </c>
      <c r="I125" s="1975">
        <v>0</v>
      </c>
      <c r="J125" s="1975">
        <f>SUM(J122:J124)</f>
        <v>131050</v>
      </c>
      <c r="K125" s="1975">
        <f>SUM(K122:K124)</f>
        <v>0</v>
      </c>
      <c r="L125" s="1975">
        <f>SUM(L122:L124)</f>
        <v>334775</v>
      </c>
      <c r="M125" s="1968"/>
      <c r="N125" s="1984" t="s">
        <v>2091</v>
      </c>
      <c r="O125" s="1940"/>
      <c r="P125" s="1940"/>
      <c r="Q125" s="1940"/>
      <c r="R125" s="1940"/>
      <c r="S125" s="1940"/>
      <c r="T125" s="1940"/>
      <c r="U125" s="1940"/>
      <c r="V125" s="1940"/>
      <c r="W125" s="1940"/>
      <c r="X125" s="1940"/>
      <c r="Y125" s="1940"/>
      <c r="Z125" s="1940"/>
      <c r="AA125" s="1940"/>
    </row>
    <row r="126" spans="1:27" s="1996" customFormat="1" x14ac:dyDescent="0.2">
      <c r="A126" s="1947"/>
      <c r="B126" s="1941"/>
      <c r="C126" s="1943"/>
      <c r="D126" s="1943"/>
      <c r="E126" s="1968"/>
      <c r="F126" s="1973" t="s">
        <v>1169</v>
      </c>
      <c r="G126" s="1973"/>
      <c r="H126" s="1968"/>
      <c r="I126" s="1973"/>
      <c r="J126" s="1968"/>
      <c r="K126" s="1968"/>
      <c r="L126" s="1969"/>
      <c r="M126" s="1969"/>
      <c r="N126" s="1983"/>
      <c r="O126" s="1940"/>
      <c r="P126" s="1940"/>
      <c r="Q126" s="1940"/>
      <c r="R126" s="1940"/>
      <c r="S126" s="1940"/>
      <c r="T126" s="1940"/>
      <c r="U126" s="1940"/>
      <c r="V126" s="1940"/>
      <c r="W126" s="1940"/>
      <c r="X126" s="1940"/>
      <c r="Y126" s="1940"/>
      <c r="Z126" s="1940"/>
      <c r="AA126" s="1940"/>
    </row>
    <row r="127" spans="1:27" s="1996" customFormat="1" x14ac:dyDescent="0.2">
      <c r="A127" s="1982" t="s">
        <v>2214</v>
      </c>
      <c r="B127" s="1967" t="s">
        <v>2207</v>
      </c>
      <c r="C127" s="1999" t="s">
        <v>2215</v>
      </c>
      <c r="D127" s="1998"/>
      <c r="E127" s="1968">
        <v>0</v>
      </c>
      <c r="F127" s="1968">
        <v>549536</v>
      </c>
      <c r="G127" s="1968">
        <v>0</v>
      </c>
      <c r="H127" s="1968">
        <v>0</v>
      </c>
      <c r="I127" s="1968">
        <v>0</v>
      </c>
      <c r="J127" s="1968">
        <f>F127</f>
        <v>549536</v>
      </c>
      <c r="K127" s="1968">
        <v>0</v>
      </c>
      <c r="L127" s="1969">
        <f>H127+J127+K127</f>
        <v>549536</v>
      </c>
      <c r="M127" s="1969"/>
      <c r="N127" s="1983" t="s">
        <v>2091</v>
      </c>
      <c r="O127" s="1940"/>
      <c r="P127" s="1940"/>
      <c r="Q127" s="1940"/>
      <c r="R127" s="1940"/>
      <c r="S127" s="1940"/>
      <c r="T127" s="1940"/>
      <c r="U127" s="1940"/>
      <c r="V127" s="1940"/>
      <c r="W127" s="1940"/>
      <c r="X127" s="1940"/>
      <c r="Y127" s="1940"/>
      <c r="Z127" s="1940"/>
      <c r="AA127" s="1940"/>
    </row>
    <row r="128" spans="1:27" s="1996" customFormat="1" x14ac:dyDescent="0.2">
      <c r="A128" s="1982"/>
      <c r="B128" s="1943"/>
      <c r="C128" s="1999" t="s">
        <v>2216</v>
      </c>
      <c r="D128" s="1998"/>
      <c r="E128" s="1968">
        <v>627413</v>
      </c>
      <c r="F128" s="1968">
        <v>0</v>
      </c>
      <c r="G128" s="1968">
        <v>0</v>
      </c>
      <c r="H128" s="1968">
        <v>627413</v>
      </c>
      <c r="I128" s="1968">
        <v>0</v>
      </c>
      <c r="J128" s="1968">
        <v>0</v>
      </c>
      <c r="K128" s="1968">
        <v>0</v>
      </c>
      <c r="L128" s="1969">
        <f>H128+J128+K128</f>
        <v>627413</v>
      </c>
      <c r="M128" s="1969"/>
      <c r="N128" s="1983" t="s">
        <v>2091</v>
      </c>
      <c r="O128" s="1940"/>
      <c r="P128" s="1940"/>
      <c r="Q128" s="1940"/>
      <c r="R128" s="1940"/>
      <c r="S128" s="1940"/>
      <c r="T128" s="1940"/>
      <c r="U128" s="1940"/>
      <c r="V128" s="1940"/>
      <c r="W128" s="1940"/>
      <c r="X128" s="1940"/>
      <c r="Y128" s="1940"/>
      <c r="Z128" s="1940"/>
      <c r="AA128" s="1940"/>
    </row>
    <row r="129" spans="1:27" s="1996" customFormat="1" x14ac:dyDescent="0.2">
      <c r="A129" s="1982"/>
      <c r="B129" s="1943"/>
      <c r="C129" s="1998"/>
      <c r="D129" s="1998"/>
      <c r="E129" s="1975">
        <f>SUM(E126:E128)</f>
        <v>627413</v>
      </c>
      <c r="F129" s="1975">
        <f>SUM(F126:F128)</f>
        <v>549536</v>
      </c>
      <c r="G129" s="1975">
        <v>0</v>
      </c>
      <c r="H129" s="1975">
        <f>SUM(H126:H128)</f>
        <v>627413</v>
      </c>
      <c r="I129" s="1975">
        <v>0</v>
      </c>
      <c r="J129" s="1975">
        <f>SUM(J126:J128)</f>
        <v>549536</v>
      </c>
      <c r="K129" s="1975">
        <f>SUM(K126:K128)</f>
        <v>0</v>
      </c>
      <c r="L129" s="1975">
        <f>SUM(L126:L128)</f>
        <v>1176949</v>
      </c>
      <c r="M129" s="1968"/>
      <c r="N129" s="1984" t="s">
        <v>2091</v>
      </c>
      <c r="O129" s="1940"/>
      <c r="P129" s="1940"/>
      <c r="Q129" s="1940"/>
      <c r="R129" s="1940"/>
      <c r="S129" s="1940"/>
      <c r="T129" s="1940"/>
      <c r="U129" s="1940"/>
      <c r="V129" s="1940"/>
      <c r="W129" s="1940"/>
      <c r="X129" s="1940"/>
      <c r="Y129" s="1940"/>
      <c r="Z129" s="1940"/>
      <c r="AA129" s="1940"/>
    </row>
    <row r="130" spans="1:27" s="1996" customFormat="1" x14ac:dyDescent="0.2">
      <c r="A130" s="1941"/>
      <c r="B130" s="1941"/>
      <c r="C130" s="1943"/>
      <c r="D130" s="1943"/>
      <c r="E130" s="1968"/>
      <c r="F130" s="1973" t="s">
        <v>1169</v>
      </c>
      <c r="G130" s="1973"/>
      <c r="H130" s="1968"/>
      <c r="I130" s="1973"/>
      <c r="J130" s="1968"/>
      <c r="K130" s="1968"/>
      <c r="L130" s="1969"/>
      <c r="M130" s="1969"/>
      <c r="N130" s="1983"/>
      <c r="O130" s="1940"/>
      <c r="P130" s="1940"/>
      <c r="Q130" s="1940"/>
      <c r="R130" s="1940"/>
      <c r="S130" s="1940"/>
      <c r="T130" s="1940"/>
      <c r="U130" s="1940"/>
      <c r="V130" s="1940"/>
      <c r="W130" s="1940"/>
      <c r="X130" s="1940"/>
      <c r="Y130" s="1940"/>
      <c r="Z130" s="1940"/>
      <c r="AA130" s="1940"/>
    </row>
    <row r="131" spans="1:27" s="1996" customFormat="1" x14ac:dyDescent="0.2">
      <c r="A131" s="1982" t="s">
        <v>2217</v>
      </c>
      <c r="B131" s="1943">
        <v>10.555</v>
      </c>
      <c r="C131" s="1999" t="s">
        <v>2215</v>
      </c>
      <c r="D131" s="1998"/>
      <c r="E131" s="1968">
        <v>0</v>
      </c>
      <c r="F131" s="1968">
        <v>122807</v>
      </c>
      <c r="G131" s="1968">
        <v>0</v>
      </c>
      <c r="H131" s="1969">
        <v>0</v>
      </c>
      <c r="I131" s="1968">
        <v>0</v>
      </c>
      <c r="J131" s="1969">
        <f>F131</f>
        <v>122807</v>
      </c>
      <c r="K131" s="1969">
        <v>0</v>
      </c>
      <c r="L131" s="1969">
        <f>+H131+J131+K131</f>
        <v>122807</v>
      </c>
      <c r="M131" s="1969"/>
      <c r="N131" s="1983" t="s">
        <v>2091</v>
      </c>
      <c r="O131" s="1940"/>
      <c r="P131" s="1940"/>
      <c r="Q131" s="1940"/>
      <c r="R131" s="1940"/>
      <c r="S131" s="1940"/>
      <c r="T131" s="1940"/>
      <c r="U131" s="1940"/>
      <c r="V131" s="1940"/>
      <c r="W131" s="1940"/>
      <c r="X131" s="1940"/>
      <c r="Y131" s="1940"/>
      <c r="Z131" s="1940"/>
      <c r="AA131" s="1940"/>
    </row>
    <row r="132" spans="1:27" s="1996" customFormat="1" x14ac:dyDescent="0.2">
      <c r="A132" s="1982"/>
      <c r="B132" s="1943"/>
      <c r="C132" s="1999" t="s">
        <v>2216</v>
      </c>
      <c r="D132" s="1998"/>
      <c r="E132" s="1968">
        <v>117601</v>
      </c>
      <c r="F132" s="1968">
        <v>0</v>
      </c>
      <c r="G132" s="1968">
        <v>0</v>
      </c>
      <c r="H132" s="1969">
        <v>117601</v>
      </c>
      <c r="I132" s="1968">
        <v>0</v>
      </c>
      <c r="J132" s="1969">
        <v>0</v>
      </c>
      <c r="K132" s="1969">
        <v>0</v>
      </c>
      <c r="L132" s="1969">
        <f>+H132+J132+K132</f>
        <v>117601</v>
      </c>
      <c r="M132" s="1969"/>
      <c r="N132" s="1983" t="s">
        <v>2091</v>
      </c>
      <c r="O132" s="1940"/>
      <c r="P132" s="1940"/>
      <c r="Q132" s="1940"/>
      <c r="R132" s="1940"/>
      <c r="S132" s="1940"/>
      <c r="T132" s="1940"/>
      <c r="U132" s="1940"/>
      <c r="V132" s="1940"/>
      <c r="W132" s="1940"/>
      <c r="X132" s="1940"/>
      <c r="Y132" s="1940"/>
      <c r="Z132" s="1940"/>
      <c r="AA132" s="1940"/>
    </row>
    <row r="133" spans="1:27" s="1996" customFormat="1" x14ac:dyDescent="0.2">
      <c r="A133" s="1982"/>
      <c r="B133" s="1943"/>
      <c r="C133" s="1998"/>
      <c r="D133" s="1998"/>
      <c r="E133" s="1975">
        <f>SUM(E131:E132)</f>
        <v>117601</v>
      </c>
      <c r="F133" s="1975">
        <f>SUM(F131:F132)</f>
        <v>122807</v>
      </c>
      <c r="G133" s="1975">
        <v>0</v>
      </c>
      <c r="H133" s="1975">
        <f>SUM(H131:H132)</f>
        <v>117601</v>
      </c>
      <c r="I133" s="1975">
        <v>0</v>
      </c>
      <c r="J133" s="1975">
        <f>SUM(J131:J132)</f>
        <v>122807</v>
      </c>
      <c r="K133" s="1975">
        <f>SUM(K131:K132)</f>
        <v>0</v>
      </c>
      <c r="L133" s="1975">
        <f>SUM(L131:L132)</f>
        <v>240408</v>
      </c>
      <c r="M133" s="1968"/>
      <c r="N133" s="1984" t="s">
        <v>2091</v>
      </c>
      <c r="O133" s="1940"/>
      <c r="P133" s="1940"/>
      <c r="Q133" s="1940"/>
      <c r="R133" s="1940"/>
      <c r="S133" s="1940"/>
      <c r="T133" s="1940"/>
      <c r="U133" s="1940"/>
      <c r="V133" s="1940"/>
      <c r="W133" s="1940"/>
      <c r="X133" s="1940"/>
      <c r="Y133" s="1940"/>
      <c r="Z133" s="1940"/>
      <c r="AA133" s="1940"/>
    </row>
    <row r="134" spans="1:27" s="1996" customFormat="1" x14ac:dyDescent="0.2">
      <c r="A134" s="1941"/>
      <c r="B134" s="1941"/>
      <c r="C134" s="1943" t="s">
        <v>1169</v>
      </c>
      <c r="D134" s="1943"/>
      <c r="E134" s="1968"/>
      <c r="F134" s="1973" t="s">
        <v>1169</v>
      </c>
      <c r="G134" s="1973"/>
      <c r="H134" s="1969"/>
      <c r="I134" s="1973"/>
      <c r="J134" s="1969"/>
      <c r="K134" s="1969"/>
      <c r="L134" s="1969"/>
      <c r="M134" s="1969"/>
      <c r="N134" s="1983"/>
      <c r="O134" s="1940"/>
      <c r="P134" s="1940"/>
      <c r="Q134" s="1940"/>
      <c r="R134" s="1940"/>
      <c r="S134" s="1940"/>
      <c r="T134" s="1940"/>
      <c r="U134" s="1940"/>
      <c r="V134" s="1940"/>
      <c r="W134" s="1940"/>
      <c r="X134" s="1940"/>
      <c r="Y134" s="1940"/>
      <c r="Z134" s="1940"/>
      <c r="AA134" s="1940"/>
    </row>
    <row r="135" spans="1:27" s="1996" customFormat="1" x14ac:dyDescent="0.2">
      <c r="A135" s="1952" t="s">
        <v>2218</v>
      </c>
      <c r="B135" s="1941"/>
      <c r="C135" s="1943"/>
      <c r="D135" s="1943"/>
      <c r="E135" s="1968">
        <f>+E115+E120+E133+E125+E129</f>
        <v>8774586</v>
      </c>
      <c r="F135" s="1968">
        <f>+F115+F120+F133+F125+F129</f>
        <v>8583236</v>
      </c>
      <c r="G135" s="1968">
        <v>0</v>
      </c>
      <c r="H135" s="1968">
        <f>+H115+H120+H133+H125+H129</f>
        <v>8774586</v>
      </c>
      <c r="I135" s="1968">
        <v>0</v>
      </c>
      <c r="J135" s="1968">
        <f>+J115+J120+J133+J125+J129</f>
        <v>8583236</v>
      </c>
      <c r="K135" s="1968">
        <f>+K115+K120+K133+K125+K129</f>
        <v>0</v>
      </c>
      <c r="L135" s="1968">
        <f>+L115+L120+L133+L125+L129</f>
        <v>24270827</v>
      </c>
      <c r="M135" s="1968"/>
      <c r="N135" s="1983" t="s">
        <v>2091</v>
      </c>
      <c r="O135" s="1940"/>
      <c r="P135" s="1940"/>
      <c r="Q135" s="1940"/>
      <c r="R135" s="1940"/>
      <c r="S135" s="1940"/>
      <c r="T135" s="1940"/>
      <c r="U135" s="1940"/>
      <c r="V135" s="1940"/>
      <c r="W135" s="1940"/>
      <c r="X135" s="1940"/>
      <c r="Y135" s="1940"/>
      <c r="Z135" s="1940"/>
      <c r="AA135" s="1940"/>
    </row>
    <row r="136" spans="1:27" s="1996" customFormat="1" x14ac:dyDescent="0.2">
      <c r="A136" s="2000"/>
      <c r="B136" s="1976"/>
      <c r="C136" s="1977"/>
      <c r="D136" s="1977"/>
      <c r="E136" s="1978"/>
      <c r="F136" s="1979" t="s">
        <v>1169</v>
      </c>
      <c r="G136" s="1979"/>
      <c r="H136" s="1978"/>
      <c r="I136" s="1979"/>
      <c r="J136" s="1978"/>
      <c r="K136" s="1978"/>
      <c r="L136" s="1978"/>
      <c r="M136" s="1968"/>
      <c r="N136" s="1989"/>
      <c r="O136" s="1940"/>
      <c r="P136" s="1940"/>
      <c r="Q136" s="1940"/>
      <c r="R136" s="1940"/>
      <c r="S136" s="1940"/>
      <c r="T136" s="1940"/>
      <c r="U136" s="1940"/>
      <c r="V136" s="1940"/>
      <c r="W136" s="1940"/>
      <c r="X136" s="1940"/>
      <c r="Y136" s="1940"/>
      <c r="Z136" s="1940"/>
      <c r="AA136" s="1940"/>
    </row>
    <row r="137" spans="1:27" s="1996" customFormat="1" x14ac:dyDescent="0.2">
      <c r="A137" s="1952"/>
      <c r="B137" s="1941"/>
      <c r="C137" s="1943"/>
      <c r="D137" s="1943"/>
      <c r="E137" s="1968"/>
      <c r="F137" s="1968"/>
      <c r="G137" s="1968"/>
      <c r="H137" s="1968"/>
      <c r="I137" s="1968"/>
      <c r="J137" s="1968"/>
      <c r="K137" s="1968"/>
      <c r="L137" s="1968"/>
      <c r="M137" s="1968"/>
      <c r="N137" s="1983"/>
      <c r="O137" s="1940"/>
      <c r="P137" s="1940"/>
      <c r="Q137" s="1940"/>
      <c r="R137" s="1940"/>
      <c r="S137" s="1940"/>
      <c r="T137" s="1940"/>
      <c r="U137" s="1940"/>
      <c r="V137" s="1940"/>
      <c r="W137" s="1940"/>
      <c r="X137" s="1940"/>
      <c r="Y137" s="1940"/>
      <c r="Z137" s="1940"/>
      <c r="AA137" s="1940"/>
    </row>
    <row r="138" spans="1:27" s="1996" customFormat="1" x14ac:dyDescent="0.2">
      <c r="A138" s="1982" t="s">
        <v>2219</v>
      </c>
      <c r="B138" s="1943">
        <v>10.582000000000001</v>
      </c>
      <c r="C138" s="1999" t="s">
        <v>2220</v>
      </c>
      <c r="D138" s="1998"/>
      <c r="E138" s="1968">
        <v>0</v>
      </c>
      <c r="F138" s="1968">
        <v>134730</v>
      </c>
      <c r="G138" s="1968">
        <v>0</v>
      </c>
      <c r="H138" s="1968">
        <v>0</v>
      </c>
      <c r="I138" s="1968">
        <v>0</v>
      </c>
      <c r="J138" s="1968">
        <f>F138</f>
        <v>134730</v>
      </c>
      <c r="K138" s="1968">
        <v>0</v>
      </c>
      <c r="L138" s="1969">
        <f>H138+J138+K138</f>
        <v>134730</v>
      </c>
      <c r="M138" s="1969"/>
      <c r="N138" s="1983" t="s">
        <v>2091</v>
      </c>
      <c r="O138" s="1940"/>
      <c r="P138" s="1940"/>
      <c r="Q138" s="1940"/>
      <c r="R138" s="1940"/>
      <c r="S138" s="1940"/>
      <c r="T138" s="1940"/>
      <c r="U138" s="1940"/>
      <c r="V138" s="1940"/>
      <c r="W138" s="1940"/>
      <c r="X138" s="1940"/>
      <c r="Y138" s="1940"/>
      <c r="Z138" s="1940"/>
      <c r="AA138" s="1940"/>
    </row>
    <row r="139" spans="1:27" s="1996" customFormat="1" x14ac:dyDescent="0.2">
      <c r="A139" s="1952"/>
      <c r="B139" s="1941"/>
      <c r="C139" s="1999" t="s">
        <v>2221</v>
      </c>
      <c r="D139" s="1998"/>
      <c r="E139" s="1968">
        <v>0</v>
      </c>
      <c r="F139" s="1968">
        <v>23864</v>
      </c>
      <c r="G139" s="1968">
        <v>0</v>
      </c>
      <c r="H139" s="1968">
        <v>0</v>
      </c>
      <c r="I139" s="1968">
        <v>0</v>
      </c>
      <c r="J139" s="1968">
        <f>F139</f>
        <v>23864</v>
      </c>
      <c r="K139" s="1968"/>
      <c r="L139" s="1969">
        <f>H139+J139+K139</f>
        <v>23864</v>
      </c>
      <c r="M139" s="1969"/>
      <c r="N139" s="1983"/>
      <c r="O139" s="1940"/>
      <c r="P139" s="1940"/>
      <c r="Q139" s="1940"/>
      <c r="R139" s="1940"/>
      <c r="S139" s="1940"/>
      <c r="T139" s="1940"/>
      <c r="U139" s="1940"/>
      <c r="V139" s="1940"/>
      <c r="W139" s="1940"/>
      <c r="X139" s="1940"/>
      <c r="Y139" s="1940"/>
      <c r="Z139" s="1940"/>
      <c r="AA139" s="1940"/>
    </row>
    <row r="140" spans="1:27" s="1996" customFormat="1" x14ac:dyDescent="0.2">
      <c r="A140" s="1952"/>
      <c r="B140" s="1941"/>
      <c r="C140" s="1999" t="s">
        <v>2222</v>
      </c>
      <c r="D140" s="1998"/>
      <c r="E140" s="1968">
        <v>142814</v>
      </c>
      <c r="F140" s="1968">
        <v>0</v>
      </c>
      <c r="G140" s="1968">
        <v>0</v>
      </c>
      <c r="H140" s="1968">
        <v>142814</v>
      </c>
      <c r="I140" s="1968">
        <v>0</v>
      </c>
      <c r="J140" s="1968">
        <v>0</v>
      </c>
      <c r="K140" s="1968">
        <v>0</v>
      </c>
      <c r="L140" s="1969">
        <f>H140+J140+K140</f>
        <v>142814</v>
      </c>
      <c r="M140" s="1969"/>
      <c r="N140" s="1983" t="s">
        <v>2091</v>
      </c>
      <c r="O140" s="1940"/>
      <c r="P140" s="1940"/>
      <c r="Q140" s="1940"/>
      <c r="R140" s="1940"/>
      <c r="S140" s="1940"/>
      <c r="T140" s="1940"/>
      <c r="U140" s="1940"/>
      <c r="V140" s="1940"/>
      <c r="W140" s="1940"/>
      <c r="X140" s="1940"/>
      <c r="Y140" s="1940"/>
      <c r="Z140" s="1940"/>
      <c r="AA140" s="1940"/>
    </row>
    <row r="141" spans="1:27" s="1996" customFormat="1" x14ac:dyDescent="0.2">
      <c r="A141" s="1952"/>
      <c r="B141" s="1941"/>
      <c r="C141" s="1999" t="s">
        <v>2223</v>
      </c>
      <c r="D141" s="1998"/>
      <c r="E141" s="1978">
        <v>23923</v>
      </c>
      <c r="F141" s="1978">
        <v>0</v>
      </c>
      <c r="G141" s="1978">
        <v>0</v>
      </c>
      <c r="H141" s="1978">
        <v>23923</v>
      </c>
      <c r="I141" s="1978">
        <v>0</v>
      </c>
      <c r="J141" s="1978">
        <v>0</v>
      </c>
      <c r="K141" s="1978">
        <v>0</v>
      </c>
      <c r="L141" s="1980">
        <v>23923</v>
      </c>
      <c r="M141" s="1969"/>
      <c r="N141" s="1989" t="s">
        <v>2091</v>
      </c>
      <c r="O141" s="1940"/>
      <c r="P141" s="1940"/>
      <c r="Q141" s="1940"/>
      <c r="R141" s="1940"/>
      <c r="S141" s="1940"/>
      <c r="T141" s="1940"/>
      <c r="U141" s="1940"/>
      <c r="V141" s="1940"/>
      <c r="W141" s="1940"/>
      <c r="X141" s="1940"/>
      <c r="Y141" s="1940"/>
      <c r="Z141" s="1940"/>
      <c r="AA141" s="1940"/>
    </row>
    <row r="142" spans="1:27" s="1996" customFormat="1" x14ac:dyDescent="0.2">
      <c r="A142" s="1952"/>
      <c r="B142" s="1941"/>
      <c r="C142" s="1943"/>
      <c r="D142" s="1943"/>
      <c r="E142" s="1968">
        <f>+SUM(E138:E141)</f>
        <v>166737</v>
      </c>
      <c r="F142" s="1968">
        <f>+SUM(F138:F141)</f>
        <v>158594</v>
      </c>
      <c r="G142" s="1968">
        <v>0</v>
      </c>
      <c r="H142" s="1968">
        <f>+SUM(H138:H141)</f>
        <v>166737</v>
      </c>
      <c r="I142" s="1968">
        <v>0</v>
      </c>
      <c r="J142" s="1968">
        <f>+SUM(J138:J141)</f>
        <v>158594</v>
      </c>
      <c r="K142" s="1968">
        <f>+SUM(K138:K141)</f>
        <v>0</v>
      </c>
      <c r="L142" s="1968">
        <f>+SUM(L138:L141)</f>
        <v>325331</v>
      </c>
      <c r="M142" s="1968"/>
      <c r="N142" s="1983" t="s">
        <v>2091</v>
      </c>
      <c r="O142" s="1940"/>
      <c r="P142" s="1940"/>
      <c r="Q142" s="1940"/>
      <c r="R142" s="1940"/>
      <c r="S142" s="1940"/>
      <c r="T142" s="1940"/>
      <c r="U142" s="1940"/>
      <c r="V142" s="1940"/>
      <c r="W142" s="1940"/>
      <c r="X142" s="1940"/>
      <c r="Y142" s="1940"/>
      <c r="Z142" s="1940"/>
      <c r="AA142" s="1940"/>
    </row>
    <row r="143" spans="1:27" s="1996" customFormat="1" x14ac:dyDescent="0.2">
      <c r="A143" s="1976"/>
      <c r="B143" s="1976"/>
      <c r="C143" s="1977"/>
      <c r="D143" s="1977"/>
      <c r="E143" s="1978"/>
      <c r="F143" s="1987" t="s">
        <v>1169</v>
      </c>
      <c r="G143" s="1987"/>
      <c r="H143" s="1980"/>
      <c r="I143" s="1987"/>
      <c r="J143" s="1980"/>
      <c r="K143" s="1980"/>
      <c r="L143" s="1980"/>
      <c r="M143" s="1969"/>
      <c r="N143" s="1989"/>
      <c r="O143" s="1940"/>
      <c r="P143" s="1940"/>
      <c r="Q143" s="1940"/>
      <c r="R143" s="1940"/>
      <c r="S143" s="1940"/>
      <c r="T143" s="1940"/>
      <c r="U143" s="1940"/>
      <c r="V143" s="1940"/>
      <c r="W143" s="1940"/>
      <c r="X143" s="1940"/>
      <c r="Y143" s="1940"/>
      <c r="Z143" s="1940"/>
      <c r="AA143" s="1940"/>
    </row>
    <row r="144" spans="1:27" s="1996" customFormat="1" x14ac:dyDescent="0.2">
      <c r="A144" s="1952"/>
      <c r="B144" s="1941"/>
      <c r="C144" s="1943"/>
      <c r="D144" s="1943"/>
      <c r="E144" s="1968"/>
      <c r="F144" s="1968"/>
      <c r="G144" s="1968"/>
      <c r="H144" s="1968"/>
      <c r="I144" s="1968"/>
      <c r="J144" s="1968"/>
      <c r="K144" s="1968"/>
      <c r="L144" s="1968"/>
      <c r="M144" s="1968"/>
      <c r="N144" s="1983"/>
      <c r="O144" s="1940"/>
      <c r="P144" s="1940"/>
      <c r="Q144" s="1940"/>
      <c r="R144" s="1940"/>
      <c r="S144" s="1940"/>
      <c r="T144" s="1940"/>
      <c r="U144" s="1940"/>
      <c r="V144" s="1940"/>
      <c r="W144" s="1940"/>
      <c r="X144" s="1940"/>
      <c r="Y144" s="1940"/>
      <c r="Z144" s="1940"/>
      <c r="AA144" s="1940"/>
    </row>
    <row r="145" spans="1:27" s="1996" customFormat="1" x14ac:dyDescent="0.2">
      <c r="A145" s="1982" t="s">
        <v>2224</v>
      </c>
      <c r="B145" s="1943">
        <v>10.579000000000001</v>
      </c>
      <c r="C145" s="1999" t="s">
        <v>2225</v>
      </c>
      <c r="D145" s="1998"/>
      <c r="E145" s="1968">
        <v>0</v>
      </c>
      <c r="F145" s="1968">
        <v>12560</v>
      </c>
      <c r="G145" s="1968">
        <v>0</v>
      </c>
      <c r="H145" s="1968">
        <v>0</v>
      </c>
      <c r="I145" s="1968">
        <v>0</v>
      </c>
      <c r="J145" s="1968">
        <f>F145</f>
        <v>12560</v>
      </c>
      <c r="K145" s="1968">
        <v>0</v>
      </c>
      <c r="L145" s="1969">
        <f>H145+J145+K145</f>
        <v>12560</v>
      </c>
      <c r="M145" s="1969"/>
      <c r="N145" s="1983" t="s">
        <v>2091</v>
      </c>
      <c r="O145" s="1940"/>
      <c r="P145" s="1940"/>
      <c r="Q145" s="1940"/>
      <c r="R145" s="1940"/>
      <c r="S145" s="1940"/>
      <c r="T145" s="1940"/>
      <c r="U145" s="1940"/>
      <c r="V145" s="1940"/>
      <c r="W145" s="1940"/>
      <c r="X145" s="1940"/>
      <c r="Y145" s="1940"/>
      <c r="Z145" s="1940"/>
      <c r="AA145" s="1940"/>
    </row>
    <row r="146" spans="1:27" s="1996" customFormat="1" x14ac:dyDescent="0.2">
      <c r="A146" s="2001" t="s">
        <v>1169</v>
      </c>
      <c r="B146" s="1976"/>
      <c r="C146" s="1977"/>
      <c r="D146" s="1977"/>
      <c r="E146" s="1978"/>
      <c r="F146" s="1987" t="s">
        <v>1169</v>
      </c>
      <c r="G146" s="1987"/>
      <c r="H146" s="1980"/>
      <c r="I146" s="1987"/>
      <c r="J146" s="1980"/>
      <c r="K146" s="1980"/>
      <c r="L146" s="1980"/>
      <c r="M146" s="1969"/>
      <c r="N146" s="1989"/>
      <c r="O146" s="1940"/>
      <c r="P146" s="1940"/>
      <c r="Q146" s="1940"/>
      <c r="R146" s="1940"/>
      <c r="S146" s="1940"/>
      <c r="T146" s="1940"/>
      <c r="U146" s="1940"/>
      <c r="V146" s="1940"/>
      <c r="W146" s="1940"/>
      <c r="X146" s="1940"/>
      <c r="Y146" s="1940"/>
      <c r="Z146" s="1940"/>
      <c r="AA146" s="1940"/>
    </row>
    <row r="147" spans="1:27" s="1996" customFormat="1" x14ac:dyDescent="0.2">
      <c r="A147" s="1941"/>
      <c r="B147" s="1941"/>
      <c r="C147" s="1943"/>
      <c r="D147" s="1943"/>
      <c r="E147" s="1968"/>
      <c r="F147" s="1968"/>
      <c r="G147" s="1968"/>
      <c r="H147" s="1969"/>
      <c r="I147" s="1968"/>
      <c r="J147" s="1969"/>
      <c r="K147" s="1969"/>
      <c r="L147" s="1969"/>
      <c r="M147" s="1969"/>
      <c r="N147" s="1983"/>
      <c r="O147" s="1940"/>
      <c r="P147" s="1940"/>
      <c r="Q147" s="1940"/>
      <c r="R147" s="1940"/>
      <c r="S147" s="1940"/>
      <c r="T147" s="1940"/>
      <c r="U147" s="1940"/>
      <c r="V147" s="1940"/>
      <c r="W147" s="1940"/>
      <c r="X147" s="1940"/>
      <c r="Y147" s="1940"/>
      <c r="Z147" s="1940"/>
      <c r="AA147" s="1940"/>
    </row>
    <row r="148" spans="1:27" s="1996" customFormat="1" x14ac:dyDescent="0.2">
      <c r="A148" s="1990" t="s">
        <v>2226</v>
      </c>
      <c r="B148" s="1941"/>
      <c r="C148" s="1943"/>
      <c r="D148" s="1943"/>
      <c r="E148" s="1991">
        <f>+E135+E142+E145</f>
        <v>8941323</v>
      </c>
      <c r="F148" s="1991">
        <f>+F135+F142+F145</f>
        <v>8754390</v>
      </c>
      <c r="G148" s="1991">
        <v>0</v>
      </c>
      <c r="H148" s="1991">
        <f>+H135+H142+H145</f>
        <v>8941323</v>
      </c>
      <c r="I148" s="1991">
        <v>0</v>
      </c>
      <c r="J148" s="1991">
        <f>+J135+J142+J145</f>
        <v>8754390</v>
      </c>
      <c r="K148" s="1991">
        <f>+K135+K142+K145</f>
        <v>0</v>
      </c>
      <c r="L148" s="1968">
        <f>+L135+L142+L145</f>
        <v>24608718</v>
      </c>
      <c r="M148" s="1968"/>
      <c r="N148" s="1983" t="s">
        <v>2091</v>
      </c>
      <c r="O148" s="1940"/>
      <c r="P148" s="1940"/>
      <c r="Q148" s="1940"/>
      <c r="R148" s="1940"/>
      <c r="S148" s="1940"/>
      <c r="T148" s="1940"/>
      <c r="U148" s="1940"/>
      <c r="V148" s="1940"/>
      <c r="W148" s="1940"/>
      <c r="X148" s="1940"/>
      <c r="Y148" s="1940"/>
      <c r="Z148" s="1940"/>
      <c r="AA148" s="1940"/>
    </row>
    <row r="149" spans="1:27" s="1996" customFormat="1" x14ac:dyDescent="0.2">
      <c r="A149" s="1976"/>
      <c r="B149" s="1976"/>
      <c r="C149" s="1977"/>
      <c r="D149" s="1977"/>
      <c r="E149" s="1987"/>
      <c r="F149" s="1979" t="s">
        <v>1169</v>
      </c>
      <c r="G149" s="1979"/>
      <c r="H149" s="1980"/>
      <c r="I149" s="1979"/>
      <c r="J149" s="1980"/>
      <c r="K149" s="1980"/>
      <c r="L149" s="1980"/>
      <c r="M149" s="1969"/>
      <c r="N149" s="1989"/>
      <c r="O149" s="1940"/>
      <c r="P149" s="1940"/>
      <c r="Q149" s="1940"/>
      <c r="R149" s="1940"/>
      <c r="S149" s="1940"/>
      <c r="T149" s="1940"/>
      <c r="U149" s="1940"/>
      <c r="V149" s="1940"/>
      <c r="W149" s="1940"/>
      <c r="X149" s="1940"/>
      <c r="Y149" s="1940"/>
      <c r="Z149" s="1940"/>
      <c r="AA149" s="1940"/>
    </row>
    <row r="150" spans="1:27" s="1996" customFormat="1" x14ac:dyDescent="0.2">
      <c r="A150" s="1941"/>
      <c r="B150" s="1941"/>
      <c r="C150" s="1943"/>
      <c r="D150" s="1943"/>
      <c r="E150" s="1968"/>
      <c r="F150" s="1968"/>
      <c r="G150" s="1968"/>
      <c r="H150" s="1969"/>
      <c r="I150" s="1968"/>
      <c r="J150" s="1969"/>
      <c r="K150" s="1969"/>
      <c r="L150" s="1969"/>
      <c r="M150" s="1969"/>
      <c r="N150" s="1983"/>
      <c r="O150" s="1940"/>
      <c r="P150" s="1940"/>
      <c r="Q150" s="1940"/>
      <c r="R150" s="1940"/>
      <c r="S150" s="1940"/>
      <c r="T150" s="1940"/>
      <c r="U150" s="1940"/>
      <c r="V150" s="1940"/>
      <c r="W150" s="1940"/>
      <c r="X150" s="1940"/>
      <c r="Y150" s="1940"/>
      <c r="Z150" s="1940"/>
      <c r="AA150" s="1940"/>
    </row>
    <row r="151" spans="1:27" s="1996" customFormat="1" x14ac:dyDescent="0.2">
      <c r="A151" s="1941" t="s">
        <v>2227</v>
      </c>
      <c r="B151" s="1941"/>
      <c r="C151" s="1943"/>
      <c r="D151" s="1943"/>
      <c r="E151" s="1968"/>
      <c r="F151" s="1968"/>
      <c r="G151" s="1968"/>
      <c r="H151" s="1969"/>
      <c r="I151" s="1968"/>
      <c r="J151" s="1969"/>
      <c r="K151" s="1969"/>
      <c r="L151" s="1969"/>
      <c r="M151" s="1969"/>
      <c r="N151" s="1983"/>
      <c r="O151" s="1940"/>
      <c r="P151" s="1940"/>
      <c r="Q151" s="1940"/>
      <c r="R151" s="1940"/>
      <c r="S151" s="1940"/>
      <c r="T151" s="1940"/>
      <c r="U151" s="1940"/>
      <c r="V151" s="1940"/>
      <c r="W151" s="1940"/>
      <c r="X151" s="1940"/>
      <c r="Y151" s="1940"/>
      <c r="Z151" s="1940"/>
      <c r="AA151" s="1940"/>
    </row>
    <row r="152" spans="1:27" s="1996" customFormat="1" x14ac:dyDescent="0.2">
      <c r="A152" s="1993" t="s">
        <v>2228</v>
      </c>
      <c r="B152" s="1941"/>
      <c r="C152" s="1943"/>
      <c r="D152" s="1943"/>
      <c r="E152" s="1968"/>
      <c r="F152" s="1968"/>
      <c r="G152" s="1968"/>
      <c r="H152" s="1969"/>
      <c r="I152" s="1968"/>
      <c r="J152" s="1969"/>
      <c r="K152" s="1969"/>
      <c r="L152" s="1969"/>
      <c r="M152" s="1969"/>
      <c r="N152" s="1983"/>
      <c r="O152" s="1940"/>
      <c r="P152" s="1940"/>
      <c r="Q152" s="1940"/>
      <c r="R152" s="1940"/>
      <c r="S152" s="1940"/>
      <c r="T152" s="1940"/>
      <c r="U152" s="1940"/>
      <c r="V152" s="1940"/>
      <c r="W152" s="1940"/>
      <c r="X152" s="1940"/>
      <c r="Y152" s="1940"/>
      <c r="Z152" s="1940"/>
      <c r="AA152" s="1940"/>
    </row>
    <row r="153" spans="1:27" s="1996" customFormat="1" x14ac:dyDescent="0.2">
      <c r="A153" s="1964" t="s">
        <v>2229</v>
      </c>
      <c r="B153" s="1943">
        <v>17.259</v>
      </c>
      <c r="C153" s="1943" t="s">
        <v>2230</v>
      </c>
      <c r="D153" s="1943"/>
      <c r="E153" s="1968">
        <v>0</v>
      </c>
      <c r="F153" s="1968">
        <v>166856</v>
      </c>
      <c r="G153" s="1968">
        <v>0</v>
      </c>
      <c r="H153" s="1968">
        <v>0</v>
      </c>
      <c r="I153" s="1968">
        <v>0</v>
      </c>
      <c r="J153" s="1968">
        <f>F153</f>
        <v>166856</v>
      </c>
      <c r="K153" s="1968">
        <v>0</v>
      </c>
      <c r="L153" s="1968">
        <f>H153+J153</f>
        <v>166856</v>
      </c>
      <c r="M153" s="1968"/>
      <c r="N153" s="1983">
        <v>0</v>
      </c>
      <c r="O153" s="1940"/>
      <c r="P153" s="1940"/>
      <c r="Q153" s="1940"/>
      <c r="R153" s="1940"/>
      <c r="S153" s="1940"/>
      <c r="T153" s="1940"/>
      <c r="U153" s="1940"/>
      <c r="V153" s="1940"/>
      <c r="W153" s="1940"/>
      <c r="X153" s="1940"/>
      <c r="Y153" s="1940"/>
      <c r="Z153" s="1940"/>
      <c r="AA153" s="1940"/>
    </row>
    <row r="154" spans="1:27" s="1996" customFormat="1" x14ac:dyDescent="0.2">
      <c r="A154" s="1964"/>
      <c r="B154" s="1943"/>
      <c r="C154" s="1943" t="s">
        <v>2231</v>
      </c>
      <c r="D154" s="1943"/>
      <c r="E154" s="1978">
        <v>153498</v>
      </c>
      <c r="F154" s="1978">
        <v>0</v>
      </c>
      <c r="G154" s="1978">
        <v>0</v>
      </c>
      <c r="H154" s="1978">
        <v>153498</v>
      </c>
      <c r="I154" s="1978">
        <v>0</v>
      </c>
      <c r="J154" s="1978">
        <v>0</v>
      </c>
      <c r="K154" s="1978"/>
      <c r="L154" s="1978">
        <f>H154+J154</f>
        <v>153498</v>
      </c>
      <c r="M154" s="1968"/>
      <c r="N154" s="1989">
        <v>232346</v>
      </c>
      <c r="O154" s="1940"/>
      <c r="P154" s="1940"/>
      <c r="Q154" s="1940"/>
      <c r="R154" s="1940"/>
      <c r="S154" s="1940"/>
      <c r="T154" s="1940"/>
      <c r="U154" s="1940"/>
      <c r="V154" s="1940"/>
      <c r="W154" s="1940"/>
      <c r="X154" s="1940"/>
      <c r="Y154" s="1940"/>
      <c r="Z154" s="1940"/>
      <c r="AA154" s="1940"/>
    </row>
    <row r="155" spans="1:27" s="1996" customFormat="1" x14ac:dyDescent="0.2">
      <c r="A155" s="1941"/>
      <c r="B155" s="1943"/>
      <c r="C155" s="1943"/>
      <c r="D155" s="1943"/>
      <c r="E155" s="1969"/>
      <c r="F155" s="1969"/>
      <c r="G155" s="1969"/>
      <c r="H155" s="1969"/>
      <c r="I155" s="1969"/>
      <c r="J155" s="1969"/>
      <c r="K155" s="1969"/>
      <c r="L155" s="1969"/>
      <c r="M155" s="1969"/>
      <c r="N155" s="1969"/>
      <c r="O155" s="1940"/>
      <c r="P155" s="1940"/>
      <c r="Q155" s="1940"/>
      <c r="R155" s="1940"/>
      <c r="S155" s="1940"/>
      <c r="T155" s="1940"/>
      <c r="U155" s="1940"/>
      <c r="V155" s="1940"/>
      <c r="W155" s="1940"/>
      <c r="X155" s="1940"/>
      <c r="Y155" s="1940"/>
      <c r="Z155" s="1940"/>
      <c r="AA155" s="1940"/>
    </row>
    <row r="156" spans="1:27" s="1996" customFormat="1" x14ac:dyDescent="0.2">
      <c r="A156" s="1990" t="s">
        <v>2232</v>
      </c>
      <c r="B156" s="1943"/>
      <c r="C156" s="1994"/>
      <c r="D156" s="1994"/>
      <c r="E156" s="1991">
        <f>SUM(E153:E154)</f>
        <v>153498</v>
      </c>
      <c r="F156" s="1991">
        <f>SUM(F153:F154)</f>
        <v>166856</v>
      </c>
      <c r="G156" s="1991">
        <v>0</v>
      </c>
      <c r="H156" s="1991">
        <f>SUM(H153:H154)</f>
        <v>153498</v>
      </c>
      <c r="I156" s="1991">
        <v>0</v>
      </c>
      <c r="J156" s="1968">
        <f>SUM(J153:J154)</f>
        <v>166856</v>
      </c>
      <c r="K156" s="1968">
        <f>SUM(K153:K154)</f>
        <v>0</v>
      </c>
      <c r="L156" s="1968">
        <f>SUM(L153:L154)</f>
        <v>320354</v>
      </c>
      <c r="M156" s="1968"/>
      <c r="N156" s="1968">
        <f>SUM(N153:N154)</f>
        <v>232346</v>
      </c>
      <c r="O156" s="1940"/>
      <c r="P156" s="1940"/>
      <c r="Q156" s="1940"/>
      <c r="R156" s="1940"/>
      <c r="S156" s="1940"/>
      <c r="T156" s="1940"/>
      <c r="U156" s="1940"/>
      <c r="V156" s="1940"/>
      <c r="W156" s="1940"/>
      <c r="X156" s="1940"/>
      <c r="Y156" s="1940"/>
      <c r="Z156" s="1940"/>
      <c r="AA156" s="1940"/>
    </row>
    <row r="157" spans="1:27" s="1996" customFormat="1" x14ac:dyDescent="0.2">
      <c r="A157" s="1945"/>
      <c r="B157" s="1953"/>
      <c r="C157" s="1953"/>
      <c r="D157" s="1943"/>
      <c r="E157" s="1978"/>
      <c r="F157" s="1987" t="s">
        <v>1169</v>
      </c>
      <c r="G157" s="1987"/>
      <c r="H157" s="1980"/>
      <c r="I157" s="1987"/>
      <c r="J157" s="1980"/>
      <c r="K157" s="1980"/>
      <c r="L157" s="1980"/>
      <c r="M157" s="1969"/>
      <c r="N157" s="1992"/>
      <c r="O157" s="1940"/>
      <c r="P157" s="1940"/>
      <c r="Q157" s="1940"/>
      <c r="R157" s="1940"/>
      <c r="S157" s="1940"/>
      <c r="T157" s="1940"/>
      <c r="U157" s="1940"/>
      <c r="V157" s="1940"/>
      <c r="W157" s="1940"/>
      <c r="X157" s="1940"/>
      <c r="Y157" s="1940"/>
      <c r="Z157" s="1940"/>
      <c r="AA157" s="1940"/>
    </row>
    <row r="158" spans="1:27" s="1996" customFormat="1" x14ac:dyDescent="0.2">
      <c r="A158" s="1941"/>
      <c r="B158" s="1941"/>
      <c r="C158" s="1943"/>
      <c r="D158" s="1943"/>
      <c r="E158" s="1968"/>
      <c r="F158" s="1968"/>
      <c r="G158" s="1968"/>
      <c r="H158" s="1969"/>
      <c r="I158" s="1968"/>
      <c r="J158" s="1969"/>
      <c r="K158" s="1969"/>
      <c r="L158" s="1969"/>
      <c r="M158" s="1969"/>
      <c r="N158" s="1983"/>
      <c r="O158" s="1940"/>
      <c r="P158" s="1940"/>
      <c r="Q158" s="1940"/>
      <c r="R158" s="1940"/>
      <c r="S158" s="1940"/>
      <c r="T158" s="1940"/>
      <c r="U158" s="1940"/>
      <c r="V158" s="1940"/>
      <c r="W158" s="1940"/>
      <c r="X158" s="1940"/>
      <c r="Y158" s="1940"/>
      <c r="Z158" s="1940"/>
      <c r="AA158" s="1940"/>
    </row>
    <row r="159" spans="1:27" s="2002" customFormat="1" ht="13.5" thickBot="1" x14ac:dyDescent="0.25">
      <c r="A159" s="1990" t="s">
        <v>2233</v>
      </c>
      <c r="B159" s="2003"/>
      <c r="C159" s="1948"/>
      <c r="D159" s="1948"/>
      <c r="E159" s="2004">
        <f>SUM(E98,E106,E148,E156)</f>
        <v>24375539</v>
      </c>
      <c r="F159" s="2004">
        <f>SUM(F98,F106,F148,F156)</f>
        <v>26408070</v>
      </c>
      <c r="G159" s="2004">
        <v>0</v>
      </c>
      <c r="H159" s="2004">
        <f>SUM(H98,H106,H148,H156)</f>
        <v>24359306</v>
      </c>
      <c r="I159" s="2004">
        <v>0</v>
      </c>
      <c r="J159" s="2004">
        <f>SUM(J98,J106,J148,J156)</f>
        <v>26458982.416666668</v>
      </c>
      <c r="K159" s="2004">
        <f>SUM(K98,K106,K148,K156)</f>
        <v>0</v>
      </c>
      <c r="L159" s="2004">
        <f>SUM(L98,L106,L148,L156)</f>
        <v>71769438.416666657</v>
      </c>
      <c r="M159" s="1991"/>
      <c r="N159" s="2005" t="s">
        <v>2091</v>
      </c>
    </row>
    <row r="160" spans="1:27" ht="13.5" thickTop="1" x14ac:dyDescent="0.2">
      <c r="C160" s="1943"/>
      <c r="D160" s="1943"/>
      <c r="E160" s="1968"/>
      <c r="F160" s="2006" t="s">
        <v>1169</v>
      </c>
      <c r="G160" s="2006"/>
      <c r="H160" s="1968"/>
      <c r="I160" s="2006"/>
      <c r="J160" s="1968"/>
      <c r="K160" s="1968"/>
      <c r="L160" s="1968" t="s">
        <v>1169</v>
      </c>
      <c r="M160" s="1968"/>
      <c r="N160" s="1968"/>
    </row>
    <row r="161" spans="1:14" x14ac:dyDescent="0.2">
      <c r="A161" s="1941" t="s">
        <v>2234</v>
      </c>
      <c r="E161" s="1968" t="s">
        <v>1169</v>
      </c>
      <c r="F161" s="1968"/>
      <c r="G161" s="1968"/>
      <c r="H161" s="1968"/>
      <c r="I161" s="1968"/>
      <c r="J161" s="1968"/>
      <c r="K161" s="1968" t="s">
        <v>1169</v>
      </c>
      <c r="L161" s="1968"/>
      <c r="M161" s="1968"/>
      <c r="N161" s="1968" t="s">
        <v>1169</v>
      </c>
    </row>
    <row r="162" spans="1:14" x14ac:dyDescent="0.2">
      <c r="A162" s="1941" t="s">
        <v>2235</v>
      </c>
      <c r="E162" s="1968"/>
      <c r="F162" s="1968"/>
      <c r="G162" s="1968"/>
      <c r="H162" s="1968"/>
      <c r="I162" s="1968"/>
      <c r="J162" s="1969"/>
      <c r="K162" s="1968"/>
      <c r="L162" s="1968"/>
      <c r="M162" s="1968"/>
      <c r="N162" s="1968"/>
    </row>
    <row r="163" spans="1:14" x14ac:dyDescent="0.2">
      <c r="C163" s="1941" t="s">
        <v>1169</v>
      </c>
      <c r="E163" s="1968"/>
      <c r="F163" s="1968"/>
      <c r="G163" s="1968"/>
      <c r="H163" s="1968"/>
      <c r="I163" s="1968"/>
      <c r="J163" s="1969"/>
      <c r="K163" s="1968"/>
      <c r="L163" s="1968"/>
      <c r="M163" s="1968"/>
      <c r="N163" s="1968"/>
    </row>
    <row r="164" spans="1:14" x14ac:dyDescent="0.2">
      <c r="A164" s="1941" t="s">
        <v>2236</v>
      </c>
      <c r="E164" s="1968"/>
      <c r="F164" s="1968"/>
      <c r="G164" s="1968"/>
      <c r="H164" s="1968" t="s">
        <v>1169</v>
      </c>
      <c r="I164" s="1968"/>
      <c r="J164" s="1968"/>
      <c r="K164" s="1968"/>
      <c r="L164" s="1968"/>
      <c r="M164" s="1968"/>
      <c r="N164" s="1968"/>
    </row>
    <row r="165" spans="1:14" x14ac:dyDescent="0.2">
      <c r="C165" s="2007"/>
      <c r="D165" s="2007"/>
      <c r="E165" s="2007"/>
      <c r="H165" s="1968"/>
      <c r="I165" s="1968"/>
      <c r="J165" s="1968"/>
      <c r="K165" s="1968"/>
      <c r="L165" s="1968"/>
      <c r="M165" s="1968"/>
      <c r="N165" s="1968"/>
    </row>
    <row r="166" spans="1:14" s="1941" customFormat="1" x14ac:dyDescent="0.2">
      <c r="C166" s="2008"/>
      <c r="D166" s="2008"/>
      <c r="E166" s="1968"/>
      <c r="F166" s="1968"/>
      <c r="G166" s="1968"/>
      <c r="H166" s="1968"/>
      <c r="I166" s="1968"/>
      <c r="J166" s="1968"/>
      <c r="K166" s="1968"/>
      <c r="L166" s="1968"/>
      <c r="M166" s="1968"/>
      <c r="N166" s="1968"/>
    </row>
    <row r="167" spans="1:14" s="1941" customFormat="1" x14ac:dyDescent="0.2">
      <c r="E167" s="1968"/>
      <c r="F167" s="1968"/>
      <c r="G167" s="1968"/>
      <c r="J167" s="1968"/>
      <c r="K167" s="1968"/>
      <c r="L167" s="1968"/>
      <c r="M167" s="1968"/>
      <c r="N167" s="1968"/>
    </row>
    <row r="168" spans="1:14" x14ac:dyDescent="0.2">
      <c r="E168" s="1968"/>
      <c r="F168" s="1968"/>
      <c r="G168" s="1968"/>
      <c r="H168" s="1968"/>
      <c r="I168" s="1968"/>
      <c r="J168" s="1968"/>
      <c r="K168" s="1968"/>
      <c r="L168" s="1968"/>
      <c r="M168" s="1968"/>
      <c r="N168" s="1968"/>
    </row>
    <row r="171" spans="1:14" x14ac:dyDescent="0.2">
      <c r="H171" s="1941" t="s">
        <v>1169</v>
      </c>
    </row>
    <row r="174" spans="1:14" s="1941" customFormat="1" x14ac:dyDescent="0.2">
      <c r="E174" s="2008"/>
      <c r="F174" s="2008"/>
      <c r="G174" s="2008"/>
    </row>
    <row r="194" spans="5:7" s="1941" customFormat="1" x14ac:dyDescent="0.2">
      <c r="E194" s="2008"/>
      <c r="F194" s="2008"/>
      <c r="G194" s="2008"/>
    </row>
    <row r="197" spans="5:7" s="1941" customFormat="1" x14ac:dyDescent="0.2">
      <c r="E197" s="2008"/>
      <c r="F197" s="2008"/>
      <c r="G197" s="2008"/>
    </row>
  </sheetData>
  <mergeCells count="2">
    <mergeCell ref="E12:F12"/>
    <mergeCell ref="H12:J12"/>
  </mergeCells>
  <pageMargins left="1" right="1" top="0.75" bottom="0.5" header="0.3" footer="0.3"/>
  <pageSetup scale="24" orientation="landscape" horizontalDpi="1200" verticalDpi="120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81" colorId="8" zoomScale="110" zoomScaleNormal="110" workbookViewId="0">
      <selection activeCell="H90" sqref="H9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25" t="s">
        <v>1168</v>
      </c>
      <c r="B2" s="2125"/>
      <c r="C2" s="2125"/>
      <c r="D2" s="2125"/>
      <c r="E2" s="2125"/>
      <c r="F2" s="2125"/>
      <c r="G2" s="2125"/>
      <c r="H2" s="2125"/>
      <c r="I2" s="2125"/>
      <c r="J2" s="212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39" t="s">
        <v>1633</v>
      </c>
      <c r="B35" s="2140"/>
      <c r="C35" s="2140"/>
      <c r="D35" s="2140"/>
      <c r="E35" s="2141"/>
      <c r="F35" s="2141"/>
      <c r="G35" s="2141"/>
      <c r="H35" s="2141"/>
      <c r="I35" s="214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39" t="s">
        <v>313</v>
      </c>
      <c r="B47" s="2142"/>
      <c r="C47" s="2142"/>
      <c r="D47" s="2142"/>
      <c r="E47" s="2143"/>
      <c r="F47" s="2143"/>
      <c r="G47" s="2143"/>
      <c r="H47" s="2143"/>
      <c r="I47" s="214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2062</v>
      </c>
      <c r="C53" s="179">
        <v>22</v>
      </c>
      <c r="D53" s="247" t="s">
        <v>1462</v>
      </c>
      <c r="E53" s="248"/>
      <c r="F53" s="249"/>
      <c r="G53" s="249" t="s">
        <v>1461</v>
      </c>
      <c r="H53" s="250">
        <v>35374</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46"/>
      <c r="C57" s="2147"/>
      <c r="D57" s="2147"/>
      <c r="E57" s="2147"/>
      <c r="F57" s="2147"/>
      <c r="G57" s="2147"/>
      <c r="H57" s="2147"/>
      <c r="I57" s="2147"/>
      <c r="J57" s="2148"/>
    </row>
    <row r="58" spans="1:10" s="181" customFormat="1" x14ac:dyDescent="0.2">
      <c r="A58" s="253"/>
      <c r="B58" s="2149"/>
      <c r="C58" s="2150"/>
      <c r="D58" s="2150"/>
      <c r="E58" s="2150"/>
      <c r="F58" s="2150"/>
      <c r="G58" s="2150"/>
      <c r="H58" s="2150"/>
      <c r="I58" s="2150"/>
      <c r="J58" s="2151"/>
    </row>
    <row r="59" spans="1:10" s="181" customFormat="1" x14ac:dyDescent="0.2">
      <c r="A59" s="253"/>
      <c r="B59" s="2149"/>
      <c r="C59" s="2150"/>
      <c r="D59" s="2150"/>
      <c r="E59" s="2150"/>
      <c r="F59" s="2150"/>
      <c r="G59" s="2150"/>
      <c r="H59" s="2150"/>
      <c r="I59" s="2150"/>
      <c r="J59" s="2151"/>
    </row>
    <row r="60" spans="1:10" s="181" customFormat="1" x14ac:dyDescent="0.2">
      <c r="A60" s="253"/>
      <c r="B60" s="2149"/>
      <c r="C60" s="2150"/>
      <c r="D60" s="2150"/>
      <c r="E60" s="2150"/>
      <c r="F60" s="2150"/>
      <c r="G60" s="2150"/>
      <c r="H60" s="2150"/>
      <c r="I60" s="2150"/>
      <c r="J60" s="2151"/>
    </row>
    <row r="61" spans="1:10" s="181" customFormat="1" x14ac:dyDescent="0.2">
      <c r="A61" s="253"/>
      <c r="B61" s="2149"/>
      <c r="C61" s="2150"/>
      <c r="D61" s="2150"/>
      <c r="E61" s="2150"/>
      <c r="F61" s="2150"/>
      <c r="G61" s="2150"/>
      <c r="H61" s="2150"/>
      <c r="I61" s="2150"/>
      <c r="J61" s="2151"/>
    </row>
    <row r="62" spans="1:10" s="181" customFormat="1" x14ac:dyDescent="0.2">
      <c r="A62" s="253"/>
      <c r="B62" s="2149"/>
      <c r="C62" s="2150"/>
      <c r="D62" s="2150"/>
      <c r="E62" s="2150"/>
      <c r="F62" s="2150"/>
      <c r="G62" s="2150"/>
      <c r="H62" s="2150"/>
      <c r="I62" s="2150"/>
      <c r="J62" s="2151"/>
    </row>
    <row r="63" spans="1:10" s="181" customFormat="1" x14ac:dyDescent="0.2">
      <c r="A63" s="253"/>
      <c r="B63" s="2149"/>
      <c r="C63" s="2150"/>
      <c r="D63" s="2150"/>
      <c r="E63" s="2150"/>
      <c r="F63" s="2150"/>
      <c r="G63" s="2150"/>
      <c r="H63" s="2150"/>
      <c r="I63" s="2150"/>
      <c r="J63" s="2151"/>
    </row>
    <row r="64" spans="1:10" s="181" customFormat="1" x14ac:dyDescent="0.2">
      <c r="A64" s="253"/>
      <c r="B64" s="2149"/>
      <c r="C64" s="2150"/>
      <c r="D64" s="2150"/>
      <c r="E64" s="2150"/>
      <c r="F64" s="2150"/>
      <c r="G64" s="2150"/>
      <c r="H64" s="2150"/>
      <c r="I64" s="2150"/>
      <c r="J64" s="2151"/>
    </row>
    <row r="65" spans="1:10" s="181" customFormat="1" x14ac:dyDescent="0.2">
      <c r="A65" s="253"/>
      <c r="B65" s="2149"/>
      <c r="C65" s="2150"/>
      <c r="D65" s="2150"/>
      <c r="E65" s="2150"/>
      <c r="F65" s="2150"/>
      <c r="G65" s="2150"/>
      <c r="H65" s="2150"/>
      <c r="I65" s="2150"/>
      <c r="J65" s="2151"/>
    </row>
    <row r="66" spans="1:10" s="181" customFormat="1" x14ac:dyDescent="0.2">
      <c r="A66" s="253"/>
      <c r="B66" s="2149"/>
      <c r="C66" s="2150"/>
      <c r="D66" s="2150"/>
      <c r="E66" s="2150"/>
      <c r="F66" s="2150"/>
      <c r="G66" s="2150"/>
      <c r="H66" s="2150"/>
      <c r="I66" s="2150"/>
      <c r="J66" s="2151"/>
    </row>
    <row r="67" spans="1:10" s="181" customFormat="1" ht="9" customHeight="1" x14ac:dyDescent="0.2">
      <c r="A67" s="254"/>
      <c r="B67" s="2152"/>
      <c r="C67" s="2153"/>
      <c r="D67" s="2153"/>
      <c r="E67" s="2153"/>
      <c r="F67" s="2153"/>
      <c r="G67" s="2153"/>
      <c r="H67" s="2153"/>
      <c r="I67" s="2153"/>
      <c r="J67" s="215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39" t="s">
        <v>1323</v>
      </c>
      <c r="B70" s="2142"/>
      <c r="C70" s="2142"/>
      <c r="D70" s="2142"/>
      <c r="E70" s="2143"/>
      <c r="F70" s="2143"/>
      <c r="G70" s="2143"/>
      <c r="H70" s="2143"/>
      <c r="I70" s="214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8"/>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44" t="s">
        <v>1320</v>
      </c>
      <c r="B83" s="2144"/>
      <c r="C83" s="2144"/>
      <c r="D83" s="214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v>0</v>
      </c>
      <c r="F88" s="276">
        <v>766480</v>
      </c>
      <c r="G88" s="276">
        <v>758891</v>
      </c>
      <c r="H88" s="276">
        <v>78777</v>
      </c>
      <c r="I88" s="276">
        <v>0</v>
      </c>
      <c r="J88" s="277">
        <f>SUM(E88:I88)</f>
        <v>1604148</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1604148</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26"/>
      <c r="C102" s="2127"/>
      <c r="D102" s="2127"/>
      <c r="E102" s="2127"/>
      <c r="F102" s="2127"/>
      <c r="G102" s="2127"/>
      <c r="H102" s="2127"/>
      <c r="I102" s="2128"/>
    </row>
    <row r="103" spans="1:9" s="181" customFormat="1" ht="11.25" customHeight="1" x14ac:dyDescent="0.2">
      <c r="A103" s="316"/>
      <c r="B103" s="2129"/>
      <c r="C103" s="2130"/>
      <c r="D103" s="2130"/>
      <c r="E103" s="2130"/>
      <c r="F103" s="2130"/>
      <c r="G103" s="2130"/>
      <c r="H103" s="2130"/>
      <c r="I103" s="2131"/>
    </row>
    <row r="104" spans="1:9" s="181" customFormat="1" ht="11.25" customHeight="1" x14ac:dyDescent="0.2">
      <c r="A104" s="316"/>
      <c r="B104" s="2129"/>
      <c r="C104" s="2130"/>
      <c r="D104" s="2130"/>
      <c r="E104" s="2130"/>
      <c r="F104" s="2130"/>
      <c r="G104" s="2130"/>
      <c r="H104" s="2130"/>
      <c r="I104" s="2131"/>
    </row>
    <row r="105" spans="1:9" s="181" customFormat="1" x14ac:dyDescent="0.2">
      <c r="A105" s="316"/>
      <c r="B105" s="2129"/>
      <c r="C105" s="2130"/>
      <c r="D105" s="2130"/>
      <c r="E105" s="2130"/>
      <c r="F105" s="2130"/>
      <c r="G105" s="2130"/>
      <c r="H105" s="2130"/>
      <c r="I105" s="2131"/>
    </row>
    <row r="106" spans="1:9" s="181" customFormat="1" ht="11.25" customHeight="1" x14ac:dyDescent="0.2">
      <c r="A106" s="316"/>
      <c r="B106" s="2129"/>
      <c r="C106" s="2130"/>
      <c r="D106" s="2130"/>
      <c r="E106" s="2130"/>
      <c r="F106" s="2130"/>
      <c r="G106" s="2130"/>
      <c r="H106" s="2130"/>
      <c r="I106" s="2131"/>
    </row>
    <row r="107" spans="1:9" s="181" customFormat="1" ht="11.25" customHeight="1" x14ac:dyDescent="0.2">
      <c r="A107" s="316"/>
      <c r="B107" s="2129"/>
      <c r="C107" s="2130"/>
      <c r="D107" s="2130"/>
      <c r="E107" s="2130"/>
      <c r="F107" s="2130"/>
      <c r="G107" s="2130"/>
      <c r="H107" s="2130"/>
      <c r="I107" s="2131"/>
    </row>
    <row r="108" spans="1:9" s="181" customFormat="1" ht="11.25" customHeight="1" x14ac:dyDescent="0.2">
      <c r="A108" s="316"/>
      <c r="B108" s="2129"/>
      <c r="C108" s="2130"/>
      <c r="D108" s="2130"/>
      <c r="E108" s="2130"/>
      <c r="F108" s="2130"/>
      <c r="G108" s="2130"/>
      <c r="H108" s="2130"/>
      <c r="I108" s="2131"/>
    </row>
    <row r="109" spans="1:9" s="181" customFormat="1" ht="11.25" customHeight="1" x14ac:dyDescent="0.2">
      <c r="A109" s="316"/>
      <c r="B109" s="2129"/>
      <c r="C109" s="2130"/>
      <c r="D109" s="2130"/>
      <c r="E109" s="2130"/>
      <c r="F109" s="2130"/>
      <c r="G109" s="2130"/>
      <c r="H109" s="2130"/>
      <c r="I109" s="2131"/>
    </row>
    <row r="110" spans="1:9" s="181" customFormat="1" ht="11.25" customHeight="1" x14ac:dyDescent="0.2">
      <c r="A110" s="316"/>
      <c r="B110" s="2129"/>
      <c r="C110" s="2130"/>
      <c r="D110" s="2130"/>
      <c r="E110" s="2130"/>
      <c r="F110" s="2130"/>
      <c r="G110" s="2130"/>
      <c r="H110" s="2130"/>
      <c r="I110" s="2131"/>
    </row>
    <row r="111" spans="1:9" s="181" customFormat="1" ht="11.25" customHeight="1" x14ac:dyDescent="0.2">
      <c r="A111" s="316"/>
      <c r="B111" s="2129"/>
      <c r="C111" s="2130"/>
      <c r="D111" s="2130"/>
      <c r="E111" s="2130"/>
      <c r="F111" s="2130"/>
      <c r="G111" s="2130"/>
      <c r="H111" s="2130"/>
      <c r="I111" s="2131"/>
    </row>
    <row r="112" spans="1:9" s="181" customFormat="1" ht="11.25" customHeight="1" x14ac:dyDescent="0.2">
      <c r="A112" s="316"/>
      <c r="B112" s="2132"/>
      <c r="C112" s="2133"/>
      <c r="D112" s="2133"/>
      <c r="E112" s="2133"/>
      <c r="F112" s="2133"/>
      <c r="G112" s="2133"/>
      <c r="H112" s="2133"/>
      <c r="I112" s="213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35" t="s">
        <v>2072</v>
      </c>
      <c r="D114" s="213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36" t="s">
        <v>1330</v>
      </c>
      <c r="D117" s="2137"/>
      <c r="E117" s="2138"/>
      <c r="F117" s="2138"/>
      <c r="G117" s="2138"/>
      <c r="H117" s="2138"/>
      <c r="I117" s="304"/>
    </row>
    <row r="118" spans="1:9" s="181" customFormat="1" ht="24" customHeight="1" x14ac:dyDescent="0.2">
      <c r="A118" s="316"/>
      <c r="B118" s="316"/>
      <c r="C118" s="316"/>
      <c r="D118" s="323" t="s">
        <v>2273</v>
      </c>
      <c r="E118" s="322"/>
      <c r="F118" s="324"/>
      <c r="G118" s="1840"/>
      <c r="H118" s="322"/>
      <c r="I118" s="304"/>
    </row>
    <row r="119" spans="1:9" s="181" customFormat="1" ht="11.25" customHeight="1" x14ac:dyDescent="0.2">
      <c r="A119" s="325"/>
      <c r="B119" s="325"/>
      <c r="C119" s="326"/>
      <c r="D119" s="327" t="s">
        <v>361</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G52"/>
  <sheetViews>
    <sheetView showGridLines="0" zoomScale="120" zoomScaleNormal="120" workbookViewId="0">
      <selection activeCell="I12" sqref="I1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510" t="str">
        <f>'Single Audit Cover'!A7</f>
        <v>Springfield SD 186</v>
      </c>
      <c r="B1" s="2510"/>
      <c r="C1" s="2510"/>
      <c r="D1" s="2510"/>
      <c r="E1" s="2510"/>
      <c r="F1" s="2510"/>
    </row>
    <row r="2" spans="1:7" ht="13.5" customHeight="1" x14ac:dyDescent="0.2">
      <c r="A2" s="2505">
        <f>'Single Audit Cover'!E7</f>
        <v>51084186025</v>
      </c>
      <c r="B2" s="2505"/>
      <c r="C2" s="2505"/>
      <c r="D2" s="2505"/>
      <c r="E2" s="2505"/>
      <c r="F2" s="2505"/>
      <c r="G2" s="1272"/>
    </row>
    <row r="3" spans="1:7" ht="15.75" customHeight="1" x14ac:dyDescent="0.2">
      <c r="A3" s="2511" t="s">
        <v>1271</v>
      </c>
      <c r="B3" s="2511"/>
      <c r="C3" s="2511"/>
      <c r="D3" s="2511"/>
      <c r="E3" s="2511"/>
      <c r="F3" s="2511"/>
    </row>
    <row r="4" spans="1:7" ht="13.5" customHeight="1" x14ac:dyDescent="0.2">
      <c r="A4" s="2512" t="str">
        <f>'Single Audit Cover'!A4</f>
        <v>Year Ending June 30, 2019</v>
      </c>
      <c r="B4" s="2512"/>
      <c r="C4" s="2512"/>
      <c r="D4" s="2512"/>
      <c r="E4" s="2512"/>
      <c r="F4" s="2512"/>
    </row>
    <row r="5" spans="1:7" ht="8.25" customHeight="1" x14ac:dyDescent="0.2">
      <c r="C5" s="317"/>
      <c r="D5" s="317"/>
    </row>
    <row r="6" spans="1:7" ht="13.5" customHeight="1" x14ac:dyDescent="0.2">
      <c r="A6" s="1273" t="s">
        <v>1728</v>
      </c>
      <c r="C6" s="317"/>
      <c r="D6" s="317"/>
    </row>
    <row r="7" spans="1:7" ht="60.95" customHeight="1" x14ac:dyDescent="0.2">
      <c r="A7" s="2509" t="s">
        <v>2089</v>
      </c>
      <c r="B7" s="2509"/>
      <c r="C7" s="2509"/>
      <c r="D7" s="2509"/>
      <c r="E7" s="2509"/>
      <c r="F7" s="2509"/>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2062</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509" t="s">
        <v>2090</v>
      </c>
      <c r="B13" s="2509"/>
      <c r="C13" s="2509"/>
      <c r="D13" s="2509"/>
      <c r="E13" s="2509"/>
      <c r="F13" s="2509"/>
    </row>
    <row r="14" spans="1:7" ht="9.75" customHeight="1" x14ac:dyDescent="0.2">
      <c r="C14" s="1257"/>
      <c r="D14" s="1257"/>
    </row>
    <row r="15" spans="1:7" ht="13.5" customHeight="1" x14ac:dyDescent="0.2">
      <c r="C15" s="1846" t="s">
        <v>1270</v>
      </c>
      <c r="D15" s="2514" t="s">
        <v>1269</v>
      </c>
      <c r="E15" s="2514"/>
      <c r="F15" s="2514"/>
    </row>
    <row r="16" spans="1:7" ht="13.5" customHeight="1" x14ac:dyDescent="0.2">
      <c r="A16" s="1279"/>
      <c r="B16" s="1273" t="s">
        <v>1268</v>
      </c>
      <c r="C16" s="1846" t="s">
        <v>1267</v>
      </c>
      <c r="D16" s="2515" t="s">
        <v>1588</v>
      </c>
      <c r="E16" s="2515"/>
      <c r="F16" s="2515"/>
    </row>
    <row r="17" spans="1:6" ht="20.45" customHeight="1" x14ac:dyDescent="0.2">
      <c r="A17" s="1280"/>
      <c r="B17" s="1281" t="s">
        <v>2091</v>
      </c>
      <c r="C17" s="1282"/>
      <c r="D17" s="2513"/>
      <c r="E17" s="2513"/>
      <c r="F17" s="2513"/>
    </row>
    <row r="18" spans="1:6" ht="20.65" customHeight="1" x14ac:dyDescent="0.2">
      <c r="A18" s="1280"/>
      <c r="B18" s="1281"/>
      <c r="C18" s="1282"/>
      <c r="D18" s="2513"/>
      <c r="E18" s="2513"/>
      <c r="F18" s="2513"/>
    </row>
    <row r="19" spans="1:6" ht="20.65" customHeight="1" x14ac:dyDescent="0.2">
      <c r="A19" s="1280"/>
      <c r="B19" s="1281"/>
      <c r="C19" s="1282"/>
      <c r="D19" s="2513"/>
      <c r="E19" s="2513"/>
      <c r="F19" s="2513"/>
    </row>
    <row r="20" spans="1:6" ht="20.65" customHeight="1" x14ac:dyDescent="0.2">
      <c r="A20" s="1280"/>
      <c r="B20" s="1281"/>
      <c r="C20" s="1282"/>
      <c r="D20" s="2513"/>
      <c r="E20" s="2513"/>
      <c r="F20" s="2513"/>
    </row>
    <row r="21" spans="1:6" ht="20.65" customHeight="1" x14ac:dyDescent="0.2">
      <c r="A21" s="1280"/>
      <c r="B21" s="1281"/>
      <c r="C21" s="1282"/>
      <c r="D21" s="2513"/>
      <c r="E21" s="2513"/>
      <c r="F21" s="2513"/>
    </row>
    <row r="22" spans="1:6" ht="20.65" customHeight="1" x14ac:dyDescent="0.2">
      <c r="A22" s="1280"/>
      <c r="B22" s="1281"/>
      <c r="C22" s="1282"/>
      <c r="D22" s="2513"/>
      <c r="E22" s="2513"/>
      <c r="F22" s="2513"/>
    </row>
    <row r="23" spans="1:6" ht="20.65" customHeight="1" x14ac:dyDescent="0.2">
      <c r="A23" s="1280"/>
      <c r="B23" s="1281"/>
      <c r="C23" s="1282"/>
      <c r="D23" s="2513"/>
      <c r="E23" s="2513"/>
      <c r="F23" s="2513"/>
    </row>
    <row r="24" spans="1:6" ht="20.65" customHeight="1" x14ac:dyDescent="0.2">
      <c r="A24" s="1280"/>
      <c r="B24" s="1281"/>
      <c r="C24" s="1282"/>
      <c r="D24" s="2513"/>
      <c r="E24" s="2513"/>
      <c r="F24" s="2513"/>
    </row>
    <row r="25" spans="1:6" ht="20.65" customHeight="1" x14ac:dyDescent="0.2">
      <c r="A25" s="1280"/>
      <c r="B25" s="1281"/>
      <c r="C25" s="1282"/>
      <c r="D25" s="2513"/>
      <c r="E25" s="2513"/>
      <c r="F25" s="2513"/>
    </row>
    <row r="26" spans="1:6" ht="20.65" customHeight="1" x14ac:dyDescent="0.2">
      <c r="A26" s="1280"/>
      <c r="B26" s="1281"/>
      <c r="C26" s="1282"/>
      <c r="D26" s="2513"/>
      <c r="E26" s="2513"/>
      <c r="F26" s="2513"/>
    </row>
    <row r="27" spans="1:6" ht="20.65" customHeight="1" x14ac:dyDescent="0.2">
      <c r="A27" s="1280"/>
      <c r="B27" s="1281"/>
      <c r="C27" s="1282"/>
      <c r="D27" s="2513"/>
      <c r="E27" s="2513"/>
      <c r="F27" s="2513"/>
    </row>
    <row r="28" spans="1:6" ht="20.65" customHeight="1" x14ac:dyDescent="0.2">
      <c r="A28" s="1280"/>
      <c r="B28" s="1281"/>
      <c r="C28" s="1282"/>
      <c r="D28" s="2513"/>
      <c r="E28" s="2513"/>
      <c r="F28" s="2513"/>
    </row>
    <row r="29" spans="1:6" ht="20.65" customHeight="1" x14ac:dyDescent="0.2">
      <c r="A29" s="1280"/>
      <c r="B29" s="1281"/>
      <c r="C29" s="1282"/>
      <c r="D29" s="2513"/>
      <c r="E29" s="2513"/>
      <c r="F29" s="2513"/>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517" t="s">
        <v>2104</v>
      </c>
      <c r="B32" s="2517"/>
      <c r="C32" s="2517"/>
      <c r="D32" s="2517"/>
      <c r="E32" s="2517"/>
      <c r="F32" s="2517"/>
    </row>
    <row r="33" spans="1:6" ht="13.5" customHeight="1" x14ac:dyDescent="0.2">
      <c r="A33" s="328" t="s">
        <v>1434</v>
      </c>
      <c r="B33" s="328"/>
      <c r="C33" s="1285">
        <v>672343</v>
      </c>
      <c r="D33" s="1903"/>
      <c r="E33" s="1283"/>
    </row>
    <row r="34" spans="1:6" ht="13.5" customHeight="1" x14ac:dyDescent="0.2">
      <c r="A34" s="328" t="s">
        <v>1835</v>
      </c>
      <c r="B34" s="328"/>
      <c r="C34" s="1286">
        <v>158594</v>
      </c>
      <c r="D34" s="1903" t="s">
        <v>1589</v>
      </c>
      <c r="E34" s="2518">
        <f>+C33+C34</f>
        <v>830937</v>
      </c>
      <c r="F34" s="251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v>0</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520" t="s">
        <v>1590</v>
      </c>
      <c r="C49" s="2520"/>
      <c r="D49" s="2520"/>
      <c r="E49" s="1396"/>
    </row>
    <row r="50" spans="1:5" s="1297" customFormat="1" ht="3.75" customHeight="1" x14ac:dyDescent="0.2">
      <c r="A50" s="1296"/>
      <c r="B50" s="1845"/>
      <c r="C50" s="1845"/>
      <c r="D50" s="1845"/>
      <c r="E50" s="1396"/>
    </row>
    <row r="51" spans="1:5" s="1297" customFormat="1" ht="20.25" customHeight="1" x14ac:dyDescent="0.2">
      <c r="A51" s="1298">
        <v>6</v>
      </c>
      <c r="B51" s="2516" t="s">
        <v>1551</v>
      </c>
      <c r="C51" s="2516"/>
      <c r="D51" s="2516"/>
    </row>
    <row r="52" spans="1:5" ht="14.25" customHeight="1" x14ac:dyDescent="0.2">
      <c r="A52" s="1298"/>
      <c r="B52" s="2516"/>
      <c r="C52" s="2516"/>
      <c r="D52" s="251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J63"/>
  <sheetViews>
    <sheetView showGridLines="0" zoomScale="110" zoomScaleNormal="110" workbookViewId="0">
      <selection activeCell="H19" sqref="H1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5" t="str">
        <f>'Single Audit Cover'!A7</f>
        <v>Springfield SD 186</v>
      </c>
      <c r="C1" s="2526"/>
      <c r="D1" s="2526"/>
      <c r="E1" s="2526"/>
      <c r="F1" s="2526"/>
      <c r="G1" s="2526"/>
      <c r="H1" s="2526"/>
      <c r="I1" s="2526"/>
      <c r="J1" s="1406"/>
    </row>
    <row r="2" spans="2:10" s="317" customFormat="1" ht="12.75" customHeight="1" x14ac:dyDescent="0.2">
      <c r="B2" s="2527">
        <f>'Single Audit Cover'!E7</f>
        <v>51084186025</v>
      </c>
      <c r="C2" s="2528"/>
      <c r="D2" s="2528"/>
      <c r="E2" s="2528"/>
      <c r="F2" s="2528"/>
      <c r="G2" s="2528"/>
      <c r="H2" s="2528"/>
      <c r="I2" s="2528"/>
      <c r="J2" s="1406"/>
    </row>
    <row r="3" spans="2:10" s="317" customFormat="1" ht="12.75" customHeight="1" x14ac:dyDescent="0.2">
      <c r="B3" s="2529" t="s">
        <v>1285</v>
      </c>
      <c r="C3" s="2530"/>
      <c r="D3" s="2530"/>
      <c r="E3" s="2530"/>
      <c r="F3" s="2530"/>
      <c r="G3" s="2530"/>
      <c r="H3" s="2530"/>
      <c r="I3" s="2530"/>
      <c r="J3" s="1407"/>
    </row>
    <row r="4" spans="2:10" s="317" customFormat="1" ht="12.75" customHeight="1" x14ac:dyDescent="0.2">
      <c r="B4" s="2529" t="str">
        <f>'Single Audit Cover'!A4</f>
        <v>Year Ending June 30, 2019</v>
      </c>
      <c r="C4" s="2530"/>
      <c r="D4" s="2530"/>
      <c r="E4" s="2530"/>
      <c r="F4" s="2530"/>
      <c r="G4" s="2530"/>
      <c r="H4" s="2530"/>
      <c r="I4" s="253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529" t="s">
        <v>1284</v>
      </c>
      <c r="C7" s="2530"/>
      <c r="D7" s="2530"/>
      <c r="E7" s="2530"/>
      <c r="F7" s="2530"/>
      <c r="G7" s="2530"/>
      <c r="H7" s="2530"/>
      <c r="I7" s="253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531" t="s">
        <v>2096</v>
      </c>
      <c r="D11" s="253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t="s">
        <v>1169</v>
      </c>
      <c r="F15" s="1297" t="s">
        <v>885</v>
      </c>
      <c r="G15" s="1422" t="s">
        <v>2062</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2062</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2062</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t="s">
        <v>1169</v>
      </c>
      <c r="F24" s="1297" t="s">
        <v>885</v>
      </c>
      <c r="G24" s="1422" t="s">
        <v>2062</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2062</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532" t="s">
        <v>2096</v>
      </c>
      <c r="E29" s="2532"/>
      <c r="F29" s="2532"/>
      <c r="G29" s="2532"/>
      <c r="H29" s="2532"/>
      <c r="I29" s="2532"/>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t="s">
        <v>2062</v>
      </c>
      <c r="F33" s="1297" t="s">
        <v>885</v>
      </c>
      <c r="G33" s="1422"/>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533" t="s">
        <v>1748</v>
      </c>
      <c r="D37" s="2534"/>
      <c r="E37" s="2534"/>
      <c r="F37" s="2535"/>
      <c r="G37" s="2533" t="s">
        <v>1592</v>
      </c>
      <c r="H37" s="2534"/>
      <c r="I37" s="2535"/>
    </row>
    <row r="38" spans="2:9" ht="16.5" customHeight="1" x14ac:dyDescent="0.2">
      <c r="B38" s="1428" t="s">
        <v>2098</v>
      </c>
      <c r="C38" s="2521" t="s">
        <v>2097</v>
      </c>
      <c r="D38" s="2522"/>
      <c r="E38" s="2522"/>
      <c r="F38" s="2523"/>
      <c r="G38" s="2536">
        <v>9086591</v>
      </c>
      <c r="H38" s="2537"/>
      <c r="I38" s="2538"/>
    </row>
    <row r="39" spans="2:9" ht="16.5" customHeight="1" x14ac:dyDescent="0.2">
      <c r="B39" s="1428" t="s">
        <v>2099</v>
      </c>
      <c r="C39" s="2521" t="s">
        <v>758</v>
      </c>
      <c r="D39" s="2522"/>
      <c r="E39" s="2522"/>
      <c r="F39" s="2523"/>
      <c r="G39" s="2524">
        <v>1159445</v>
      </c>
      <c r="H39" s="2524"/>
      <c r="I39" s="2524"/>
    </row>
    <row r="40" spans="2:9" ht="16.5" customHeight="1" x14ac:dyDescent="0.2">
      <c r="B40" s="1428" t="s">
        <v>2102</v>
      </c>
      <c r="C40" s="2521" t="s">
        <v>2103</v>
      </c>
      <c r="D40" s="2522"/>
      <c r="E40" s="2522"/>
      <c r="F40" s="2523"/>
      <c r="G40" s="2524">
        <v>4951531</v>
      </c>
      <c r="H40" s="2524"/>
      <c r="I40" s="2524"/>
    </row>
    <row r="41" spans="2:9" ht="16.5" customHeight="1" x14ac:dyDescent="0.2">
      <c r="B41" s="1428"/>
      <c r="C41" s="2521"/>
      <c r="D41" s="2522"/>
      <c r="E41" s="2522"/>
      <c r="F41" s="2523"/>
      <c r="G41" s="2524"/>
      <c r="H41" s="2524"/>
      <c r="I41" s="2524"/>
    </row>
    <row r="42" spans="2:9" ht="16.5" customHeight="1" x14ac:dyDescent="0.2">
      <c r="B42" s="1428"/>
      <c r="C42" s="2521"/>
      <c r="D42" s="2522"/>
      <c r="E42" s="2522"/>
      <c r="F42" s="2523"/>
      <c r="G42" s="2524"/>
      <c r="H42" s="2524"/>
      <c r="I42" s="2524"/>
    </row>
    <row r="43" spans="2:9" ht="16.5" customHeight="1" x14ac:dyDescent="0.2">
      <c r="B43" s="1428"/>
      <c r="C43" s="2539" t="s">
        <v>1593</v>
      </c>
      <c r="D43" s="2540"/>
      <c r="E43" s="2540"/>
      <c r="F43" s="2541"/>
      <c r="G43" s="2542">
        <f>SUM(G38:I42)</f>
        <v>15197567</v>
      </c>
      <c r="H43" s="2542"/>
      <c r="I43" s="2542"/>
    </row>
    <row r="44" spans="2:9" ht="12.75" customHeight="1" x14ac:dyDescent="0.2"/>
    <row r="45" spans="2:9" ht="12.75" customHeight="1" x14ac:dyDescent="0.2">
      <c r="B45" s="1419" t="s">
        <v>2059</v>
      </c>
      <c r="D45" s="2543">
        <v>26458982</v>
      </c>
      <c r="E45" s="2544"/>
    </row>
    <row r="46" spans="2:9" ht="5.25" customHeight="1" x14ac:dyDescent="0.2">
      <c r="B46" s="1429"/>
      <c r="D46" s="1430"/>
      <c r="E46" s="1431"/>
    </row>
    <row r="47" spans="2:9" ht="12.75" customHeight="1" x14ac:dyDescent="0.2">
      <c r="B47" s="1297" t="s">
        <v>1594</v>
      </c>
      <c r="C47" s="1297"/>
      <c r="D47" s="1432">
        <f>+G43/D45</f>
        <v>0.57438215121050384</v>
      </c>
      <c r="E47" s="1433"/>
      <c r="F47" s="1434"/>
      <c r="I47" s="1435"/>
    </row>
    <row r="48" spans="2:9" ht="9.9499999999999993" customHeight="1" x14ac:dyDescent="0.2"/>
    <row r="49" spans="1:9" x14ac:dyDescent="0.2">
      <c r="B49" s="1365" t="s">
        <v>1273</v>
      </c>
      <c r="C49" s="1279"/>
      <c r="D49" s="1279"/>
      <c r="E49" s="2545">
        <v>793769</v>
      </c>
      <c r="F49" s="2545"/>
      <c r="G49" s="2545"/>
      <c r="H49" s="322"/>
    </row>
    <row r="51" spans="1:9" ht="13.5" customHeight="1" x14ac:dyDescent="0.2">
      <c r="B51" s="1365" t="s">
        <v>1272</v>
      </c>
      <c r="C51" s="1279"/>
      <c r="E51" s="1422"/>
      <c r="F51" s="1297" t="s">
        <v>885</v>
      </c>
      <c r="G51" s="1422" t="s">
        <v>2101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M41"/>
  <sheetViews>
    <sheetView showGridLines="0" zoomScale="110" zoomScaleNormal="110" workbookViewId="0">
      <selection activeCell="H19" sqref="H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5" t="str">
        <f>'Single Audit Cover'!A7</f>
        <v>Springfield SD 186</v>
      </c>
      <c r="C1" s="2525"/>
      <c r="D1" s="2525"/>
      <c r="E1" s="2525"/>
      <c r="F1" s="2525"/>
      <c r="G1" s="2525"/>
      <c r="H1" s="2525"/>
      <c r="I1" s="2525"/>
      <c r="J1" s="2525"/>
      <c r="K1" s="2525"/>
      <c r="L1" s="1371"/>
      <c r="M1" s="1371"/>
    </row>
    <row r="2" spans="1:13" ht="12" customHeight="1" x14ac:dyDescent="0.2">
      <c r="B2" s="2527">
        <f>'Single Audit Cover'!E7</f>
        <v>51084186025</v>
      </c>
      <c r="C2" s="2527"/>
      <c r="D2" s="2527"/>
      <c r="E2" s="2527"/>
      <c r="F2" s="2527"/>
      <c r="G2" s="2527"/>
      <c r="H2" s="2527"/>
      <c r="I2" s="2527"/>
      <c r="J2" s="2527"/>
      <c r="K2" s="2527"/>
      <c r="L2" s="1372"/>
      <c r="M2" s="1373"/>
    </row>
    <row r="3" spans="1:13" ht="10.35" customHeight="1" x14ac:dyDescent="0.2">
      <c r="B3" s="2548" t="s">
        <v>1285</v>
      </c>
      <c r="C3" s="2548"/>
      <c r="D3" s="2548"/>
      <c r="E3" s="2548"/>
      <c r="F3" s="2548"/>
      <c r="G3" s="2548"/>
      <c r="H3" s="2548"/>
      <c r="I3" s="2548"/>
      <c r="J3" s="2548"/>
      <c r="K3" s="2548"/>
      <c r="L3" s="1374"/>
      <c r="M3" s="1374"/>
    </row>
    <row r="4" spans="1:13" ht="14.25" customHeight="1" x14ac:dyDescent="0.2">
      <c r="B4" s="2549" t="str">
        <f>'Single Audit Cover'!A4</f>
        <v>Year Ending June 30, 2019</v>
      </c>
      <c r="C4" s="2549"/>
      <c r="D4" s="2549"/>
      <c r="E4" s="2549"/>
      <c r="F4" s="2549"/>
      <c r="G4" s="2549"/>
      <c r="H4" s="2549"/>
      <c r="I4" s="2549"/>
      <c r="J4" s="2549"/>
      <c r="K4" s="254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49" t="s">
        <v>1296</v>
      </c>
      <c r="C7" s="2549"/>
      <c r="D7" s="2550"/>
      <c r="E7" s="2550"/>
      <c r="F7" s="2550"/>
      <c r="G7" s="2550"/>
      <c r="H7" s="2550"/>
      <c r="I7" s="2550"/>
      <c r="J7" s="2550"/>
      <c r="K7" s="255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t="s">
        <v>2091</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547"/>
      <c r="C14" s="2547"/>
      <c r="D14" s="2547"/>
      <c r="E14" s="2547"/>
      <c r="F14" s="2547"/>
      <c r="G14" s="2547"/>
      <c r="H14" s="2547"/>
      <c r="I14" s="2547"/>
      <c r="J14" s="2547"/>
      <c r="K14" s="254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547"/>
      <c r="C17" s="2547"/>
      <c r="D17" s="2547"/>
      <c r="E17" s="2547"/>
      <c r="F17" s="2547"/>
      <c r="G17" s="2547"/>
      <c r="H17" s="2547"/>
      <c r="I17" s="2547"/>
      <c r="J17" s="2547"/>
      <c r="K17" s="2547"/>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551"/>
      <c r="C20" s="2551"/>
      <c r="D20" s="2547"/>
      <c r="E20" s="2547"/>
      <c r="F20" s="2547"/>
      <c r="G20" s="2547"/>
      <c r="H20" s="2547"/>
      <c r="I20" s="2547"/>
      <c r="J20" s="2547"/>
      <c r="K20" s="254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547"/>
      <c r="C23" s="2547"/>
      <c r="D23" s="2547"/>
      <c r="E23" s="2547"/>
      <c r="F23" s="2547"/>
      <c r="G23" s="2547"/>
      <c r="H23" s="2547"/>
      <c r="I23" s="2547"/>
      <c r="J23" s="2547"/>
      <c r="K23" s="254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547"/>
      <c r="C26" s="2547"/>
      <c r="D26" s="2547"/>
      <c r="E26" s="2547"/>
      <c r="F26" s="2547"/>
      <c r="G26" s="2547"/>
      <c r="H26" s="2547"/>
      <c r="I26" s="2547"/>
      <c r="J26" s="2547"/>
      <c r="K26" s="254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546"/>
      <c r="C29" s="2546"/>
      <c r="D29" s="2547"/>
      <c r="E29" s="2547"/>
      <c r="F29" s="2547"/>
      <c r="G29" s="2547"/>
      <c r="H29" s="2547"/>
      <c r="I29" s="2547"/>
      <c r="J29" s="2547"/>
      <c r="K29" s="254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546"/>
      <c r="C32" s="2546"/>
      <c r="D32" s="2547"/>
      <c r="E32" s="2547"/>
      <c r="F32" s="2547"/>
      <c r="G32" s="2547"/>
      <c r="H32" s="2547"/>
      <c r="I32" s="2547"/>
      <c r="J32" s="2547"/>
      <c r="K32" s="254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L48"/>
  <sheetViews>
    <sheetView showGridLines="0" zoomScale="110" zoomScaleNormal="110" workbookViewId="0">
      <selection activeCell="H19" sqref="H1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2" t="str">
        <f>'Single Audit Cover'!A7</f>
        <v>Springfield SD 186</v>
      </c>
      <c r="C1" s="2552"/>
      <c r="D1" s="2552"/>
      <c r="E1" s="2552"/>
      <c r="F1" s="2552"/>
      <c r="G1" s="2552"/>
      <c r="H1" s="2552"/>
      <c r="I1" s="2552"/>
      <c r="J1" s="2552"/>
      <c r="K1" s="2552"/>
      <c r="L1" s="1449"/>
    </row>
    <row r="2" spans="1:12" ht="12.75" customHeight="1" x14ac:dyDescent="0.2">
      <c r="B2" s="2553">
        <f>'Single Audit Cover'!E7</f>
        <v>51084186025</v>
      </c>
      <c r="C2" s="2553"/>
      <c r="D2" s="2553"/>
      <c r="E2" s="2553"/>
      <c r="F2" s="2553"/>
      <c r="G2" s="2553"/>
      <c r="H2" s="2553"/>
      <c r="I2" s="2553"/>
      <c r="J2" s="2553"/>
      <c r="K2" s="2553"/>
      <c r="L2" s="1450"/>
    </row>
    <row r="3" spans="1:12" ht="12.75" customHeight="1" x14ac:dyDescent="0.2">
      <c r="B3" s="2548" t="s">
        <v>1285</v>
      </c>
      <c r="C3" s="2548"/>
      <c r="D3" s="2548"/>
      <c r="E3" s="2548"/>
      <c r="F3" s="2548"/>
      <c r="G3" s="2548"/>
      <c r="H3" s="2548"/>
      <c r="I3" s="2548"/>
      <c r="J3" s="2548"/>
      <c r="K3" s="2548"/>
      <c r="L3" s="1374"/>
    </row>
    <row r="4" spans="1:12" ht="12.75" customHeight="1" x14ac:dyDescent="0.2">
      <c r="B4" s="2548" t="str">
        <f>'Single Audit Cover'!A4</f>
        <v>Year Ending June 30, 2019</v>
      </c>
      <c r="C4" s="2548"/>
      <c r="D4" s="2548"/>
      <c r="E4" s="2548"/>
      <c r="F4" s="2548"/>
      <c r="G4" s="2548"/>
      <c r="H4" s="2548"/>
      <c r="I4" s="2548"/>
      <c r="J4" s="2548"/>
      <c r="K4" s="2548"/>
      <c r="L4" s="1374"/>
    </row>
    <row r="5" spans="1:12" ht="5.25" customHeight="1" x14ac:dyDescent="0.2">
      <c r="B5" s="1257" t="s">
        <v>1169</v>
      </c>
      <c r="C5" s="1257"/>
      <c r="L5" s="322"/>
    </row>
    <row r="6" spans="1:12" ht="30.75" customHeight="1" x14ac:dyDescent="0.2">
      <c r="A6" s="322"/>
      <c r="B6" s="2554" t="s">
        <v>1308</v>
      </c>
      <c r="C6" s="2554"/>
      <c r="D6" s="2554"/>
      <c r="E6" s="2554"/>
      <c r="F6" s="2554"/>
      <c r="G6" s="2554"/>
      <c r="H6" s="2554"/>
      <c r="I6" s="2554"/>
      <c r="J6" s="2554"/>
      <c r="K6" s="2554"/>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v>1</v>
      </c>
      <c r="E8" s="322"/>
      <c r="F8" s="1381" t="s">
        <v>1295</v>
      </c>
      <c r="G8" s="1453" t="s">
        <v>2062</v>
      </c>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532" t="s">
        <v>2107</v>
      </c>
      <c r="G12" s="2532"/>
      <c r="H12" s="2532"/>
      <c r="I12" s="2532"/>
      <c r="J12" s="2532"/>
      <c r="K12" s="253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55">
        <v>2019</v>
      </c>
      <c r="E14" s="2555"/>
      <c r="F14" s="2555"/>
      <c r="H14" s="1459" t="s">
        <v>1303</v>
      </c>
      <c r="I14" s="2556" t="s">
        <v>2105</v>
      </c>
      <c r="J14" s="2556"/>
      <c r="K14" s="255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56" t="s">
        <v>2106</v>
      </c>
      <c r="E16" s="2556"/>
      <c r="F16" s="2556"/>
      <c r="G16" s="2556"/>
      <c r="H16" s="2556"/>
      <c r="I16" s="2556"/>
      <c r="J16" s="2556"/>
      <c r="K16" s="2556"/>
      <c r="L16" s="322"/>
    </row>
    <row r="17" spans="2:12" ht="13.5" customHeight="1" x14ac:dyDescent="0.2">
      <c r="B17" s="1384" t="s">
        <v>1301</v>
      </c>
      <c r="C17" s="1384"/>
      <c r="D17" s="2557" t="s">
        <v>2108</v>
      </c>
      <c r="E17" s="2557"/>
      <c r="F17" s="2557"/>
      <c r="G17" s="2557"/>
      <c r="H17" s="2557"/>
      <c r="I17" s="2557"/>
      <c r="J17" s="2557"/>
      <c r="K17" s="255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547" t="s">
        <v>2113</v>
      </c>
      <c r="C20" s="2547"/>
      <c r="D20" s="2547"/>
      <c r="E20" s="2547"/>
      <c r="F20" s="2547"/>
      <c r="G20" s="2547"/>
      <c r="H20" s="2547"/>
      <c r="I20" s="2547"/>
      <c r="J20" s="2547"/>
      <c r="K20" s="254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547" t="s">
        <v>2109</v>
      </c>
      <c r="C23" s="2547"/>
      <c r="D23" s="2547"/>
      <c r="E23" s="2547"/>
      <c r="F23" s="2547"/>
      <c r="G23" s="2547"/>
      <c r="H23" s="2547"/>
      <c r="I23" s="2547"/>
      <c r="J23" s="2547"/>
      <c r="K23" s="254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547" t="s">
        <v>2110</v>
      </c>
      <c r="C26" s="2547"/>
      <c r="D26" s="2547"/>
      <c r="E26" s="2547"/>
      <c r="F26" s="2547"/>
      <c r="G26" s="2547"/>
      <c r="H26" s="2547"/>
      <c r="I26" s="2547"/>
      <c r="J26" s="2547"/>
      <c r="K26" s="254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547" t="s">
        <v>2237</v>
      </c>
      <c r="C29" s="2547"/>
      <c r="D29" s="2547"/>
      <c r="E29" s="2547"/>
      <c r="F29" s="2547"/>
      <c r="G29" s="2547"/>
      <c r="H29" s="2547"/>
      <c r="I29" s="2547"/>
      <c r="J29" s="2547"/>
      <c r="K29" s="254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547" t="s">
        <v>2112</v>
      </c>
      <c r="C32" s="2547"/>
      <c r="D32" s="2547"/>
      <c r="E32" s="2547"/>
      <c r="F32" s="2547"/>
      <c r="G32" s="2547"/>
      <c r="H32" s="2547"/>
      <c r="I32" s="2547"/>
      <c r="J32" s="2547"/>
      <c r="K32" s="254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547" t="s">
        <v>2111</v>
      </c>
      <c r="C35" s="2547"/>
      <c r="D35" s="2547"/>
      <c r="E35" s="2547"/>
      <c r="F35" s="2547"/>
      <c r="G35" s="2547"/>
      <c r="H35" s="2547"/>
      <c r="I35" s="2547"/>
      <c r="J35" s="2547"/>
      <c r="K35" s="254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547" t="s">
        <v>2238</v>
      </c>
      <c r="C38" s="2547"/>
      <c r="D38" s="2547"/>
      <c r="E38" s="2547"/>
      <c r="F38" s="2547"/>
      <c r="G38" s="2547"/>
      <c r="H38" s="2547"/>
      <c r="I38" s="2547"/>
      <c r="J38" s="2547"/>
      <c r="K38" s="254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547" t="s">
        <v>2239</v>
      </c>
      <c r="C41" s="2547"/>
      <c r="D41" s="2547"/>
      <c r="E41" s="2547"/>
      <c r="F41" s="2547"/>
      <c r="G41" s="2547"/>
      <c r="H41" s="2547"/>
      <c r="I41" s="2547"/>
      <c r="J41" s="2547"/>
      <c r="K41" s="254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B1:E73"/>
  <sheetViews>
    <sheetView showGridLines="0" zoomScale="110" zoomScaleNormal="110" workbookViewId="0">
      <selection activeCell="H19" sqref="H1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525" t="str">
        <f>'Single Audit Cover'!A7</f>
        <v>Springfield SD 186</v>
      </c>
      <c r="C1" s="2525"/>
      <c r="D1" s="2525"/>
      <c r="E1" s="1469"/>
    </row>
    <row r="2" spans="2:5" s="1279" customFormat="1" ht="12.75" customHeight="1" x14ac:dyDescent="0.2">
      <c r="B2" s="2527">
        <f>'Single Audit Cover'!E7</f>
        <v>51084186025</v>
      </c>
      <c r="C2" s="2527"/>
      <c r="D2" s="2527"/>
      <c r="E2" s="1470"/>
    </row>
    <row r="3" spans="2:5" ht="12.75" customHeight="1" x14ac:dyDescent="0.2">
      <c r="B3" s="2548" t="s">
        <v>1763</v>
      </c>
      <c r="C3" s="2548"/>
      <c r="D3" s="2548"/>
      <c r="E3" s="1271"/>
    </row>
    <row r="4" spans="2:5" s="1279" customFormat="1" ht="12.75" customHeight="1" x14ac:dyDescent="0.2">
      <c r="B4" s="2558" t="str">
        <f>'Single Audit Cover'!A4</f>
        <v>Year Ending June 30, 2019</v>
      </c>
      <c r="C4" s="2558"/>
      <c r="D4" s="2558"/>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2100</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7" colorId="8" zoomScale="110" zoomScaleNormal="110" workbookViewId="0">
      <selection activeCell="Q16" sqref="Q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55" t="s">
        <v>386</v>
      </c>
      <c r="B1" s="2155"/>
      <c r="C1" s="2155"/>
      <c r="D1" s="2155"/>
      <c r="E1" s="2155"/>
      <c r="F1" s="2155"/>
      <c r="G1" s="2155"/>
      <c r="H1" s="2155"/>
      <c r="I1" s="2155"/>
      <c r="J1" s="2155"/>
      <c r="K1" s="2155"/>
      <c r="L1" s="2155"/>
      <c r="M1" s="215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2026765675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3.4001999999999998E-2</v>
      </c>
      <c r="E10" s="356" t="s">
        <v>1005</v>
      </c>
      <c r="F10" s="355">
        <v>6.9259999999999999E-3</v>
      </c>
      <c r="G10" s="356" t="s">
        <v>1005</v>
      </c>
      <c r="H10" s="355">
        <v>2.6120000000000002E-3</v>
      </c>
      <c r="I10" s="356" t="s">
        <v>1006</v>
      </c>
      <c r="J10" s="1732">
        <f>ROUND(D10+F10+H10,5)</f>
        <v>4.3540000000000002E-2</v>
      </c>
      <c r="K10" s="222"/>
      <c r="L10" s="355">
        <v>0</v>
      </c>
      <c r="M10" s="222"/>
    </row>
    <row r="11" spans="1:14" ht="7.5" customHeight="1" x14ac:dyDescent="0.2">
      <c r="B11" s="222"/>
      <c r="C11" s="222"/>
      <c r="D11" s="2165" t="str">
        <f>IF(SUM(J10)&lt;=0.0999999,"","Enter the Tax Rates by moving the decimal two places to the left.")</f>
        <v/>
      </c>
      <c r="E11" s="2166"/>
      <c r="F11" s="2166"/>
      <c r="G11" s="2166"/>
      <c r="H11" s="2166"/>
      <c r="I11" s="2166"/>
      <c r="J11" s="216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189805050</v>
      </c>
      <c r="E16" s="356"/>
      <c r="F16" s="1733">
        <f>SUM('Acct Summary 7-8'!C17,'Acct Summary 7-8'!D17,'Acct Summary 7-8'!F17)</f>
        <v>184214358</v>
      </c>
      <c r="G16" s="356"/>
      <c r="H16" s="1733">
        <f>SUM(D16-F16)</f>
        <v>5590692</v>
      </c>
      <c r="I16" s="222"/>
      <c r="J16" s="1733">
        <f>SUM('Acct Summary 7-8'!C81,'Acct Summary 7-8'!D81,'Acct Summary 7-8'!F81,'Acct Summary 7-8'!I81)</f>
        <v>36760837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2890000</v>
      </c>
      <c r="E24" s="356" t="s">
        <v>1006</v>
      </c>
      <c r="F24" s="1734">
        <f>SUM(D22,F22,H22,J22,L22, D24)</f>
        <v>2890000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279693663.15000004</v>
      </c>
      <c r="I31" s="368"/>
      <c r="J31" s="222"/>
      <c r="K31" s="222"/>
      <c r="L31" s="222"/>
      <c r="M31" s="222"/>
    </row>
    <row r="32" spans="1:13" ht="13.35" customHeight="1" x14ac:dyDescent="0.2">
      <c r="B32" s="369" t="s">
        <v>2101</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49675000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56"/>
      <c r="C54" s="2157"/>
      <c r="D54" s="2157"/>
      <c r="E54" s="2157"/>
      <c r="F54" s="2157"/>
      <c r="G54" s="2157"/>
      <c r="H54" s="2157"/>
      <c r="I54" s="2157"/>
      <c r="J54" s="2157"/>
      <c r="K54" s="2157"/>
      <c r="L54" s="2158"/>
      <c r="M54" s="380"/>
    </row>
    <row r="55" spans="1:13" ht="12.75" customHeight="1" x14ac:dyDescent="0.2">
      <c r="B55" s="2159"/>
      <c r="C55" s="2160"/>
      <c r="D55" s="2160"/>
      <c r="E55" s="2160"/>
      <c r="F55" s="2160"/>
      <c r="G55" s="2160"/>
      <c r="H55" s="2160"/>
      <c r="I55" s="2160"/>
      <c r="J55" s="2160"/>
      <c r="K55" s="2160"/>
      <c r="L55" s="2161"/>
      <c r="M55" s="380"/>
    </row>
    <row r="56" spans="1:13" ht="12.75" customHeight="1" x14ac:dyDescent="0.2">
      <c r="B56" s="2159"/>
      <c r="C56" s="2160"/>
      <c r="D56" s="2160"/>
      <c r="E56" s="2160"/>
      <c r="F56" s="2160"/>
      <c r="G56" s="2160"/>
      <c r="H56" s="2160"/>
      <c r="I56" s="2160"/>
      <c r="J56" s="2160"/>
      <c r="K56" s="2160"/>
      <c r="L56" s="2161"/>
      <c r="M56" s="222"/>
    </row>
    <row r="57" spans="1:13" ht="12.75" customHeight="1" x14ac:dyDescent="0.2">
      <c r="B57" s="2159"/>
      <c r="C57" s="2160"/>
      <c r="D57" s="2160"/>
      <c r="E57" s="2160"/>
      <c r="F57" s="2160"/>
      <c r="G57" s="2160"/>
      <c r="H57" s="2160"/>
      <c r="I57" s="2160"/>
      <c r="J57" s="2160"/>
      <c r="K57" s="2160"/>
      <c r="L57" s="2161"/>
      <c r="M57" s="222"/>
    </row>
    <row r="58" spans="1:13" x14ac:dyDescent="0.2">
      <c r="B58" s="2162"/>
      <c r="C58" s="2163"/>
      <c r="D58" s="2163"/>
      <c r="E58" s="2163"/>
      <c r="F58" s="2163"/>
      <c r="G58" s="2163"/>
      <c r="H58" s="2163"/>
      <c r="I58" s="2163"/>
      <c r="J58" s="2163"/>
      <c r="K58" s="2163"/>
      <c r="L58" s="216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67"/>
      <c r="D61" s="216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Q16" sqref="Q1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70"/>
      <c r="B1" s="2171"/>
      <c r="C1" s="2171"/>
      <c r="D1" s="384"/>
      <c r="E1" s="384"/>
      <c r="F1" s="384"/>
      <c r="G1" s="384"/>
      <c r="H1" s="384"/>
      <c r="I1" s="384"/>
      <c r="J1" s="384"/>
      <c r="K1" s="384"/>
      <c r="L1" s="384"/>
      <c r="M1" s="384"/>
      <c r="N1" s="384"/>
      <c r="O1" s="2170"/>
      <c r="P1" s="2171"/>
      <c r="Q1" s="2171"/>
    </row>
    <row r="2" spans="1:18" ht="15" x14ac:dyDescent="0.2">
      <c r="A2" s="2174" t="s">
        <v>556</v>
      </c>
      <c r="B2" s="2174"/>
      <c r="C2" s="2174"/>
      <c r="D2" s="2174"/>
      <c r="E2" s="2174"/>
      <c r="F2" s="2174"/>
      <c r="G2" s="2174"/>
      <c r="H2" s="2174"/>
      <c r="I2" s="2174"/>
      <c r="J2" s="2174"/>
      <c r="K2" s="2174"/>
      <c r="L2" s="2174"/>
      <c r="M2" s="2174"/>
      <c r="N2" s="2174"/>
      <c r="O2" s="2174"/>
      <c r="P2" s="2174"/>
      <c r="Q2" s="2174"/>
      <c r="R2" s="2174"/>
    </row>
    <row r="3" spans="1:18" ht="12.75" x14ac:dyDescent="0.2">
      <c r="A3" s="2175" t="s">
        <v>1413</v>
      </c>
      <c r="B3" s="2175"/>
      <c r="C3" s="2175"/>
      <c r="D3" s="2175"/>
      <c r="E3" s="2175"/>
      <c r="F3" s="2175"/>
      <c r="G3" s="2175"/>
      <c r="H3" s="2175"/>
      <c r="I3" s="2175"/>
      <c r="J3" s="2175"/>
      <c r="K3" s="2175"/>
      <c r="L3" s="2175"/>
      <c r="M3" s="2175"/>
      <c r="N3" s="2175"/>
      <c r="O3" s="2175"/>
      <c r="P3" s="2175"/>
      <c r="Q3" s="2175"/>
      <c r="R3" s="2175"/>
    </row>
    <row r="4" spans="1:18" x14ac:dyDescent="0.2">
      <c r="A4" s="2176" t="s">
        <v>1554</v>
      </c>
      <c r="B4" s="2176"/>
      <c r="C4" s="2176"/>
      <c r="D4" s="2176"/>
      <c r="E4" s="2176"/>
      <c r="F4" s="2176"/>
      <c r="G4" s="2176"/>
      <c r="H4" s="2176"/>
      <c r="I4" s="2176"/>
      <c r="J4" s="2176"/>
      <c r="K4" s="2176"/>
      <c r="L4" s="2176"/>
      <c r="M4" s="2176"/>
      <c r="N4" s="2176"/>
      <c r="O4" s="2176"/>
      <c r="P4" s="2176"/>
      <c r="Q4" s="2176"/>
      <c r="R4" s="217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Springfield SD 186</v>
      </c>
      <c r="E7" s="391"/>
      <c r="G7" s="252"/>
      <c r="H7" s="387"/>
      <c r="I7" s="387"/>
      <c r="J7" s="387"/>
      <c r="K7" s="387"/>
      <c r="L7" s="329"/>
      <c r="M7" s="329"/>
      <c r="N7" s="329"/>
      <c r="O7" s="329"/>
      <c r="P7" s="329"/>
    </row>
    <row r="8" spans="1:18" ht="12.75" x14ac:dyDescent="0.2">
      <c r="A8" s="329"/>
      <c r="B8" s="329"/>
      <c r="C8" s="389" t="s">
        <v>1125</v>
      </c>
      <c r="D8" s="392">
        <f>COVER!A13</f>
        <v>51084186025</v>
      </c>
      <c r="E8" s="393"/>
      <c r="G8" s="329"/>
      <c r="H8" s="329"/>
      <c r="I8" s="329"/>
      <c r="J8" s="329"/>
      <c r="K8" s="329"/>
      <c r="L8" s="329"/>
      <c r="M8" s="329"/>
      <c r="N8" s="329"/>
      <c r="O8" s="329"/>
      <c r="P8" s="329"/>
    </row>
    <row r="9" spans="1:18" ht="12.75" x14ac:dyDescent="0.2">
      <c r="A9" s="329"/>
      <c r="B9" s="329"/>
      <c r="C9" s="389" t="s">
        <v>713</v>
      </c>
      <c r="D9" s="394" t="str">
        <f>COVER!A15</f>
        <v>Sangamon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36760837</v>
      </c>
      <c r="I12" s="404"/>
      <c r="J12" s="404"/>
      <c r="K12" s="405">
        <f>TRUNC((H12/H13*100000),5)/100000</f>
        <v>0.19378679789999997</v>
      </c>
      <c r="L12" s="406"/>
      <c r="M12" s="360" t="s">
        <v>1144</v>
      </c>
      <c r="N12" s="360"/>
      <c r="O12" s="407">
        <v>0.35</v>
      </c>
      <c r="P12" s="218"/>
      <c r="Q12" s="218"/>
    </row>
    <row r="13" spans="1:18" s="408" customFormat="1" ht="12.75" x14ac:dyDescent="0.2">
      <c r="A13" s="218"/>
      <c r="B13" s="401"/>
      <c r="C13" s="2172" t="s">
        <v>1324</v>
      </c>
      <c r="D13" s="2173"/>
      <c r="E13" s="218"/>
      <c r="F13" s="409" t="s">
        <v>793</v>
      </c>
      <c r="G13" s="402"/>
      <c r="H13" s="403">
        <f>SUM('Acct Summary 7-8'!C8+'Acct Summary 7-8'!D8+'Acct Summary 7-8'!F8+'Acct Summary 7-8'!I8)+H14</f>
        <v>189697324</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-107726</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184214358</v>
      </c>
      <c r="I17" s="404"/>
      <c r="J17" s="416"/>
      <c r="K17" s="405">
        <f>TRUNC((H17/H18*100000),5)/100000</f>
        <v>0.97109623960000002</v>
      </c>
      <c r="L17" s="406"/>
      <c r="M17" s="417" t="s">
        <v>1171</v>
      </c>
      <c r="O17" s="418" t="str">
        <f>IF(AND(O16="2", J20 &gt; 2),"1",IF(AND(O16 = "1", J20 &gt; 2),"2",IF(AND(O16="1", J20 &gt;1),"1","0")))</f>
        <v>0</v>
      </c>
      <c r="P17" s="218"/>
    </row>
    <row r="18" spans="1:18" s="408" customFormat="1" ht="11.25" x14ac:dyDescent="0.2">
      <c r="A18" s="218"/>
      <c r="B18" s="401"/>
      <c r="C18" s="2172" t="s">
        <v>1317</v>
      </c>
      <c r="D18" s="2173"/>
      <c r="E18" s="218"/>
      <c r="F18" s="419" t="s">
        <v>794</v>
      </c>
      <c r="G18" s="402"/>
      <c r="H18" s="403">
        <f>SUM('Acct Summary 7-8'!C8+'Acct Summary 7-8'!D8+'Acct Summary 7-8'!F8+'Acct Summary 7-8'!I8)+H19</f>
        <v>189697324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-107726</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69" t="s">
        <v>1412</v>
      </c>
      <c r="D24" s="2169"/>
      <c r="E24" s="218"/>
      <c r="F24" s="218" t="s">
        <v>445</v>
      </c>
      <c r="G24" s="402"/>
      <c r="H24" s="403">
        <f>SUM('Assets-Liab 5-6'!C4+'Assets-Liab 5-6'!D4+'Assets-Liab 5-6'!F4+'Assets-Liab 5-6'!I4+'Assets-Liab 5-6'!C5+'Assets-Liab 5-6'!D5+'Assets-Liab 5-6'!F5+'Assets-Liab 5-6'!I5)</f>
        <v>44112764</v>
      </c>
      <c r="I24" s="422"/>
      <c r="J24" s="422"/>
      <c r="K24" s="423">
        <f>TRUNC(((H24/H25*100000)/100000),2)</f>
        <v>86.2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511706.55</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75008570.866080001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49675000</v>
      </c>
      <c r="I32" s="420"/>
      <c r="J32" s="420"/>
      <c r="K32" s="423">
        <f>TRUNC(100-((((H32/H33*100))*100)/100),2)</f>
        <v>82.23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279693663.15000004</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3.4499999999999997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topLeftCell="C1" colorId="8" zoomScale="110" zoomScaleNormal="110" workbookViewId="0">
      <pane ySplit="2" topLeftCell="A3" activePane="bottomLeft" state="frozen"/>
      <selection activeCell="Q16" sqref="Q16"/>
      <selection pane="bottomLeft" activeCell="Q16" sqref="Q1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7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7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79" t="s">
        <v>973</v>
      </c>
      <c r="B3" s="2180"/>
      <c r="C3" s="1559"/>
      <c r="D3" s="1560"/>
      <c r="E3" s="1560"/>
      <c r="F3" s="1560"/>
      <c r="G3" s="1560"/>
      <c r="H3" s="1560"/>
      <c r="I3" s="1560"/>
      <c r="J3" s="1560"/>
      <c r="K3" s="1560"/>
      <c r="L3" s="1560"/>
      <c r="M3" s="1561"/>
      <c r="N3" s="1562"/>
    </row>
    <row r="4" spans="1:14" ht="13.5" customHeight="1" x14ac:dyDescent="0.2">
      <c r="A4" s="463" t="s">
        <v>1651</v>
      </c>
      <c r="B4" s="464"/>
      <c r="C4" s="465">
        <v>2500</v>
      </c>
      <c r="D4" s="466"/>
      <c r="E4" s="466"/>
      <c r="F4" s="466"/>
      <c r="G4" s="466"/>
      <c r="H4" s="466"/>
      <c r="I4" s="466"/>
      <c r="J4" s="467"/>
      <c r="K4" s="466"/>
      <c r="L4" s="466">
        <v>1714656</v>
      </c>
      <c r="M4" s="468"/>
      <c r="N4" s="469"/>
    </row>
    <row r="5" spans="1:14" x14ac:dyDescent="0.2">
      <c r="A5" s="463" t="s">
        <v>992</v>
      </c>
      <c r="B5" s="470">
        <v>120</v>
      </c>
      <c r="C5" s="465">
        <v>34133886</v>
      </c>
      <c r="D5" s="466">
        <v>5729333</v>
      </c>
      <c r="E5" s="466">
        <v>8644047</v>
      </c>
      <c r="F5" s="466">
        <v>4245661</v>
      </c>
      <c r="G5" s="466">
        <v>2908728</v>
      </c>
      <c r="H5" s="466"/>
      <c r="I5" s="466">
        <v>1384</v>
      </c>
      <c r="J5" s="467">
        <v>2144915</v>
      </c>
      <c r="K5" s="471">
        <v>2411</v>
      </c>
      <c r="L5" s="472"/>
      <c r="M5" s="468"/>
      <c r="N5" s="469"/>
    </row>
    <row r="6" spans="1:14" ht="13.5" customHeight="1" x14ac:dyDescent="0.2">
      <c r="A6" s="473" t="s">
        <v>417</v>
      </c>
      <c r="B6" s="470">
        <v>130</v>
      </c>
      <c r="C6" s="465">
        <v>34489186</v>
      </c>
      <c r="D6" s="466">
        <v>6817126</v>
      </c>
      <c r="E6" s="466">
        <v>3874127</v>
      </c>
      <c r="F6" s="466">
        <v>2570940</v>
      </c>
      <c r="G6" s="471">
        <v>2767796</v>
      </c>
      <c r="H6" s="471"/>
      <c r="I6" s="466"/>
      <c r="J6" s="474">
        <v>1431143</v>
      </c>
      <c r="K6" s="471"/>
      <c r="L6" s="475"/>
      <c r="M6" s="468"/>
      <c r="N6" s="469"/>
    </row>
    <row r="7" spans="1:14" ht="13.5" customHeight="1" x14ac:dyDescent="0.2">
      <c r="A7" s="473" t="s">
        <v>418</v>
      </c>
      <c r="B7" s="470">
        <v>140</v>
      </c>
      <c r="C7" s="476"/>
      <c r="D7" s="467">
        <v>272714</v>
      </c>
      <c r="E7" s="467"/>
      <c r="F7" s="467"/>
      <c r="G7" s="467"/>
      <c r="H7" s="467"/>
      <c r="I7" s="467">
        <v>15550000</v>
      </c>
      <c r="J7" s="467"/>
      <c r="K7" s="467"/>
      <c r="L7" s="477"/>
      <c r="M7" s="468"/>
      <c r="N7" s="469"/>
    </row>
    <row r="8" spans="1:14" ht="13.5" customHeight="1" x14ac:dyDescent="0.2">
      <c r="A8" s="473" t="s">
        <v>269</v>
      </c>
      <c r="B8" s="470">
        <v>150</v>
      </c>
      <c r="C8" s="476">
        <v>10308408</v>
      </c>
      <c r="D8" s="467">
        <v>277957</v>
      </c>
      <c r="E8" s="467"/>
      <c r="F8" s="467">
        <v>7949640</v>
      </c>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v>476102</v>
      </c>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79410082</v>
      </c>
      <c r="D13" s="1737">
        <f t="shared" ref="D13:L13" si="0">SUM(D4:D12)</f>
        <v>13097130</v>
      </c>
      <c r="E13" s="1737">
        <f t="shared" si="0"/>
        <v>12518174</v>
      </c>
      <c r="F13" s="1737">
        <f t="shared" si="0"/>
        <v>14766241</v>
      </c>
      <c r="G13" s="1737">
        <f t="shared" si="0"/>
        <v>5676524</v>
      </c>
      <c r="H13" s="1737">
        <f t="shared" si="0"/>
        <v>0</v>
      </c>
      <c r="I13" s="1737">
        <f t="shared" si="0"/>
        <v>15551384</v>
      </c>
      <c r="J13" s="1737">
        <f t="shared" si="0"/>
        <v>3576058</v>
      </c>
      <c r="K13" s="1737">
        <f t="shared" si="0"/>
        <v>2411</v>
      </c>
      <c r="L13" s="1737">
        <f t="shared" si="0"/>
        <v>1714656</v>
      </c>
      <c r="M13" s="468"/>
      <c r="N13" s="469"/>
    </row>
    <row r="14" spans="1:14" ht="18" customHeight="1" thickTop="1" x14ac:dyDescent="0.2">
      <c r="A14" s="2181" t="s">
        <v>147</v>
      </c>
      <c r="B14" s="218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1719381</v>
      </c>
      <c r="N16" s="484"/>
    </row>
    <row r="17" spans="1:14" s="485" customFormat="1" ht="12.75" customHeight="1" x14ac:dyDescent="0.2">
      <c r="A17" s="482" t="s">
        <v>1403</v>
      </c>
      <c r="B17" s="483">
        <v>230</v>
      </c>
      <c r="C17" s="477"/>
      <c r="D17" s="477"/>
      <c r="E17" s="477"/>
      <c r="F17" s="477"/>
      <c r="G17" s="477"/>
      <c r="H17" s="477"/>
      <c r="I17" s="477"/>
      <c r="J17" s="477"/>
      <c r="K17" s="477"/>
      <c r="L17" s="477"/>
      <c r="M17" s="467">
        <v>90269267</v>
      </c>
      <c r="N17" s="484"/>
    </row>
    <row r="18" spans="1:14" s="485" customFormat="1" ht="12.75" customHeight="1" x14ac:dyDescent="0.2">
      <c r="A18" s="482" t="s">
        <v>1404</v>
      </c>
      <c r="B18" s="483">
        <v>240</v>
      </c>
      <c r="C18" s="477"/>
      <c r="D18" s="477"/>
      <c r="E18" s="477"/>
      <c r="F18" s="477"/>
      <c r="G18" s="477"/>
      <c r="H18" s="477"/>
      <c r="I18" s="477"/>
      <c r="J18" s="477"/>
      <c r="K18" s="477"/>
      <c r="L18" s="477"/>
      <c r="M18" s="467">
        <v>714502</v>
      </c>
      <c r="N18" s="484"/>
    </row>
    <row r="19" spans="1:14" s="485" customFormat="1" ht="12.75" customHeight="1" x14ac:dyDescent="0.2">
      <c r="A19" s="482" t="s">
        <v>1405</v>
      </c>
      <c r="B19" s="483">
        <v>250</v>
      </c>
      <c r="C19" s="477"/>
      <c r="D19" s="477"/>
      <c r="E19" s="477"/>
      <c r="F19" s="477"/>
      <c r="G19" s="477"/>
      <c r="H19" s="477"/>
      <c r="I19" s="477"/>
      <c r="J19" s="477"/>
      <c r="K19" s="477"/>
      <c r="L19" s="477"/>
      <c r="M19" s="467">
        <v>1843223</v>
      </c>
      <c r="N19" s="484"/>
    </row>
    <row r="20" spans="1:14" s="485" customFormat="1" ht="12.75" customHeight="1" x14ac:dyDescent="0.2">
      <c r="A20" s="482" t="s">
        <v>1406</v>
      </c>
      <c r="B20" s="483">
        <v>260</v>
      </c>
      <c r="C20" s="477"/>
      <c r="D20" s="477"/>
      <c r="E20" s="477"/>
      <c r="F20" s="477"/>
      <c r="G20" s="477"/>
      <c r="H20" s="477"/>
      <c r="I20" s="477"/>
      <c r="J20" s="477"/>
      <c r="K20" s="477"/>
      <c r="L20" s="477"/>
      <c r="M20" s="467">
        <f>146236+301000</f>
        <v>447236</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10580000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39095000</v>
      </c>
    </row>
    <row r="23" spans="1:14" ht="13.5" customHeight="1" thickBot="1" x14ac:dyDescent="0.25">
      <c r="A23" s="1736" t="s">
        <v>643</v>
      </c>
      <c r="B23" s="1741"/>
      <c r="C23" s="468"/>
      <c r="D23" s="468"/>
      <c r="E23" s="468"/>
      <c r="F23" s="468"/>
      <c r="G23" s="468"/>
      <c r="H23" s="468"/>
      <c r="I23" s="468"/>
      <c r="J23" s="468"/>
      <c r="K23" s="468"/>
      <c r="L23" s="468"/>
      <c r="M23" s="1688">
        <f>SUM(M15:M22)</f>
        <v>94993609</v>
      </c>
      <c r="N23" s="1688">
        <f>SUM(N21:N22)</f>
        <v>49675000</v>
      </c>
    </row>
    <row r="24" spans="1:14" ht="18" customHeight="1" thickTop="1" x14ac:dyDescent="0.2">
      <c r="A24" s="2183" t="s">
        <v>598</v>
      </c>
      <c r="B24" s="2184"/>
      <c r="C24" s="1568"/>
      <c r="D24" s="1565"/>
      <c r="E24" s="1565"/>
      <c r="F24" s="1565"/>
      <c r="G24" s="1565"/>
      <c r="H24" s="1565"/>
      <c r="I24" s="1565"/>
      <c r="J24" s="1565"/>
      <c r="K24" s="1565"/>
      <c r="L24" s="1565"/>
      <c r="M24" s="1564"/>
      <c r="N24" s="1569"/>
    </row>
    <row r="25" spans="1:14" x14ac:dyDescent="0.2">
      <c r="A25" s="473" t="s">
        <v>645</v>
      </c>
      <c r="B25" s="470">
        <v>410</v>
      </c>
      <c r="C25" s="478">
        <v>8013079</v>
      </c>
      <c r="D25" s="478">
        <v>3255105</v>
      </c>
      <c r="E25" s="478"/>
      <c r="F25" s="478">
        <v>1750617</v>
      </c>
      <c r="G25" s="478">
        <v>2802138</v>
      </c>
      <c r="H25" s="479"/>
      <c r="I25" s="468"/>
      <c r="J25" s="478">
        <v>1934</v>
      </c>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2668058</v>
      </c>
      <c r="D27" s="467">
        <v>566314</v>
      </c>
      <c r="E27" s="467"/>
      <c r="F27" s="467">
        <v>1398366</v>
      </c>
      <c r="G27" s="467"/>
      <c r="H27" s="467"/>
      <c r="I27" s="467"/>
      <c r="J27" s="467">
        <v>63078</v>
      </c>
      <c r="K27" s="467">
        <v>45</v>
      </c>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14644509</v>
      </c>
      <c r="D30" s="474">
        <v>142347</v>
      </c>
      <c r="E30" s="467"/>
      <c r="F30" s="467"/>
      <c r="G30" s="467">
        <v>1924</v>
      </c>
      <c r="H30" s="467"/>
      <c r="I30" s="467"/>
      <c r="J30" s="467">
        <v>195544</v>
      </c>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37537155</v>
      </c>
      <c r="D32" s="492">
        <v>7018689</v>
      </c>
      <c r="E32" s="474">
        <v>3988675</v>
      </c>
      <c r="F32" s="474">
        <v>9069761</v>
      </c>
      <c r="G32" s="474">
        <v>2849633</v>
      </c>
      <c r="H32" s="474"/>
      <c r="I32" s="474"/>
      <c r="J32" s="474">
        <v>1473458</v>
      </c>
      <c r="K32" s="479"/>
      <c r="L32" s="468"/>
      <c r="M32" s="468"/>
      <c r="N32" s="468"/>
    </row>
    <row r="33" spans="1:14" ht="13.5" customHeight="1" x14ac:dyDescent="0.2">
      <c r="A33" s="493" t="s">
        <v>303</v>
      </c>
      <c r="B33" s="491">
        <v>493</v>
      </c>
      <c r="C33" s="467"/>
      <c r="D33" s="467"/>
      <c r="E33" s="467"/>
      <c r="F33" s="467"/>
      <c r="G33" s="467"/>
      <c r="H33" s="467"/>
      <c r="I33" s="467"/>
      <c r="J33" s="467"/>
      <c r="K33" s="467"/>
      <c r="L33" s="467">
        <v>1714656</v>
      </c>
      <c r="M33" s="468"/>
      <c r="N33" s="469"/>
    </row>
    <row r="34" spans="1:14" ht="13.5" customHeight="1" thickBot="1" x14ac:dyDescent="0.25">
      <c r="A34" s="1738" t="s">
        <v>654</v>
      </c>
      <c r="B34" s="1739"/>
      <c r="C34" s="1740">
        <f>SUM(C25:C33)</f>
        <v>62862801</v>
      </c>
      <c r="D34" s="1740">
        <f t="shared" ref="D34:K34" si="1">SUM(D25:D33)</f>
        <v>10982455</v>
      </c>
      <c r="E34" s="1740">
        <f t="shared" si="1"/>
        <v>3988675</v>
      </c>
      <c r="F34" s="1740">
        <f t="shared" si="1"/>
        <v>12218744</v>
      </c>
      <c r="G34" s="1740">
        <f t="shared" si="1"/>
        <v>5653695</v>
      </c>
      <c r="H34" s="1740">
        <f t="shared" si="1"/>
        <v>0</v>
      </c>
      <c r="I34" s="1740">
        <f t="shared" si="1"/>
        <v>0</v>
      </c>
      <c r="J34" s="1740">
        <f t="shared" si="1"/>
        <v>1734014</v>
      </c>
      <c r="K34" s="1740">
        <f t="shared" si="1"/>
        <v>45</v>
      </c>
      <c r="L34" s="1721">
        <f>SUM(L33)</f>
        <v>1714656</v>
      </c>
      <c r="M34" s="468"/>
      <c r="N34" s="480"/>
    </row>
    <row r="35" spans="1:14" ht="18" customHeight="1" thickTop="1" x14ac:dyDescent="0.2">
      <c r="A35" s="2185" t="s">
        <v>529</v>
      </c>
      <c r="B35" s="218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49675000</v>
      </c>
    </row>
    <row r="37" spans="1:14" ht="13.5" thickBot="1" x14ac:dyDescent="0.25">
      <c r="A37" s="1736" t="s">
        <v>653</v>
      </c>
      <c r="B37" s="1741"/>
      <c r="C37" s="477"/>
      <c r="D37" s="477"/>
      <c r="E37" s="477"/>
      <c r="F37" s="477"/>
      <c r="G37" s="477"/>
      <c r="H37" s="477"/>
      <c r="I37" s="477"/>
      <c r="J37" s="477"/>
      <c r="K37" s="477"/>
      <c r="L37" s="480"/>
      <c r="M37" s="468"/>
      <c r="N37" s="1688">
        <f>SUM(N36:N36)</f>
        <v>49675000</v>
      </c>
    </row>
    <row r="38" spans="1:14" s="329" customFormat="1" ht="13.5" customHeight="1" thickTop="1" x14ac:dyDescent="0.2">
      <c r="A38" s="496" t="s">
        <v>420</v>
      </c>
      <c r="B38" s="483">
        <v>714</v>
      </c>
      <c r="C38" s="466"/>
      <c r="D38" s="466"/>
      <c r="E38" s="466">
        <v>8529499</v>
      </c>
      <c r="F38" s="466">
        <v>2547497</v>
      </c>
      <c r="G38" s="466">
        <v>22829</v>
      </c>
      <c r="H38" s="466"/>
      <c r="I38" s="466"/>
      <c r="J38" s="467">
        <v>1842044</v>
      </c>
      <c r="K38" s="466">
        <v>2366</v>
      </c>
      <c r="L38" s="481"/>
      <c r="M38" s="497"/>
      <c r="N38" s="497"/>
    </row>
    <row r="39" spans="1:14" s="329" customFormat="1" ht="13.5" customHeight="1" x14ac:dyDescent="0.2">
      <c r="A39" s="496" t="s">
        <v>342</v>
      </c>
      <c r="B39" s="483">
        <v>730</v>
      </c>
      <c r="C39" s="466">
        <v>16547281</v>
      </c>
      <c r="D39" s="466">
        <v>2114675</v>
      </c>
      <c r="E39" s="466"/>
      <c r="F39" s="466"/>
      <c r="G39" s="466"/>
      <c r="H39" s="466"/>
      <c r="I39" s="466">
        <v>15551384</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94993609</v>
      </c>
      <c r="N40" s="497"/>
    </row>
    <row r="41" spans="1:14" ht="13.5" customHeight="1" thickBot="1" x14ac:dyDescent="0.25">
      <c r="A41" s="1736" t="s">
        <v>655</v>
      </c>
      <c r="B41" s="1706"/>
      <c r="C41" s="1688">
        <f>(SUM(C34,C37,C38,C39))</f>
        <v>79410082</v>
      </c>
      <c r="D41" s="1688">
        <f t="shared" ref="D41:L41" si="2">SUM(D34,D37,D38:D39)</f>
        <v>13097130</v>
      </c>
      <c r="E41" s="1688">
        <f t="shared" si="2"/>
        <v>12518174</v>
      </c>
      <c r="F41" s="1688">
        <f t="shared" si="2"/>
        <v>14766241</v>
      </c>
      <c r="G41" s="1688">
        <f t="shared" si="2"/>
        <v>5676524</v>
      </c>
      <c r="H41" s="1688">
        <f t="shared" si="2"/>
        <v>0</v>
      </c>
      <c r="I41" s="1688">
        <f t="shared" si="2"/>
        <v>15551384</v>
      </c>
      <c r="J41" s="1688">
        <f t="shared" si="2"/>
        <v>3576058</v>
      </c>
      <c r="K41" s="1688">
        <f t="shared" si="2"/>
        <v>2411</v>
      </c>
      <c r="L41" s="1688">
        <f t="shared" si="2"/>
        <v>1714656</v>
      </c>
      <c r="M41" s="1688">
        <f>SUM(M40)</f>
        <v>94993609</v>
      </c>
      <c r="N41" s="1688">
        <f>SUM(N37)</f>
        <v>49675000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69" activePane="bottomLeft" state="frozen"/>
      <selection activeCell="Q16" sqref="Q16"/>
      <selection pane="bottomLeft" activeCell="Q16" sqref="Q1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9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9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207" t="s">
        <v>1175</v>
      </c>
      <c r="B3" s="2208"/>
      <c r="C3" s="1573"/>
      <c r="D3" s="1574"/>
      <c r="E3" s="1574"/>
      <c r="F3" s="1574"/>
      <c r="G3" s="1574"/>
      <c r="H3" s="1574"/>
      <c r="I3" s="1574"/>
      <c r="J3" s="1574"/>
      <c r="K3" s="1575"/>
      <c r="L3" s="506"/>
    </row>
    <row r="4" spans="1:13" ht="15.75" customHeight="1" x14ac:dyDescent="0.2">
      <c r="A4" s="1928" t="s">
        <v>1499</v>
      </c>
      <c r="B4" s="1929">
        <v>1000</v>
      </c>
      <c r="C4" s="1742">
        <f>'Revenues 9-14'!C109</f>
        <v>78527723</v>
      </c>
      <c r="D4" s="1742">
        <f>'Revenues 9-14'!D109</f>
        <v>15520701</v>
      </c>
      <c r="E4" s="1742">
        <f>'Revenues 9-14'!E109</f>
        <v>8087223</v>
      </c>
      <c r="F4" s="1742">
        <f>'Revenues 9-14'!F109</f>
        <v>5492993</v>
      </c>
      <c r="G4" s="1742">
        <f>'Revenues 9-14'!G109</f>
        <v>6380951</v>
      </c>
      <c r="H4" s="1742">
        <f>'Revenues 9-14'!H109</f>
        <v>0</v>
      </c>
      <c r="I4" s="1742">
        <f>'Revenues 9-14'!I109</f>
        <v>32</v>
      </c>
      <c r="J4" s="1742">
        <f>'Revenues 9-14'!J109</f>
        <v>3401725</v>
      </c>
      <c r="K4" s="1742">
        <f>'Revenues 9-14'!K109</f>
        <v>117</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55134230</v>
      </c>
      <c r="D6" s="1743">
        <f>'Revenues 9-14'!D170</f>
        <v>0</v>
      </c>
      <c r="E6" s="1743">
        <f>'Revenues 9-14'!E170</f>
        <v>0</v>
      </c>
      <c r="F6" s="1743">
        <f>'Revenues 9-14'!F170</f>
        <v>7690872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27438499</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161100452</v>
      </c>
      <c r="D8" s="1688">
        <f t="shared" ref="D8:K8" si="0">SUM(D4:D7)</f>
        <v>15520701</v>
      </c>
      <c r="E8" s="1688">
        <f t="shared" si="0"/>
        <v>8087223</v>
      </c>
      <c r="F8" s="1688">
        <f t="shared" si="0"/>
        <v>13183865</v>
      </c>
      <c r="G8" s="1688">
        <f t="shared" si="0"/>
        <v>6380951</v>
      </c>
      <c r="H8" s="1688">
        <f t="shared" si="0"/>
        <v>0</v>
      </c>
      <c r="I8" s="1688">
        <f t="shared" si="0"/>
        <v>32</v>
      </c>
      <c r="J8" s="1688">
        <f t="shared" si="0"/>
        <v>3401725</v>
      </c>
      <c r="K8" s="1688">
        <f t="shared" si="0"/>
        <v>117</v>
      </c>
      <c r="L8" s="347"/>
    </row>
    <row r="9" spans="1:13" ht="15.75" thickTop="1" x14ac:dyDescent="0.2">
      <c r="A9" s="514" t="s">
        <v>1653</v>
      </c>
      <c r="B9" s="515">
        <v>3998</v>
      </c>
      <c r="C9" s="481">
        <v>40751692</v>
      </c>
      <c r="D9" s="516"/>
      <c r="E9" s="481"/>
      <c r="F9" s="481"/>
      <c r="G9" s="517"/>
      <c r="H9" s="481"/>
      <c r="I9" s="509" t="s">
        <v>1169</v>
      </c>
      <c r="J9" s="478"/>
      <c r="K9" s="481"/>
      <c r="L9" s="347"/>
    </row>
    <row r="10" spans="1:13" s="519" customFormat="1" ht="13.5" thickBot="1" x14ac:dyDescent="0.25">
      <c r="A10" s="1736" t="s">
        <v>1173</v>
      </c>
      <c r="B10" s="1709"/>
      <c r="C10" s="1688">
        <f>SUM(C8:C9)</f>
        <v>201852144</v>
      </c>
      <c r="D10" s="1688">
        <f t="shared" ref="D10:K10" si="1">SUM(D8:D9)</f>
        <v>15520701</v>
      </c>
      <c r="E10" s="1688">
        <f t="shared" si="1"/>
        <v>8087223</v>
      </c>
      <c r="F10" s="1688">
        <f t="shared" si="1"/>
        <v>13183865</v>
      </c>
      <c r="G10" s="1688">
        <f t="shared" si="1"/>
        <v>6380951</v>
      </c>
      <c r="H10" s="1688">
        <f t="shared" si="1"/>
        <v>0</v>
      </c>
      <c r="I10" s="1688">
        <f t="shared" si="1"/>
        <v>32</v>
      </c>
      <c r="J10" s="1688">
        <f t="shared" si="1"/>
        <v>3401725</v>
      </c>
      <c r="K10" s="1688">
        <f t="shared" si="1"/>
        <v>117</v>
      </c>
      <c r="L10" s="518"/>
    </row>
    <row r="11" spans="1:13" s="519" customFormat="1" ht="16.7" customHeight="1" thickTop="1" x14ac:dyDescent="0.2">
      <c r="A11" s="2181" t="s">
        <v>1176</v>
      </c>
      <c r="B11" s="2182"/>
      <c r="C11" s="1570"/>
      <c r="D11" s="1571"/>
      <c r="E11" s="1571"/>
      <c r="F11" s="1571"/>
      <c r="G11" s="1571"/>
      <c r="H11" s="1571"/>
      <c r="I11" s="1571"/>
      <c r="J11" s="1571"/>
      <c r="K11" s="1572"/>
      <c r="L11" s="518"/>
    </row>
    <row r="12" spans="1:13" ht="15.75" customHeight="1" x14ac:dyDescent="0.2">
      <c r="A12" s="1576" t="s">
        <v>456</v>
      </c>
      <c r="B12" s="1578">
        <v>1000</v>
      </c>
      <c r="C12" s="1742">
        <f>'Expenditures 15-22'!K33</f>
        <v>99173057</v>
      </c>
      <c r="D12" s="520" t="s">
        <v>1169</v>
      </c>
      <c r="E12" s="468" t="s">
        <v>1169</v>
      </c>
      <c r="F12" s="468" t="s">
        <v>1169</v>
      </c>
      <c r="G12" s="1742">
        <f>'Expenditures 15-22'!K229</f>
        <v>2004369</v>
      </c>
      <c r="H12" s="521"/>
      <c r="I12" s="468" t="s">
        <v>1169</v>
      </c>
      <c r="J12" s="468" t="s">
        <v>1169</v>
      </c>
      <c r="K12" s="521" t="s">
        <v>1169</v>
      </c>
      <c r="L12" s="347"/>
    </row>
    <row r="13" spans="1:13" ht="15.75" customHeight="1" x14ac:dyDescent="0.2">
      <c r="A13" s="1576" t="s">
        <v>457</v>
      </c>
      <c r="B13" s="1578">
        <v>2000</v>
      </c>
      <c r="C13" s="1743">
        <f>'Expenditures 15-22'!K74</f>
        <v>48808206</v>
      </c>
      <c r="D13" s="1743">
        <f>'Expenditures 15-22'!K129</f>
        <v>14965921</v>
      </c>
      <c r="E13" s="469" t="s">
        <v>1169</v>
      </c>
      <c r="F13" s="1743">
        <f>'Expenditures 15-22'!K184</f>
        <v>11504828</v>
      </c>
      <c r="G13" s="1743">
        <f>'Expenditures 15-22'!K279</f>
        <v>4013910</v>
      </c>
      <c r="H13" s="1743">
        <f>'Expenditures 15-22'!K303</f>
        <v>0</v>
      </c>
      <c r="I13" s="468" t="s">
        <v>1169</v>
      </c>
      <c r="J13" s="1743">
        <f>'Expenditures 15-22'!K330</f>
        <v>3626243</v>
      </c>
      <c r="K13" s="1747">
        <f>'Expenditures 15-22'!K352</f>
        <v>20452</v>
      </c>
      <c r="L13" s="347"/>
    </row>
    <row r="14" spans="1:13" ht="15.75" customHeight="1" x14ac:dyDescent="0.2">
      <c r="A14" s="1576" t="s">
        <v>449</v>
      </c>
      <c r="B14" s="1578">
        <v>3000</v>
      </c>
      <c r="C14" s="1743">
        <f>'Expenditures 15-22'!K75</f>
        <v>4772360</v>
      </c>
      <c r="D14" s="1743">
        <f>'Expenditures 15-22'!K130</f>
        <v>0</v>
      </c>
      <c r="E14" s="520" t="s">
        <v>1169</v>
      </c>
      <c r="F14" s="1743">
        <f>'Expenditures 15-22'!K185</f>
        <v>0</v>
      </c>
      <c r="G14" s="1743">
        <f>'Expenditures 15-22'!K280</f>
        <v>47203</v>
      </c>
      <c r="H14" s="512"/>
      <c r="I14" s="468" t="s">
        <v>1169</v>
      </c>
      <c r="J14" s="468" t="s">
        <v>1169</v>
      </c>
      <c r="K14" s="512" t="s">
        <v>1169</v>
      </c>
      <c r="L14" s="347"/>
    </row>
    <row r="15" spans="1:13" ht="15.75" customHeight="1" x14ac:dyDescent="0.2">
      <c r="A15" s="1576" t="s">
        <v>107</v>
      </c>
      <c r="B15" s="1578">
        <v>4000</v>
      </c>
      <c r="C15" s="1743">
        <f>'Expenditures 15-22'!K102</f>
        <v>4970223</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19718</v>
      </c>
      <c r="D16" s="1743">
        <f>'Expenditures 15-22'!K149</f>
        <v>45</v>
      </c>
      <c r="E16" s="1743">
        <f>'Expenditures 15-22'!K172</f>
        <v>7404593</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157743564</v>
      </c>
      <c r="D17" s="1688">
        <f t="shared" si="2"/>
        <v>14965966</v>
      </c>
      <c r="E17" s="1688">
        <f t="shared" si="2"/>
        <v>7404593</v>
      </c>
      <c r="F17" s="1688">
        <f t="shared" si="2"/>
        <v>11504828</v>
      </c>
      <c r="G17" s="1688">
        <f t="shared" si="2"/>
        <v>6065482</v>
      </c>
      <c r="H17" s="1688">
        <f t="shared" si="2"/>
        <v>0</v>
      </c>
      <c r="I17" s="468"/>
      <c r="J17" s="1688">
        <f>SUM(J12:J16)</f>
        <v>3626243</v>
      </c>
      <c r="K17" s="1688">
        <f>SUM(K12:K16)</f>
        <v>20452</v>
      </c>
      <c r="L17" s="347"/>
    </row>
    <row r="18" spans="1:12" ht="15" customHeight="1" thickTop="1" x14ac:dyDescent="0.2">
      <c r="A18" s="1744" t="s">
        <v>1654</v>
      </c>
      <c r="B18" s="1745">
        <v>4180</v>
      </c>
      <c r="C18" s="1742">
        <f t="shared" ref="C18:H18" si="3">C9</f>
        <v>40751692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198495256</v>
      </c>
      <c r="D19" s="1688">
        <f t="shared" si="4"/>
        <v>14965966</v>
      </c>
      <c r="E19" s="1688">
        <f t="shared" si="4"/>
        <v>7404593</v>
      </c>
      <c r="F19" s="1688">
        <f t="shared" si="4"/>
        <v>11504828</v>
      </c>
      <c r="G19" s="1688">
        <f t="shared" si="4"/>
        <v>6065482</v>
      </c>
      <c r="H19" s="1688">
        <f t="shared" si="4"/>
        <v>0</v>
      </c>
      <c r="I19" s="468"/>
      <c r="J19" s="1688">
        <f>SUM(J17:J18)</f>
        <v>3626243</v>
      </c>
      <c r="K19" s="1688">
        <f>SUM(K17:K18)</f>
        <v>20452</v>
      </c>
      <c r="L19" s="347"/>
    </row>
    <row r="20" spans="1:12" ht="16.5" thickTop="1" thickBot="1" x14ac:dyDescent="0.25">
      <c r="A20" s="2197" t="s">
        <v>1655</v>
      </c>
      <c r="B20" s="2198"/>
      <c r="C20" s="1746">
        <f>C8-C17</f>
        <v>3356888</v>
      </c>
      <c r="D20" s="1746">
        <f t="shared" ref="D20:K20" si="5">D8-D17</f>
        <v>554735</v>
      </c>
      <c r="E20" s="1746">
        <f t="shared" si="5"/>
        <v>682630</v>
      </c>
      <c r="F20" s="1746">
        <f t="shared" si="5"/>
        <v>1679037</v>
      </c>
      <c r="G20" s="1746">
        <f t="shared" si="5"/>
        <v>315469</v>
      </c>
      <c r="H20" s="1746">
        <f t="shared" si="5"/>
        <v>0</v>
      </c>
      <c r="I20" s="1746">
        <f t="shared" si="5"/>
        <v>32</v>
      </c>
      <c r="J20" s="1746">
        <f t="shared" si="5"/>
        <v>-224518</v>
      </c>
      <c r="K20" s="1746">
        <f t="shared" si="5"/>
        <v>-20335</v>
      </c>
      <c r="L20" s="347"/>
    </row>
    <row r="21" spans="1:12" ht="16.7" customHeight="1" thickTop="1" x14ac:dyDescent="0.2">
      <c r="A21" s="2209" t="s">
        <v>595</v>
      </c>
      <c r="B21" s="2210"/>
      <c r="C21" s="1570"/>
      <c r="D21" s="1571"/>
      <c r="E21" s="1571"/>
      <c r="F21" s="1571"/>
      <c r="G21" s="1571"/>
      <c r="H21" s="1571"/>
      <c r="I21" s="1571"/>
      <c r="J21" s="1571"/>
      <c r="K21" s="1572"/>
      <c r="L21" s="524"/>
    </row>
    <row r="22" spans="1:12" ht="15.75" customHeight="1" collapsed="1" x14ac:dyDescent="0.2">
      <c r="A22" s="2205" t="s">
        <v>596</v>
      </c>
      <c r="B22" s="2206"/>
      <c r="C22" s="477"/>
      <c r="D22" s="477"/>
      <c r="E22" s="477"/>
      <c r="F22" s="477"/>
      <c r="G22" s="477"/>
      <c r="H22" s="477"/>
      <c r="I22" s="477"/>
      <c r="J22" s="477"/>
      <c r="K22" s="477"/>
      <c r="L22" s="347"/>
    </row>
    <row r="23" spans="1:12" s="485" customFormat="1" ht="15.75" customHeight="1" x14ac:dyDescent="0.2">
      <c r="A23" s="2201" t="s">
        <v>293</v>
      </c>
      <c r="B23" s="220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203" t="s">
        <v>981</v>
      </c>
      <c r="B32" s="220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107726</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v>307000</v>
      </c>
      <c r="E43" s="467"/>
      <c r="F43" s="467"/>
      <c r="G43" s="467"/>
      <c r="H43" s="467"/>
      <c r="I43" s="467"/>
      <c r="J43" s="467"/>
      <c r="K43" s="467"/>
      <c r="L43" s="524"/>
    </row>
    <row r="44" spans="1:12" s="485" customFormat="1" ht="13.5" customHeight="1" thickBot="1" x14ac:dyDescent="0.25">
      <c r="A44" s="2211" t="s">
        <v>374</v>
      </c>
      <c r="B44" s="2212"/>
      <c r="C44" s="1703">
        <f>SUM(C24:C43)</f>
        <v>0</v>
      </c>
      <c r="D44" s="1703">
        <f t="shared" ref="D44:K44" si="6">SUM(D24:D43)</f>
        <v>307000</v>
      </c>
      <c r="E44" s="1703">
        <f t="shared" si="6"/>
        <v>107726</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205" t="s">
        <v>108</v>
      </c>
      <c r="B45" s="2206"/>
      <c r="C45" s="528"/>
      <c r="D45" s="528"/>
      <c r="E45" s="528"/>
      <c r="F45" s="528"/>
      <c r="G45" s="528"/>
      <c r="H45" s="528"/>
      <c r="I45" s="528"/>
      <c r="J45" s="528"/>
      <c r="K45" s="528"/>
      <c r="L45" s="347"/>
    </row>
    <row r="46" spans="1:12" s="485" customFormat="1" ht="15.75" customHeight="1" x14ac:dyDescent="0.2">
      <c r="A46" s="2213" t="s">
        <v>109</v>
      </c>
      <c r="B46" s="221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v>107726</v>
      </c>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87" t="s">
        <v>440</v>
      </c>
      <c r="B76" s="2188"/>
      <c r="C76" s="1703">
        <f t="shared" ref="C76:K76" si="7">SUM(C47:C75)</f>
        <v>0</v>
      </c>
      <c r="D76" s="1703">
        <f t="shared" si="7"/>
        <v>107726</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89" t="s">
        <v>1177</v>
      </c>
      <c r="B77" s="2190"/>
      <c r="C77" s="1703">
        <f t="shared" ref="C77:K77" si="8">C44-C76</f>
        <v>0</v>
      </c>
      <c r="D77" s="1703">
        <f t="shared" si="8"/>
        <v>199274</v>
      </c>
      <c r="E77" s="1703">
        <f t="shared" si="8"/>
        <v>107726</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93" t="s">
        <v>597</v>
      </c>
      <c r="B78" s="2194"/>
      <c r="C78" s="1702">
        <f t="shared" ref="C78:K78" si="9">C20+C77</f>
        <v>3356888</v>
      </c>
      <c r="D78" s="1702">
        <f t="shared" si="9"/>
        <v>754009</v>
      </c>
      <c r="E78" s="1702">
        <f t="shared" si="9"/>
        <v>790356</v>
      </c>
      <c r="F78" s="1702">
        <f t="shared" si="9"/>
        <v>1679037</v>
      </c>
      <c r="G78" s="1702">
        <f t="shared" si="9"/>
        <v>315469</v>
      </c>
      <c r="H78" s="1702">
        <f t="shared" si="9"/>
        <v>0</v>
      </c>
      <c r="I78" s="1702">
        <f t="shared" si="9"/>
        <v>32</v>
      </c>
      <c r="J78" s="1702">
        <f t="shared" si="9"/>
        <v>-224518</v>
      </c>
      <c r="K78" s="1702">
        <f t="shared" si="9"/>
        <v>-20335</v>
      </c>
      <c r="L78" s="533"/>
    </row>
    <row r="79" spans="1:12" ht="13.5" thickTop="1" x14ac:dyDescent="0.2">
      <c r="A79" s="1494" t="s">
        <v>1944</v>
      </c>
      <c r="B79" s="534"/>
      <c r="C79" s="478">
        <v>13190393</v>
      </c>
      <c r="D79" s="535">
        <v>1360666</v>
      </c>
      <c r="E79" s="535">
        <v>7739143</v>
      </c>
      <c r="F79" s="535">
        <v>868460</v>
      </c>
      <c r="G79" s="535">
        <v>-292640</v>
      </c>
      <c r="H79" s="535">
        <v>0</v>
      </c>
      <c r="I79" s="535">
        <v>15551352</v>
      </c>
      <c r="J79" s="535">
        <v>2066562</v>
      </c>
      <c r="K79" s="535">
        <v>22701</v>
      </c>
      <c r="L79" s="347"/>
    </row>
    <row r="80" spans="1:12" x14ac:dyDescent="0.2">
      <c r="A80" s="2199" t="s">
        <v>1792</v>
      </c>
      <c r="B80" s="2200"/>
      <c r="C80" s="467"/>
      <c r="D80" s="467"/>
      <c r="E80" s="467"/>
      <c r="F80" s="467"/>
      <c r="G80" s="467"/>
      <c r="H80" s="467"/>
      <c r="I80" s="467"/>
      <c r="J80" s="467"/>
      <c r="K80" s="467"/>
      <c r="L80" s="347"/>
    </row>
    <row r="81" spans="1:12" ht="13.5" thickBot="1" x14ac:dyDescent="0.25">
      <c r="A81" s="2191" t="s">
        <v>1945</v>
      </c>
      <c r="B81" s="2192"/>
      <c r="C81" s="1688">
        <f>(SUM(C78:C80))</f>
        <v>16547281</v>
      </c>
      <c r="D81" s="1688">
        <f>SUM(D78:D80)</f>
        <v>2114675</v>
      </c>
      <c r="E81" s="1688">
        <f t="shared" ref="E81:K81" si="10">SUM(E78:E80)</f>
        <v>8529499</v>
      </c>
      <c r="F81" s="1688">
        <f t="shared" si="10"/>
        <v>2547497</v>
      </c>
      <c r="G81" s="1688">
        <f t="shared" si="10"/>
        <v>22829</v>
      </c>
      <c r="H81" s="1688">
        <f t="shared" si="10"/>
        <v>0</v>
      </c>
      <c r="I81" s="1688">
        <f t="shared" si="10"/>
        <v>15551384</v>
      </c>
      <c r="J81" s="1688">
        <f t="shared" si="10"/>
        <v>1842044</v>
      </c>
      <c r="K81" s="1688">
        <f t="shared" si="10"/>
        <v>2366</v>
      </c>
      <c r="L81" s="347"/>
    </row>
    <row r="82" spans="1:12" ht="0.75" customHeight="1" thickTop="1" thickBot="1" x14ac:dyDescent="0.25">
      <c r="A82" s="536" t="s">
        <v>343</v>
      </c>
      <c r="B82" s="537"/>
      <c r="C82" s="538">
        <f>(C81-C79)</f>
        <v>3356888</v>
      </c>
      <c r="D82" s="538">
        <f t="shared" ref="D82:K82" si="11">(D81-D79)</f>
        <v>754009</v>
      </c>
      <c r="E82" s="538">
        <f t="shared" si="11"/>
        <v>790356</v>
      </c>
      <c r="F82" s="538">
        <f t="shared" si="11"/>
        <v>1679037</v>
      </c>
      <c r="G82" s="538">
        <f t="shared" si="11"/>
        <v>315469</v>
      </c>
      <c r="H82" s="538">
        <f t="shared" si="11"/>
        <v>0</v>
      </c>
      <c r="I82" s="538">
        <f t="shared" si="11"/>
        <v>32</v>
      </c>
      <c r="J82" s="538">
        <f t="shared" si="11"/>
        <v>-224518</v>
      </c>
      <c r="K82" s="538">
        <f t="shared" si="11"/>
        <v>-20335</v>
      </c>
    </row>
    <row r="83" spans="1:12" ht="14.25" hidden="1" thickTop="1" thickBot="1" x14ac:dyDescent="0.25">
      <c r="A83" s="539" t="s">
        <v>344</v>
      </c>
      <c r="B83" s="464"/>
      <c r="C83" s="540">
        <f>C82/C81</f>
        <v>0.20286644071615148</v>
      </c>
      <c r="D83" s="540">
        <f t="shared" ref="D83:K83" si="12">D82/D81</f>
        <v>0.35656022793100595</v>
      </c>
      <c r="E83" s="540">
        <f t="shared" si="12"/>
        <v>9.2661479882933329E-2</v>
      </c>
      <c r="F83" s="540">
        <f t="shared" si="12"/>
        <v>0.65909282719469342</v>
      </c>
      <c r="G83" s="540">
        <f t="shared" si="12"/>
        <v>13.81878312672478</v>
      </c>
      <c r="H83" s="540" t="e">
        <f t="shared" si="12"/>
        <v>#DIV/0!</v>
      </c>
      <c r="I83" s="540">
        <f t="shared" si="12"/>
        <v>2.0576946720626279E-6</v>
      </c>
      <c r="J83" s="540">
        <f t="shared" si="12"/>
        <v>-0.12188525355528966</v>
      </c>
      <c r="K83" s="540">
        <f t="shared" si="12"/>
        <v>-8.5946745562130182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228" activePane="bottomLeft" state="frozen"/>
      <selection activeCell="Q16" sqref="Q16"/>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95" t="s">
        <v>1799</v>
      </c>
      <c r="B1" s="452"/>
      <c r="C1" s="453" t="s">
        <v>425</v>
      </c>
      <c r="D1" s="453" t="s">
        <v>426</v>
      </c>
      <c r="E1" s="453" t="s">
        <v>427</v>
      </c>
      <c r="F1" s="453" t="s">
        <v>428</v>
      </c>
      <c r="G1" s="453" t="s">
        <v>429</v>
      </c>
      <c r="H1" s="453" t="s">
        <v>430</v>
      </c>
      <c r="I1" s="453" t="s">
        <v>431</v>
      </c>
      <c r="J1" s="453" t="s">
        <v>432</v>
      </c>
      <c r="K1" s="453" t="s">
        <v>756</v>
      </c>
    </row>
    <row r="2" spans="1:12" ht="36" x14ac:dyDescent="0.2">
      <c r="A2" s="219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67680192</v>
      </c>
      <c r="D5" s="481">
        <v>13805002</v>
      </c>
      <c r="E5" s="466">
        <v>7898792</v>
      </c>
      <c r="F5" s="548">
        <f>5206540</f>
        <v>5206540</v>
      </c>
      <c r="G5" s="466">
        <v>2756015</v>
      </c>
      <c r="H5" s="466"/>
      <c r="I5" s="466"/>
      <c r="J5" s="467">
        <v>2994170</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2068997</v>
      </c>
      <c r="D7" s="466"/>
      <c r="E7" s="468"/>
      <c r="F7" s="467"/>
      <c r="G7" s="467"/>
      <c r="H7" s="467"/>
      <c r="I7" s="468"/>
      <c r="J7" s="468"/>
      <c r="K7" s="468"/>
    </row>
    <row r="8" spans="1:12" x14ac:dyDescent="0.2">
      <c r="A8" s="463" t="s">
        <v>413</v>
      </c>
      <c r="B8" s="470">
        <v>1150</v>
      </c>
      <c r="C8" s="475"/>
      <c r="D8" s="475"/>
      <c r="E8" s="477"/>
      <c r="F8" s="477"/>
      <c r="G8" s="481">
        <v>2848114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69749189</v>
      </c>
      <c r="D12" s="1707">
        <f t="shared" si="0"/>
        <v>13805002</v>
      </c>
      <c r="E12" s="1707">
        <f t="shared" si="0"/>
        <v>7898792</v>
      </c>
      <c r="F12" s="1707">
        <f t="shared" si="0"/>
        <v>5206540</v>
      </c>
      <c r="G12" s="1707">
        <f t="shared" si="0"/>
        <v>5604129</v>
      </c>
      <c r="H12" s="1707">
        <f t="shared" si="0"/>
        <v>0</v>
      </c>
      <c r="I12" s="1707">
        <f t="shared" si="0"/>
        <v>0</v>
      </c>
      <c r="J12" s="1707">
        <f t="shared" si="0"/>
        <v>2994170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74902</v>
      </c>
      <c r="D14" s="466">
        <v>14845</v>
      </c>
      <c r="E14" s="466">
        <v>8553</v>
      </c>
      <c r="F14" s="466">
        <v>5599</v>
      </c>
      <c r="G14" s="466">
        <v>6026</v>
      </c>
      <c r="H14" s="466"/>
      <c r="I14" s="466"/>
      <c r="J14" s="467">
        <v>3327</v>
      </c>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4460338</v>
      </c>
      <c r="D16" s="466">
        <v>625682</v>
      </c>
      <c r="E16" s="466"/>
      <c r="F16" s="466">
        <v>200000</v>
      </c>
      <c r="G16" s="466">
        <v>719426</v>
      </c>
      <c r="H16" s="466"/>
      <c r="I16" s="466"/>
      <c r="J16" s="467">
        <v>350000</v>
      </c>
      <c r="K16" s="466"/>
    </row>
    <row r="17" spans="1:11" ht="12.75" customHeight="1" x14ac:dyDescent="0.2">
      <c r="A17" s="463" t="s">
        <v>807</v>
      </c>
      <c r="B17" s="470">
        <v>1290</v>
      </c>
      <c r="C17" s="551">
        <v>802353</v>
      </c>
      <c r="D17" s="466">
        <v>200588</v>
      </c>
      <c r="E17" s="466"/>
      <c r="F17" s="466"/>
      <c r="G17" s="466"/>
      <c r="H17" s="466"/>
      <c r="I17" s="466"/>
      <c r="J17" s="467"/>
      <c r="K17" s="466"/>
    </row>
    <row r="18" spans="1:11" ht="12.75" customHeight="1" thickBot="1" x14ac:dyDescent="0.25">
      <c r="A18" s="1708" t="s">
        <v>537</v>
      </c>
      <c r="B18" s="1709"/>
      <c r="C18" s="1710">
        <f>SUM(C14:C17)</f>
        <v>5337593</v>
      </c>
      <c r="D18" s="1710">
        <f t="shared" ref="D18:K18" si="1">SUM(D14:D17)</f>
        <v>841115</v>
      </c>
      <c r="E18" s="1710">
        <f t="shared" si="1"/>
        <v>8553</v>
      </c>
      <c r="F18" s="1710">
        <f t="shared" si="1"/>
        <v>205599</v>
      </c>
      <c r="G18" s="1710">
        <f t="shared" si="1"/>
        <v>725452</v>
      </c>
      <c r="H18" s="1710">
        <f t="shared" si="1"/>
        <v>0</v>
      </c>
      <c r="I18" s="1710">
        <f t="shared" si="1"/>
        <v>0</v>
      </c>
      <c r="J18" s="1710">
        <f t="shared" si="1"/>
        <v>353327</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61604</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41243</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v>21080</v>
      </c>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v>175</v>
      </c>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124102</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680543</v>
      </c>
      <c r="D65" s="466">
        <v>101567</v>
      </c>
      <c r="E65" s="466">
        <v>179878</v>
      </c>
      <c r="F65" s="467">
        <v>80854</v>
      </c>
      <c r="G65" s="466">
        <v>51370</v>
      </c>
      <c r="H65" s="466"/>
      <c r="I65" s="466">
        <v>32</v>
      </c>
      <c r="J65" s="467">
        <v>45355</v>
      </c>
      <c r="K65" s="466">
        <v>117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680543</v>
      </c>
      <c r="D67" s="1688">
        <f t="shared" ref="D67:K67" si="2">SUM(D65:D66)</f>
        <v>101567</v>
      </c>
      <c r="E67" s="1688">
        <f t="shared" si="2"/>
        <v>179878</v>
      </c>
      <c r="F67" s="1688">
        <f t="shared" si="2"/>
        <v>80854</v>
      </c>
      <c r="G67" s="1688">
        <f t="shared" si="2"/>
        <v>51370</v>
      </c>
      <c r="H67" s="1688">
        <f t="shared" si="2"/>
        <v>0</v>
      </c>
      <c r="I67" s="1688">
        <f t="shared" si="2"/>
        <v>32</v>
      </c>
      <c r="J67" s="1688">
        <f t="shared" si="2"/>
        <v>45355</v>
      </c>
      <c r="K67" s="1688">
        <f t="shared" si="2"/>
        <v>117</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60095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226568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286663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66536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69145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135681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224579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v>42864</v>
      </c>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267443</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755132</v>
      </c>
      <c r="E95" s="521"/>
      <c r="F95" s="521"/>
      <c r="G95" s="521"/>
      <c r="H95" s="521"/>
      <c r="I95" s="521"/>
      <c r="J95" s="521"/>
      <c r="K95" s="521"/>
    </row>
    <row r="96" spans="1:11" ht="12.75" customHeight="1" x14ac:dyDescent="0.2">
      <c r="A96" s="463" t="s">
        <v>391</v>
      </c>
      <c r="B96" s="470">
        <v>1920</v>
      </c>
      <c r="C96" s="551">
        <v>115237</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87916</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70175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1355715</v>
      </c>
      <c r="D106" s="489"/>
      <c r="E106" s="467"/>
      <c r="F106" s="467"/>
      <c r="G106" s="467"/>
      <c r="H106" s="467"/>
      <c r="I106" s="521"/>
      <c r="J106" s="467"/>
      <c r="K106" s="467"/>
    </row>
    <row r="107" spans="1:12" ht="12.75" customHeight="1" x14ac:dyDescent="0.2">
      <c r="A107" s="463" t="s">
        <v>78</v>
      </c>
      <c r="B107" s="470">
        <v>1999</v>
      </c>
      <c r="C107" s="551">
        <v>317466</v>
      </c>
      <c r="D107" s="466">
        <v>17885</v>
      </c>
      <c r="E107" s="466"/>
      <c r="F107" s="466"/>
      <c r="G107" s="466"/>
      <c r="H107" s="466"/>
      <c r="I107" s="466"/>
      <c r="J107" s="467">
        <v>8873</v>
      </c>
      <c r="K107" s="466"/>
    </row>
    <row r="108" spans="1:12" ht="12.75" customHeight="1" thickBot="1" x14ac:dyDescent="0.25">
      <c r="A108" s="1708" t="s">
        <v>487</v>
      </c>
      <c r="B108" s="1712"/>
      <c r="C108" s="1707">
        <f>SUM(C95:C107)</f>
        <v>1946509</v>
      </c>
      <c r="D108" s="1707">
        <f t="shared" ref="D108:K108" si="3">SUM(D95:D107)</f>
        <v>773017</v>
      </c>
      <c r="E108" s="1707">
        <f t="shared" si="3"/>
        <v>0</v>
      </c>
      <c r="F108" s="1707">
        <f t="shared" si="3"/>
        <v>0</v>
      </c>
      <c r="G108" s="1707">
        <f t="shared" si="3"/>
        <v>0</v>
      </c>
      <c r="H108" s="1707">
        <f t="shared" si="3"/>
        <v>0</v>
      </c>
      <c r="I108" s="1707">
        <f t="shared" si="3"/>
        <v>0</v>
      </c>
      <c r="J108" s="1707">
        <f t="shared" si="3"/>
        <v>8873</v>
      </c>
      <c r="K108" s="1688">
        <f t="shared" si="3"/>
        <v>0</v>
      </c>
    </row>
    <row r="109" spans="1:12" ht="14.25" thickTop="1" thickBot="1" x14ac:dyDescent="0.25">
      <c r="A109" s="1713" t="s">
        <v>248</v>
      </c>
      <c r="B109" s="1714" t="s">
        <v>570</v>
      </c>
      <c r="C109" s="1715">
        <f t="shared" ref="C109:K109" si="4">SUM(C12,C18,C40,C63,C67,C75,C82,C93,C108,)</f>
        <v>78527723</v>
      </c>
      <c r="D109" s="1715">
        <f t="shared" si="4"/>
        <v>15520701</v>
      </c>
      <c r="E109" s="1715">
        <f t="shared" si="4"/>
        <v>8087223</v>
      </c>
      <c r="F109" s="1715">
        <f t="shared" si="4"/>
        <v>5492993</v>
      </c>
      <c r="G109" s="1715">
        <f t="shared" si="4"/>
        <v>6380951</v>
      </c>
      <c r="H109" s="1715">
        <f t="shared" si="4"/>
        <v>0</v>
      </c>
      <c r="I109" s="1715">
        <f t="shared" si="4"/>
        <v>32</v>
      </c>
      <c r="J109" s="1715">
        <f t="shared" si="4"/>
        <v>3401725</v>
      </c>
      <c r="K109" s="1702">
        <f t="shared" si="4"/>
        <v>117</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47945094</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47945094</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429360</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342069</v>
      </c>
      <c r="D128" s="561"/>
      <c r="E128" s="468"/>
      <c r="F128" s="466"/>
      <c r="G128" s="468"/>
      <c r="H128" s="468"/>
      <c r="I128" s="468"/>
      <c r="J128" s="468"/>
      <c r="K128" s="468"/>
    </row>
    <row r="129" spans="1:11" ht="12.75" customHeight="1" x14ac:dyDescent="0.2">
      <c r="A129" s="463" t="s">
        <v>1447</v>
      </c>
      <c r="B129" s="562">
        <v>3130</v>
      </c>
      <c r="C129" s="466">
        <v>31952</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803381</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143954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167825</v>
      </c>
      <c r="D148" s="573"/>
      <c r="E148" s="509"/>
      <c r="F148" s="468"/>
      <c r="G148" s="468"/>
      <c r="H148" s="468"/>
      <c r="I148" s="468"/>
      <c r="J148" s="468"/>
      <c r="K148" s="468"/>
    </row>
    <row r="149" spans="1:11" ht="12.75" customHeight="1" thickTop="1" thickBot="1" x14ac:dyDescent="0.25">
      <c r="A149" s="1500" t="s">
        <v>767</v>
      </c>
      <c r="B149" s="574">
        <v>3410</v>
      </c>
      <c r="C149" s="575">
        <v>347221</v>
      </c>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3825351</v>
      </c>
      <c r="G152" s="467"/>
      <c r="H152" s="468"/>
      <c r="I152" s="468"/>
      <c r="J152" s="468"/>
      <c r="K152" s="468"/>
    </row>
    <row r="153" spans="1:11" ht="12.75" customHeight="1" x14ac:dyDescent="0.2">
      <c r="A153" s="463" t="s">
        <v>1057</v>
      </c>
      <c r="B153" s="562">
        <v>3510</v>
      </c>
      <c r="C153" s="551"/>
      <c r="D153" s="466"/>
      <c r="E153" s="561"/>
      <c r="F153" s="466">
        <v>3865521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7690872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4983030</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743725</v>
      </c>
      <c r="D168" s="580"/>
      <c r="E168" s="580"/>
      <c r="F168" s="580"/>
      <c r="G168" s="581"/>
      <c r="H168" s="582"/>
      <c r="I168" s="581"/>
      <c r="J168" s="581"/>
      <c r="K168" s="582"/>
    </row>
    <row r="169" spans="1:11" ht="12.75" customHeight="1" thickTop="1" thickBot="1" x14ac:dyDescent="0.25">
      <c r="A169" s="2215" t="s">
        <v>398</v>
      </c>
      <c r="B169" s="2216"/>
      <c r="C169" s="1722">
        <f t="shared" ref="C169:K169" si="6">SUM(C132,C141,C145,C146:C150,C155,C156:C167,C168)</f>
        <v>7189136</v>
      </c>
      <c r="D169" s="1722">
        <f t="shared" si="6"/>
        <v>0</v>
      </c>
      <c r="E169" s="1722">
        <f t="shared" si="6"/>
        <v>0</v>
      </c>
      <c r="F169" s="1722">
        <f t="shared" si="6"/>
        <v>7690872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55134230</v>
      </c>
      <c r="D170" s="1715">
        <f t="shared" si="7"/>
        <v>0</v>
      </c>
      <c r="E170" s="1715">
        <f t="shared" si="7"/>
        <v>0</v>
      </c>
      <c r="F170" s="1715">
        <f t="shared" si="7"/>
        <v>7690872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217" t="s">
        <v>1492</v>
      </c>
      <c r="B172" s="221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221" t="s">
        <v>1665</v>
      </c>
      <c r="B175" s="222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225" t="s">
        <v>1664</v>
      </c>
      <c r="B176" s="222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223" t="s">
        <v>785</v>
      </c>
      <c r="B181" s="222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219" t="s">
        <v>1800</v>
      </c>
      <c r="B182" s="222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5886114</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1893729</v>
      </c>
      <c r="D193" s="468"/>
      <c r="E193" s="561"/>
      <c r="F193" s="468"/>
      <c r="G193" s="585"/>
      <c r="H193" s="468"/>
      <c r="I193" s="468"/>
      <c r="J193" s="468"/>
      <c r="K193" s="468"/>
    </row>
    <row r="194" spans="1:11" ht="12.75" customHeight="1" x14ac:dyDescent="0.2">
      <c r="A194" s="463" t="s">
        <v>1451</v>
      </c>
      <c r="B194" s="470">
        <v>4225</v>
      </c>
      <c r="C194" s="551">
        <v>131050</v>
      </c>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v>281401</v>
      </c>
      <c r="D196" s="468"/>
      <c r="E196" s="561"/>
      <c r="F196" s="468"/>
      <c r="G196" s="586"/>
      <c r="H196" s="468"/>
      <c r="I196" s="468"/>
      <c r="J196" s="468"/>
      <c r="K196" s="468"/>
    </row>
    <row r="197" spans="1:11" ht="12.75" customHeight="1" x14ac:dyDescent="0.2">
      <c r="A197" s="463" t="s">
        <v>71</v>
      </c>
      <c r="B197" s="470">
        <v>4299</v>
      </c>
      <c r="C197" s="551">
        <v>562096</v>
      </c>
      <c r="D197" s="468"/>
      <c r="E197" s="561"/>
      <c r="F197" s="468"/>
      <c r="G197" s="585"/>
      <c r="H197" s="468"/>
      <c r="I197" s="468"/>
      <c r="J197" s="468"/>
      <c r="K197" s="468"/>
    </row>
    <row r="198" spans="1:11" ht="12.75" customHeight="1" thickBot="1" x14ac:dyDescent="0.25">
      <c r="A198" s="1708" t="s">
        <v>548</v>
      </c>
      <c r="B198" s="1709"/>
      <c r="C198" s="1688">
        <f>SUM(C190:C197)</f>
        <v>8754390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9065846</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1642644</v>
      </c>
      <c r="D203" s="466"/>
      <c r="E203" s="468"/>
      <c r="F203" s="466"/>
      <c r="G203" s="466"/>
      <c r="H203" s="468"/>
      <c r="I203" s="468"/>
      <c r="J203" s="468"/>
      <c r="K203" s="468"/>
    </row>
    <row r="204" spans="1:11" ht="12.75" customHeight="1" thickBot="1" x14ac:dyDescent="0.25">
      <c r="A204" s="1708" t="s">
        <v>400</v>
      </c>
      <c r="B204" s="1709"/>
      <c r="C204" s="1707">
        <f>SUM(C200:C203)</f>
        <v>10708490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155146</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4182416</v>
      </c>
      <c r="D213" s="466"/>
      <c r="E213" s="468"/>
      <c r="F213" s="466"/>
      <c r="G213" s="466"/>
      <c r="H213" s="468"/>
      <c r="I213" s="468"/>
      <c r="J213" s="468"/>
      <c r="K213" s="468"/>
    </row>
    <row r="214" spans="1:11" ht="12.75" customHeight="1" x14ac:dyDescent="0.2">
      <c r="A214" s="463" t="s">
        <v>1054</v>
      </c>
      <c r="B214" s="470">
        <v>4625</v>
      </c>
      <c r="C214" s="551">
        <v>610300</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4947862</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70366</v>
      </c>
      <c r="D220" s="466"/>
      <c r="E220" s="468"/>
      <c r="F220" s="468"/>
      <c r="G220" s="466"/>
      <c r="H220" s="468"/>
      <c r="I220" s="468"/>
      <c r="J220" s="468"/>
      <c r="K220" s="468"/>
    </row>
    <row r="221" spans="1:11" ht="12.75" customHeight="1" thickBot="1" x14ac:dyDescent="0.25">
      <c r="A221" s="1723" t="s">
        <v>1085</v>
      </c>
      <c r="B221" s="1724"/>
      <c r="C221" s="1707">
        <f>SUM(C219:C220)</f>
        <v>70366</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v>100782</v>
      </c>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22033</v>
      </c>
      <c r="D255" s="468"/>
      <c r="E255" s="468"/>
      <c r="F255" s="578"/>
      <c r="G255" s="573"/>
      <c r="H255" s="468"/>
      <c r="I255" s="468"/>
      <c r="J255" s="468"/>
      <c r="K255" s="468"/>
    </row>
    <row r="256" spans="1:11" ht="12.75" customHeight="1" thickTop="1" thickBot="1" x14ac:dyDescent="0.25">
      <c r="A256" s="463" t="s">
        <v>1457</v>
      </c>
      <c r="B256" s="470">
        <v>4909</v>
      </c>
      <c r="C256" s="576">
        <v>31563</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1152424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1932</v>
      </c>
      <c r="B261" s="470">
        <v>4981</v>
      </c>
      <c r="C261" s="575"/>
      <c r="D261" s="576"/>
      <c r="E261" s="468"/>
      <c r="F261" s="576"/>
      <c r="G261" s="576"/>
      <c r="H261" s="468"/>
      <c r="I261" s="468"/>
      <c r="J261" s="468"/>
      <c r="K261" s="468"/>
    </row>
    <row r="262" spans="1:11" ht="12.75" customHeight="1" thickTop="1" thickBot="1" x14ac:dyDescent="0.25">
      <c r="A262" s="1931"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453106</v>
      </c>
      <c r="D263" s="576"/>
      <c r="E263" s="468"/>
      <c r="F263" s="576"/>
      <c r="G263" s="576"/>
      <c r="H263" s="468"/>
      <c r="I263" s="468"/>
      <c r="J263" s="468"/>
      <c r="K263" s="468"/>
    </row>
    <row r="264" spans="1:11" ht="12.75" customHeight="1" thickTop="1" thickBot="1" x14ac:dyDescent="0.25">
      <c r="A264" s="463" t="s">
        <v>377</v>
      </c>
      <c r="B264" s="470">
        <v>4992</v>
      </c>
      <c r="C264" s="575">
        <v>770859</v>
      </c>
      <c r="D264" s="576"/>
      <c r="E264" s="468"/>
      <c r="F264" s="576"/>
      <c r="G264" s="576"/>
      <c r="H264" s="468"/>
      <c r="I264" s="468"/>
      <c r="J264" s="468"/>
      <c r="K264" s="468"/>
    </row>
    <row r="265" spans="1:11" s="593" customFormat="1" ht="12.75" customHeight="1" thickTop="1" thickBot="1" x14ac:dyDescent="0.25">
      <c r="A265" s="563" t="s">
        <v>75</v>
      </c>
      <c r="B265" s="557">
        <v>4999</v>
      </c>
      <c r="C265" s="575">
        <v>426624</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27438499</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27438499</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161100452</v>
      </c>
      <c r="D268" s="1715">
        <f t="shared" si="12"/>
        <v>15520701</v>
      </c>
      <c r="E268" s="1715">
        <f t="shared" si="12"/>
        <v>8087223</v>
      </c>
      <c r="F268" s="1715">
        <f t="shared" si="12"/>
        <v>13183865</v>
      </c>
      <c r="G268" s="1715">
        <f t="shared" si="12"/>
        <v>6380951</v>
      </c>
      <c r="H268" s="1715">
        <f t="shared" si="12"/>
        <v>0</v>
      </c>
      <c r="I268" s="1715">
        <f t="shared" si="12"/>
        <v>32</v>
      </c>
      <c r="J268" s="1715">
        <f t="shared" si="12"/>
        <v>3401725</v>
      </c>
      <c r="K268" s="1702">
        <f t="shared" si="12"/>
        <v>117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108" activePane="bottomLeft" state="frozen"/>
      <selection pane="bottomLeft" activeCell="E124" sqref="E12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95"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22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235" t="s">
        <v>297</v>
      </c>
      <c r="B3" s="223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44480181</v>
      </c>
      <c r="D5" s="466">
        <v>10978827</v>
      </c>
      <c r="E5" s="466">
        <v>282741</v>
      </c>
      <c r="F5" s="466">
        <v>2278384</v>
      </c>
      <c r="G5" s="466"/>
      <c r="H5" s="466">
        <v>261257</v>
      </c>
      <c r="I5" s="467">
        <v>75844</v>
      </c>
      <c r="J5" s="467"/>
      <c r="K5" s="1671">
        <f>SUM(C5:J5)</f>
        <v>58357234</v>
      </c>
      <c r="L5" s="466">
        <v>58738825</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1459516</v>
      </c>
      <c r="D7" s="467">
        <v>486433</v>
      </c>
      <c r="E7" s="467">
        <v>1138</v>
      </c>
      <c r="F7" s="467">
        <v>51730</v>
      </c>
      <c r="G7" s="467"/>
      <c r="H7" s="467"/>
      <c r="I7" s="467">
        <v>575</v>
      </c>
      <c r="J7" s="467"/>
      <c r="K7" s="1671">
        <f t="shared" ref="K7:K32" si="0">SUM(C7:J7)</f>
        <v>1999392</v>
      </c>
      <c r="L7" s="466">
        <v>1985726</v>
      </c>
    </row>
    <row r="8" spans="1:14" x14ac:dyDescent="0.2">
      <c r="A8" s="1504" t="s">
        <v>164</v>
      </c>
      <c r="B8" s="614">
        <v>1200</v>
      </c>
      <c r="C8" s="466">
        <v>19615006</v>
      </c>
      <c r="D8" s="466">
        <v>5647601</v>
      </c>
      <c r="E8" s="466"/>
      <c r="F8" s="466">
        <v>56280</v>
      </c>
      <c r="G8" s="466"/>
      <c r="H8" s="466"/>
      <c r="I8" s="467"/>
      <c r="J8" s="467"/>
      <c r="K8" s="1671">
        <f t="shared" si="0"/>
        <v>25318887</v>
      </c>
      <c r="L8" s="466">
        <v>26048652</v>
      </c>
    </row>
    <row r="9" spans="1:14" x14ac:dyDescent="0.2">
      <c r="A9" s="1504" t="s">
        <v>721</v>
      </c>
      <c r="B9" s="614" t="s">
        <v>968</v>
      </c>
      <c r="C9" s="467">
        <v>1355682</v>
      </c>
      <c r="D9" s="467">
        <v>390134</v>
      </c>
      <c r="E9" s="467"/>
      <c r="F9" s="467">
        <v>21536</v>
      </c>
      <c r="G9" s="467"/>
      <c r="H9" s="467"/>
      <c r="I9" s="467"/>
      <c r="J9" s="467"/>
      <c r="K9" s="1671">
        <f t="shared" si="0"/>
        <v>1767352</v>
      </c>
      <c r="L9" s="466">
        <v>1749689</v>
      </c>
    </row>
    <row r="10" spans="1:14" x14ac:dyDescent="0.2">
      <c r="A10" s="1504" t="s">
        <v>722</v>
      </c>
      <c r="B10" s="614">
        <v>1250</v>
      </c>
      <c r="C10" s="466">
        <v>2240646</v>
      </c>
      <c r="D10" s="466">
        <v>803758</v>
      </c>
      <c r="E10" s="466">
        <v>195655</v>
      </c>
      <c r="F10" s="466">
        <v>1562958</v>
      </c>
      <c r="G10" s="466"/>
      <c r="H10" s="466"/>
      <c r="I10" s="467">
        <v>80433</v>
      </c>
      <c r="J10" s="467"/>
      <c r="K10" s="1671">
        <f t="shared" si="0"/>
        <v>4883450</v>
      </c>
      <c r="L10" s="466">
        <v>5779496</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v>271740</v>
      </c>
      <c r="D12" s="466">
        <v>75923</v>
      </c>
      <c r="E12" s="466">
        <v>11358</v>
      </c>
      <c r="F12" s="466">
        <v>5119</v>
      </c>
      <c r="G12" s="466"/>
      <c r="H12" s="466"/>
      <c r="I12" s="467">
        <v>11361</v>
      </c>
      <c r="J12" s="467"/>
      <c r="K12" s="1671">
        <f t="shared" si="0"/>
        <v>375501</v>
      </c>
      <c r="L12" s="466">
        <v>377844</v>
      </c>
    </row>
    <row r="13" spans="1:14" x14ac:dyDescent="0.2">
      <c r="A13" s="1504" t="s">
        <v>723</v>
      </c>
      <c r="B13" s="614">
        <v>1400</v>
      </c>
      <c r="C13" s="466">
        <v>807421</v>
      </c>
      <c r="D13" s="466">
        <v>197468</v>
      </c>
      <c r="E13" s="466">
        <v>104961</v>
      </c>
      <c r="F13" s="466">
        <v>-16734</v>
      </c>
      <c r="G13" s="466"/>
      <c r="H13" s="466"/>
      <c r="I13" s="467"/>
      <c r="J13" s="467"/>
      <c r="K13" s="1671">
        <f t="shared" si="0"/>
        <v>1093116</v>
      </c>
      <c r="L13" s="466">
        <v>1175449</v>
      </c>
    </row>
    <row r="14" spans="1:14" x14ac:dyDescent="0.2">
      <c r="A14" s="1504" t="s">
        <v>963</v>
      </c>
      <c r="B14" s="614">
        <v>1500</v>
      </c>
      <c r="C14" s="466">
        <v>795327</v>
      </c>
      <c r="D14" s="466">
        <v>24898</v>
      </c>
      <c r="E14" s="466">
        <v>113314</v>
      </c>
      <c r="F14" s="466">
        <v>41401</v>
      </c>
      <c r="G14" s="466"/>
      <c r="H14" s="466">
        <v>30145</v>
      </c>
      <c r="I14" s="467"/>
      <c r="J14" s="467"/>
      <c r="K14" s="1671">
        <f t="shared" si="0"/>
        <v>1005085</v>
      </c>
      <c r="L14" s="466">
        <v>1068256</v>
      </c>
    </row>
    <row r="15" spans="1:14" x14ac:dyDescent="0.2">
      <c r="A15" s="1504" t="s">
        <v>964</v>
      </c>
      <c r="B15" s="614">
        <v>1600</v>
      </c>
      <c r="C15" s="466">
        <v>34500</v>
      </c>
      <c r="D15" s="466">
        <v>4526</v>
      </c>
      <c r="E15" s="466">
        <v>669</v>
      </c>
      <c r="F15" s="466"/>
      <c r="G15" s="466"/>
      <c r="H15" s="466"/>
      <c r="I15" s="467"/>
      <c r="J15" s="467"/>
      <c r="K15" s="1671">
        <f t="shared" si="0"/>
        <v>39695</v>
      </c>
      <c r="L15" s="466">
        <v>36265</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236623</v>
      </c>
      <c r="D17" s="467">
        <v>33693</v>
      </c>
      <c r="E17" s="467">
        <v>11857</v>
      </c>
      <c r="F17" s="467">
        <v>14895</v>
      </c>
      <c r="G17" s="467">
        <v>43103</v>
      </c>
      <c r="H17" s="467">
        <v>250</v>
      </c>
      <c r="I17" s="467"/>
      <c r="J17" s="467"/>
      <c r="K17" s="1671">
        <f t="shared" si="0"/>
        <v>340421</v>
      </c>
      <c r="L17" s="466">
        <v>449749</v>
      </c>
    </row>
    <row r="18" spans="1:12" x14ac:dyDescent="0.2">
      <c r="A18" s="1504" t="s">
        <v>1087</v>
      </c>
      <c r="B18" s="614">
        <v>1800</v>
      </c>
      <c r="C18" s="466">
        <v>12786</v>
      </c>
      <c r="D18" s="466">
        <v>1644</v>
      </c>
      <c r="E18" s="466"/>
      <c r="F18" s="466">
        <v>3364</v>
      </c>
      <c r="G18" s="466"/>
      <c r="H18" s="466"/>
      <c r="I18" s="467"/>
      <c r="J18" s="467"/>
      <c r="K18" s="1671">
        <f t="shared" si="0"/>
        <v>17794</v>
      </c>
      <c r="L18" s="466">
        <v>13500</v>
      </c>
    </row>
    <row r="19" spans="1:12" x14ac:dyDescent="0.2">
      <c r="A19" s="1504" t="s">
        <v>134</v>
      </c>
      <c r="B19" s="614">
        <v>1900</v>
      </c>
      <c r="C19" s="466">
        <v>1303222</v>
      </c>
      <c r="D19" s="466">
        <v>326374</v>
      </c>
      <c r="E19" s="466">
        <v>175421</v>
      </c>
      <c r="F19" s="466">
        <v>9048</v>
      </c>
      <c r="G19" s="466"/>
      <c r="H19" s="466"/>
      <c r="I19" s="467"/>
      <c r="J19" s="467"/>
      <c r="K19" s="1671">
        <f t="shared" si="0"/>
        <v>1814065</v>
      </c>
      <c r="L19" s="466">
        <v>1769463</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2161065</v>
      </c>
      <c r="I22" s="616"/>
      <c r="J22" s="477"/>
      <c r="K22" s="1671">
        <f t="shared" si="0"/>
        <v>2161065</v>
      </c>
      <c r="L22" s="471">
        <v>2025000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72612650</v>
      </c>
      <c r="D33" s="1670">
        <f t="shared" ref="D33:L33" si="1">SUM(D5:D32)</f>
        <v>18971279</v>
      </c>
      <c r="E33" s="1670">
        <f t="shared" si="1"/>
        <v>897114</v>
      </c>
      <c r="F33" s="1670">
        <f t="shared" si="1"/>
        <v>4027981</v>
      </c>
      <c r="G33" s="1670">
        <f t="shared" si="1"/>
        <v>43103</v>
      </c>
      <c r="H33" s="1670">
        <f t="shared" si="1"/>
        <v>2452717</v>
      </c>
      <c r="I33" s="1670">
        <f t="shared" si="1"/>
        <v>168213</v>
      </c>
      <c r="J33" s="1670">
        <f t="shared" si="1"/>
        <v>0</v>
      </c>
      <c r="K33" s="1670">
        <f t="shared" si="1"/>
        <v>99173057</v>
      </c>
      <c r="L33" s="1670">
        <f t="shared" si="1"/>
        <v>101217914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3072401</v>
      </c>
      <c r="D36" s="481">
        <v>768792</v>
      </c>
      <c r="E36" s="481"/>
      <c r="F36" s="481">
        <v>10174</v>
      </c>
      <c r="G36" s="481"/>
      <c r="H36" s="481"/>
      <c r="I36" s="467"/>
      <c r="J36" s="467"/>
      <c r="K36" s="1671">
        <f t="shared" ref="K36:K41" si="2">SUM(C36:J36)</f>
        <v>3851367</v>
      </c>
      <c r="L36" s="466">
        <v>4070655</v>
      </c>
    </row>
    <row r="37" spans="1:14" x14ac:dyDescent="0.2">
      <c r="A37" s="1504" t="s">
        <v>1090</v>
      </c>
      <c r="B37" s="614">
        <v>2120</v>
      </c>
      <c r="C37" s="466">
        <v>1627126</v>
      </c>
      <c r="D37" s="466">
        <v>340473</v>
      </c>
      <c r="E37" s="466"/>
      <c r="F37" s="466">
        <v>17905</v>
      </c>
      <c r="G37" s="466"/>
      <c r="H37" s="466"/>
      <c r="I37" s="467">
        <v>3550</v>
      </c>
      <c r="J37" s="467"/>
      <c r="K37" s="1671">
        <f t="shared" si="2"/>
        <v>1989054</v>
      </c>
      <c r="L37" s="466">
        <v>1989132</v>
      </c>
    </row>
    <row r="38" spans="1:14" x14ac:dyDescent="0.2">
      <c r="A38" s="1504" t="s">
        <v>198</v>
      </c>
      <c r="B38" s="614">
        <v>2130</v>
      </c>
      <c r="C38" s="466">
        <v>1702879</v>
      </c>
      <c r="D38" s="466">
        <v>335542</v>
      </c>
      <c r="E38" s="466">
        <v>33110</v>
      </c>
      <c r="F38" s="466">
        <v>14102</v>
      </c>
      <c r="G38" s="466"/>
      <c r="H38" s="466"/>
      <c r="I38" s="467">
        <v>1229</v>
      </c>
      <c r="J38" s="467"/>
      <c r="K38" s="1671">
        <f t="shared" si="2"/>
        <v>2086862</v>
      </c>
      <c r="L38" s="466">
        <v>2052864</v>
      </c>
    </row>
    <row r="39" spans="1:14" x14ac:dyDescent="0.2">
      <c r="A39" s="1504" t="s">
        <v>199</v>
      </c>
      <c r="B39" s="614">
        <v>2140</v>
      </c>
      <c r="C39" s="466">
        <v>1131201</v>
      </c>
      <c r="D39" s="466">
        <v>251365</v>
      </c>
      <c r="E39" s="466"/>
      <c r="F39" s="466">
        <v>12249</v>
      </c>
      <c r="G39" s="466"/>
      <c r="H39" s="466"/>
      <c r="I39" s="467"/>
      <c r="J39" s="467"/>
      <c r="K39" s="1671">
        <f t="shared" si="2"/>
        <v>1394815</v>
      </c>
      <c r="L39" s="466">
        <v>1447997</v>
      </c>
    </row>
    <row r="40" spans="1:14" x14ac:dyDescent="0.2">
      <c r="A40" s="1504" t="s">
        <v>200</v>
      </c>
      <c r="B40" s="614">
        <v>2150</v>
      </c>
      <c r="C40" s="466">
        <v>3084098</v>
      </c>
      <c r="D40" s="466">
        <v>714243</v>
      </c>
      <c r="E40" s="466"/>
      <c r="F40" s="466"/>
      <c r="G40" s="466"/>
      <c r="H40" s="466"/>
      <c r="I40" s="467"/>
      <c r="J40" s="467"/>
      <c r="K40" s="1671">
        <f t="shared" si="2"/>
        <v>3798341</v>
      </c>
      <c r="L40" s="466">
        <v>3852659</v>
      </c>
    </row>
    <row r="41" spans="1:14" x14ac:dyDescent="0.2">
      <c r="A41" s="1504" t="s">
        <v>1669</v>
      </c>
      <c r="B41" s="614">
        <v>2190</v>
      </c>
      <c r="C41" s="466">
        <v>297389</v>
      </c>
      <c r="D41" s="466">
        <v>40267</v>
      </c>
      <c r="E41" s="466">
        <v>3644</v>
      </c>
      <c r="F41" s="466">
        <v>12974</v>
      </c>
      <c r="G41" s="466"/>
      <c r="H41" s="466"/>
      <c r="I41" s="467">
        <v>899</v>
      </c>
      <c r="J41" s="467"/>
      <c r="K41" s="1671">
        <f t="shared" si="2"/>
        <v>355173</v>
      </c>
      <c r="L41" s="466">
        <v>386878</v>
      </c>
    </row>
    <row r="42" spans="1:14" ht="12.75" customHeight="1" thickBot="1" x14ac:dyDescent="0.25">
      <c r="A42" s="1668" t="s">
        <v>560</v>
      </c>
      <c r="B42" s="1669" t="s">
        <v>716</v>
      </c>
      <c r="C42" s="1670">
        <f>SUM(C36:C41)</f>
        <v>10915094</v>
      </c>
      <c r="D42" s="1670">
        <f t="shared" ref="D42:L42" si="3">SUM(D36:D41)</f>
        <v>2450682</v>
      </c>
      <c r="E42" s="1670">
        <f t="shared" si="3"/>
        <v>36754</v>
      </c>
      <c r="F42" s="1670">
        <f t="shared" si="3"/>
        <v>67404</v>
      </c>
      <c r="G42" s="1670">
        <f t="shared" si="3"/>
        <v>0</v>
      </c>
      <c r="H42" s="1670">
        <f t="shared" si="3"/>
        <v>0</v>
      </c>
      <c r="I42" s="1670">
        <f t="shared" si="3"/>
        <v>5678</v>
      </c>
      <c r="J42" s="1670">
        <f t="shared" si="3"/>
        <v>0</v>
      </c>
      <c r="K42" s="1670">
        <f t="shared" si="3"/>
        <v>13475612</v>
      </c>
      <c r="L42" s="1670">
        <f t="shared" si="3"/>
        <v>13800185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3449163</v>
      </c>
      <c r="D44" s="481">
        <v>803025</v>
      </c>
      <c r="E44" s="481">
        <v>1282516</v>
      </c>
      <c r="F44" s="481">
        <v>213590</v>
      </c>
      <c r="G44" s="481">
        <v>84933</v>
      </c>
      <c r="H44" s="481">
        <v>82832</v>
      </c>
      <c r="I44" s="467">
        <v>6880</v>
      </c>
      <c r="J44" s="467"/>
      <c r="K44" s="1672">
        <f>SUM(C44:J44)</f>
        <v>5922939</v>
      </c>
      <c r="L44" s="481">
        <v>7652430</v>
      </c>
    </row>
    <row r="45" spans="1:14" x14ac:dyDescent="0.2">
      <c r="A45" s="1504" t="s">
        <v>815</v>
      </c>
      <c r="B45" s="614">
        <v>2220</v>
      </c>
      <c r="C45" s="466">
        <v>702175</v>
      </c>
      <c r="D45" s="466">
        <v>167264</v>
      </c>
      <c r="E45" s="466">
        <v>10494</v>
      </c>
      <c r="F45" s="466">
        <v>144674</v>
      </c>
      <c r="G45" s="466"/>
      <c r="H45" s="466">
        <v>33212</v>
      </c>
      <c r="I45" s="467">
        <v>12195</v>
      </c>
      <c r="J45" s="467"/>
      <c r="K45" s="1672">
        <f>SUM(C45:J45)</f>
        <v>1070014</v>
      </c>
      <c r="L45" s="466">
        <v>1142619</v>
      </c>
    </row>
    <row r="46" spans="1:14" x14ac:dyDescent="0.2">
      <c r="A46" s="1504" t="s">
        <v>816</v>
      </c>
      <c r="B46" s="614">
        <v>2230</v>
      </c>
      <c r="C46" s="466">
        <v>50280</v>
      </c>
      <c r="D46" s="466">
        <v>16891</v>
      </c>
      <c r="E46" s="466">
        <v>17590</v>
      </c>
      <c r="F46" s="466"/>
      <c r="G46" s="466"/>
      <c r="H46" s="466"/>
      <c r="I46" s="467"/>
      <c r="J46" s="467"/>
      <c r="K46" s="1672">
        <f>SUM(C46:J46)</f>
        <v>84761</v>
      </c>
      <c r="L46" s="466">
        <v>90957</v>
      </c>
    </row>
    <row r="47" spans="1:14" ht="12.75" customHeight="1" thickBot="1" x14ac:dyDescent="0.25">
      <c r="A47" s="1668" t="s">
        <v>561</v>
      </c>
      <c r="B47" s="1669" t="s">
        <v>32</v>
      </c>
      <c r="C47" s="1670">
        <f>SUM(C44:C46)</f>
        <v>4201618</v>
      </c>
      <c r="D47" s="1670">
        <f t="shared" ref="D47:K47" si="4">SUM(D44:D46)</f>
        <v>987180</v>
      </c>
      <c r="E47" s="1670">
        <f t="shared" si="4"/>
        <v>1310600</v>
      </c>
      <c r="F47" s="1670">
        <f t="shared" si="4"/>
        <v>358264</v>
      </c>
      <c r="G47" s="1670">
        <f t="shared" si="4"/>
        <v>84933</v>
      </c>
      <c r="H47" s="1670">
        <f t="shared" si="4"/>
        <v>116044</v>
      </c>
      <c r="I47" s="1670">
        <f t="shared" si="4"/>
        <v>19075</v>
      </c>
      <c r="J47" s="1670">
        <f t="shared" si="4"/>
        <v>0</v>
      </c>
      <c r="K47" s="1670">
        <f t="shared" si="4"/>
        <v>7077714</v>
      </c>
      <c r="L47" s="1670">
        <f>SUM(L44:L46)</f>
        <v>8886006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66860</v>
      </c>
      <c r="D49" s="481">
        <v>379032</v>
      </c>
      <c r="E49" s="481">
        <v>157614</v>
      </c>
      <c r="F49" s="481">
        <v>1400</v>
      </c>
      <c r="G49" s="481"/>
      <c r="H49" s="481">
        <v>33199</v>
      </c>
      <c r="I49" s="467">
        <v>1991</v>
      </c>
      <c r="J49" s="467"/>
      <c r="K49" s="1672">
        <f>SUM(C49:J49)</f>
        <v>640096</v>
      </c>
      <c r="L49" s="481">
        <v>602821</v>
      </c>
    </row>
    <row r="50" spans="1:14" x14ac:dyDescent="0.2">
      <c r="A50" s="1504" t="s">
        <v>818</v>
      </c>
      <c r="B50" s="614">
        <v>2320</v>
      </c>
      <c r="C50" s="466">
        <v>277819</v>
      </c>
      <c r="D50" s="466">
        <v>41700</v>
      </c>
      <c r="E50" s="466">
        <v>2186</v>
      </c>
      <c r="F50" s="466">
        <v>1424</v>
      </c>
      <c r="G50" s="466"/>
      <c r="H50" s="466">
        <v>13142</v>
      </c>
      <c r="I50" s="467"/>
      <c r="J50" s="467"/>
      <c r="K50" s="1672">
        <f>SUM(C50:J50)</f>
        <v>336271</v>
      </c>
      <c r="L50" s="466">
        <v>331464</v>
      </c>
    </row>
    <row r="51" spans="1:14" x14ac:dyDescent="0.2">
      <c r="A51" s="1504" t="s">
        <v>42</v>
      </c>
      <c r="B51" s="614">
        <v>2330</v>
      </c>
      <c r="C51" s="466">
        <v>832212</v>
      </c>
      <c r="D51" s="466">
        <v>199015</v>
      </c>
      <c r="E51" s="466">
        <v>18494</v>
      </c>
      <c r="F51" s="466">
        <v>67892</v>
      </c>
      <c r="G51" s="466"/>
      <c r="H51" s="466"/>
      <c r="I51" s="467">
        <v>8644</v>
      </c>
      <c r="J51" s="467"/>
      <c r="K51" s="1672">
        <f>SUM(C51:J51)</f>
        <v>1126257</v>
      </c>
      <c r="L51" s="466">
        <v>1210360</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1176891</v>
      </c>
      <c r="D53" s="1670">
        <f t="shared" ref="D53:L53" si="5">SUM(D49:D52)</f>
        <v>619747</v>
      </c>
      <c r="E53" s="1670">
        <f t="shared" si="5"/>
        <v>178294</v>
      </c>
      <c r="F53" s="1670">
        <f t="shared" si="5"/>
        <v>70716</v>
      </c>
      <c r="G53" s="1670">
        <f t="shared" si="5"/>
        <v>0</v>
      </c>
      <c r="H53" s="1670">
        <f t="shared" si="5"/>
        <v>46341</v>
      </c>
      <c r="I53" s="1670">
        <f t="shared" si="5"/>
        <v>10635</v>
      </c>
      <c r="J53" s="1670">
        <f t="shared" si="5"/>
        <v>0</v>
      </c>
      <c r="K53" s="1670">
        <f t="shared" si="5"/>
        <v>2102624</v>
      </c>
      <c r="L53" s="1670">
        <f t="shared" si="5"/>
        <v>2144645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8007098</v>
      </c>
      <c r="D55" s="481">
        <v>1663308</v>
      </c>
      <c r="E55" s="481">
        <v>35496</v>
      </c>
      <c r="F55" s="481">
        <v>38189</v>
      </c>
      <c r="G55" s="481"/>
      <c r="H55" s="481"/>
      <c r="I55" s="467">
        <v>21895</v>
      </c>
      <c r="J55" s="467"/>
      <c r="K55" s="1672">
        <f>SUM(C55:J55)</f>
        <v>9765986</v>
      </c>
      <c r="L55" s="481">
        <v>9842022</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8007098</v>
      </c>
      <c r="D57" s="1674">
        <f t="shared" ref="D57:K57" si="6">SUM(D55:D56)</f>
        <v>1663308</v>
      </c>
      <c r="E57" s="1674">
        <f t="shared" si="6"/>
        <v>35496</v>
      </c>
      <c r="F57" s="1674">
        <f t="shared" si="6"/>
        <v>38189</v>
      </c>
      <c r="G57" s="1674">
        <f t="shared" si="6"/>
        <v>0</v>
      </c>
      <c r="H57" s="1674">
        <f t="shared" si="6"/>
        <v>0</v>
      </c>
      <c r="I57" s="1674">
        <f t="shared" si="6"/>
        <v>21895</v>
      </c>
      <c r="J57" s="1674">
        <f t="shared" si="6"/>
        <v>0</v>
      </c>
      <c r="K57" s="1674">
        <f t="shared" si="6"/>
        <v>9765986</v>
      </c>
      <c r="L57" s="1670">
        <f>SUM(L55:L56)</f>
        <v>9842022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164747</v>
      </c>
      <c r="D59" s="481">
        <v>15821</v>
      </c>
      <c r="E59" s="481">
        <v>47551</v>
      </c>
      <c r="F59" s="481">
        <v>12718</v>
      </c>
      <c r="G59" s="481"/>
      <c r="H59" s="481">
        <v>3067</v>
      </c>
      <c r="I59" s="467">
        <v>700</v>
      </c>
      <c r="J59" s="467"/>
      <c r="K59" s="1672">
        <f t="shared" ref="K59:K64" si="7">SUM(C59:J59)</f>
        <v>244604</v>
      </c>
      <c r="L59" s="481">
        <v>243202</v>
      </c>
      <c r="M59" s="609"/>
      <c r="N59" s="609"/>
    </row>
    <row r="60" spans="1:14" s="343" customFormat="1" x14ac:dyDescent="0.2">
      <c r="A60" s="1504" t="s">
        <v>463</v>
      </c>
      <c r="B60" s="614">
        <v>2520</v>
      </c>
      <c r="C60" s="466">
        <v>572930</v>
      </c>
      <c r="D60" s="466">
        <v>74497</v>
      </c>
      <c r="E60" s="466">
        <v>307512</v>
      </c>
      <c r="F60" s="466"/>
      <c r="G60" s="466"/>
      <c r="H60" s="466">
        <v>7447</v>
      </c>
      <c r="I60" s="467">
        <v>2458</v>
      </c>
      <c r="J60" s="467"/>
      <c r="K60" s="1672">
        <f t="shared" si="7"/>
        <v>964844</v>
      </c>
      <c r="L60" s="466">
        <v>1071090</v>
      </c>
      <c r="M60" s="609"/>
      <c r="N60" s="609"/>
    </row>
    <row r="61" spans="1:14" s="343" customFormat="1" x14ac:dyDescent="0.2">
      <c r="A61" s="1504" t="s">
        <v>197</v>
      </c>
      <c r="B61" s="614">
        <v>2540</v>
      </c>
      <c r="C61" s="466"/>
      <c r="D61" s="466"/>
      <c r="E61" s="466">
        <v>98652</v>
      </c>
      <c r="F61" s="466">
        <v>8445</v>
      </c>
      <c r="G61" s="466">
        <v>19859</v>
      </c>
      <c r="H61" s="466">
        <v>185295</v>
      </c>
      <c r="I61" s="467">
        <v>6790</v>
      </c>
      <c r="J61" s="467"/>
      <c r="K61" s="1672">
        <f t="shared" si="7"/>
        <v>319041</v>
      </c>
      <c r="L61" s="466">
        <v>282503</v>
      </c>
      <c r="M61" s="609"/>
      <c r="N61" s="609"/>
    </row>
    <row r="62" spans="1:14" s="343" customFormat="1" x14ac:dyDescent="0.2">
      <c r="A62" s="1504" t="s">
        <v>953</v>
      </c>
      <c r="B62" s="614">
        <v>2550</v>
      </c>
      <c r="C62" s="466"/>
      <c r="D62" s="466"/>
      <c r="E62" s="466">
        <v>1460736</v>
      </c>
      <c r="F62" s="466">
        <v>3220</v>
      </c>
      <c r="G62" s="466"/>
      <c r="H62" s="466"/>
      <c r="I62" s="467"/>
      <c r="J62" s="467"/>
      <c r="K62" s="1672">
        <f t="shared" si="7"/>
        <v>1463956</v>
      </c>
      <c r="L62" s="466">
        <v>1648086</v>
      </c>
      <c r="M62" s="609"/>
      <c r="N62" s="609"/>
    </row>
    <row r="63" spans="1:14" s="609" customFormat="1" x14ac:dyDescent="0.2">
      <c r="A63" s="1504" t="s">
        <v>100</v>
      </c>
      <c r="B63" s="614">
        <v>2560</v>
      </c>
      <c r="C63" s="466">
        <v>3620203</v>
      </c>
      <c r="D63" s="466">
        <v>917721</v>
      </c>
      <c r="E63" s="466">
        <v>261193</v>
      </c>
      <c r="F63" s="466">
        <v>3688392</v>
      </c>
      <c r="G63" s="466">
        <v>152782</v>
      </c>
      <c r="H63" s="466">
        <v>5</v>
      </c>
      <c r="I63" s="467">
        <v>21751</v>
      </c>
      <c r="J63" s="467"/>
      <c r="K63" s="1672">
        <f t="shared" si="7"/>
        <v>8662047</v>
      </c>
      <c r="L63" s="466">
        <v>9304677</v>
      </c>
    </row>
    <row r="64" spans="1:14" s="609" customFormat="1" x14ac:dyDescent="0.2">
      <c r="A64" s="1509" t="s">
        <v>101</v>
      </c>
      <c r="B64" s="630">
        <v>2570</v>
      </c>
      <c r="C64" s="481">
        <v>78610</v>
      </c>
      <c r="D64" s="481">
        <v>12490</v>
      </c>
      <c r="E64" s="481">
        <v>1373</v>
      </c>
      <c r="F64" s="481"/>
      <c r="G64" s="481"/>
      <c r="H64" s="481"/>
      <c r="I64" s="467"/>
      <c r="J64" s="467"/>
      <c r="K64" s="1672">
        <f t="shared" si="7"/>
        <v>92473</v>
      </c>
      <c r="L64" s="481">
        <v>96051</v>
      </c>
    </row>
    <row r="65" spans="1:14" s="343" customFormat="1" ht="12.75" customHeight="1" thickBot="1" x14ac:dyDescent="0.25">
      <c r="A65" s="1668" t="s">
        <v>719</v>
      </c>
      <c r="B65" s="1669" t="s">
        <v>35</v>
      </c>
      <c r="C65" s="1670">
        <f>SUM(C59:C64)</f>
        <v>4436490</v>
      </c>
      <c r="D65" s="1670">
        <f t="shared" ref="D65:L65" si="8">SUM(D59:D64)</f>
        <v>1020529</v>
      </c>
      <c r="E65" s="1670">
        <f t="shared" si="8"/>
        <v>2177017</v>
      </c>
      <c r="F65" s="1670">
        <f t="shared" si="8"/>
        <v>3712775</v>
      </c>
      <c r="G65" s="1670">
        <f t="shared" si="8"/>
        <v>172641</v>
      </c>
      <c r="H65" s="1670">
        <f t="shared" si="8"/>
        <v>195814</v>
      </c>
      <c r="I65" s="1670">
        <f t="shared" si="8"/>
        <v>31699</v>
      </c>
      <c r="J65" s="1670">
        <f t="shared" si="8"/>
        <v>0</v>
      </c>
      <c r="K65" s="1670">
        <f t="shared" si="8"/>
        <v>11746965</v>
      </c>
      <c r="L65" s="1670">
        <f t="shared" si="8"/>
        <v>12645609</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11962</v>
      </c>
      <c r="D67" s="466">
        <v>3817</v>
      </c>
      <c r="E67" s="466">
        <v>247750</v>
      </c>
      <c r="F67" s="466"/>
      <c r="G67" s="466"/>
      <c r="H67" s="466"/>
      <c r="I67" s="467">
        <v>3018</v>
      </c>
      <c r="J67" s="467"/>
      <c r="K67" s="1672">
        <f>SUM(C67:J67)</f>
        <v>266547</v>
      </c>
      <c r="L67" s="481">
        <v>385033</v>
      </c>
      <c r="M67" s="609"/>
      <c r="N67" s="609"/>
    </row>
    <row r="68" spans="1:14" s="343" customFormat="1" x14ac:dyDescent="0.2">
      <c r="A68" s="1504" t="s">
        <v>607</v>
      </c>
      <c r="B68" s="614">
        <v>2620</v>
      </c>
      <c r="C68" s="466">
        <v>25730</v>
      </c>
      <c r="D68" s="466">
        <v>5338</v>
      </c>
      <c r="E68" s="466">
        <v>596235</v>
      </c>
      <c r="F68" s="466">
        <v>33590</v>
      </c>
      <c r="G68" s="466"/>
      <c r="H68" s="466"/>
      <c r="I68" s="467"/>
      <c r="J68" s="467"/>
      <c r="K68" s="1672">
        <f>SUM(C68:J68)</f>
        <v>660893</v>
      </c>
      <c r="L68" s="466">
        <v>1440114</v>
      </c>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v>599631</v>
      </c>
      <c r="D70" s="466">
        <v>198436</v>
      </c>
      <c r="E70" s="466">
        <v>139527</v>
      </c>
      <c r="F70" s="466">
        <v>35787</v>
      </c>
      <c r="G70" s="466"/>
      <c r="H70" s="466"/>
      <c r="I70" s="467">
        <v>4128</v>
      </c>
      <c r="J70" s="467">
        <v>1031735</v>
      </c>
      <c r="K70" s="1672">
        <f>SUM(C70:J70)</f>
        <v>2009244</v>
      </c>
      <c r="L70" s="466">
        <v>2234623</v>
      </c>
      <c r="M70" s="609"/>
      <c r="N70" s="609"/>
    </row>
    <row r="71" spans="1:14" s="343" customFormat="1" x14ac:dyDescent="0.2">
      <c r="A71" s="1504" t="s">
        <v>404</v>
      </c>
      <c r="B71" s="614">
        <v>2660</v>
      </c>
      <c r="C71" s="466">
        <v>804051</v>
      </c>
      <c r="D71" s="466">
        <v>76794</v>
      </c>
      <c r="E71" s="466">
        <v>474636</v>
      </c>
      <c r="F71" s="466">
        <v>104012</v>
      </c>
      <c r="G71" s="466"/>
      <c r="H71" s="466">
        <v>66338</v>
      </c>
      <c r="I71" s="467">
        <v>52647</v>
      </c>
      <c r="J71" s="467"/>
      <c r="K71" s="1672">
        <f>SUM(C71:J71)</f>
        <v>1578478</v>
      </c>
      <c r="L71" s="466">
        <v>1638294</v>
      </c>
      <c r="M71" s="609"/>
      <c r="N71" s="609"/>
    </row>
    <row r="72" spans="1:14" s="343" customFormat="1" ht="12.75" customHeight="1" thickBot="1" x14ac:dyDescent="0.25">
      <c r="A72" s="1668" t="s">
        <v>37</v>
      </c>
      <c r="B72" s="1675" t="s">
        <v>36</v>
      </c>
      <c r="C72" s="1670">
        <f>SUM(C67:C71)</f>
        <v>1441374</v>
      </c>
      <c r="D72" s="1670">
        <f t="shared" ref="D72:K72" si="9">SUM(D67:D71)</f>
        <v>284385</v>
      </c>
      <c r="E72" s="1670">
        <f t="shared" si="9"/>
        <v>1458148</v>
      </c>
      <c r="F72" s="1670">
        <f t="shared" si="9"/>
        <v>173389</v>
      </c>
      <c r="G72" s="1670">
        <f t="shared" si="9"/>
        <v>0</v>
      </c>
      <c r="H72" s="1670">
        <f t="shared" si="9"/>
        <v>66338</v>
      </c>
      <c r="I72" s="1670">
        <f t="shared" si="9"/>
        <v>59793</v>
      </c>
      <c r="J72" s="1670">
        <f t="shared" si="9"/>
        <v>1031735</v>
      </c>
      <c r="K72" s="1670">
        <f t="shared" si="9"/>
        <v>4515162</v>
      </c>
      <c r="L72" s="1670">
        <f>SUM(L67:L71)</f>
        <v>5698064</v>
      </c>
      <c r="M72" s="609"/>
      <c r="N72" s="609"/>
    </row>
    <row r="73" spans="1:14" s="343" customFormat="1" ht="14.25" thickTop="1" thickBot="1" x14ac:dyDescent="0.25">
      <c r="A73" s="1510" t="s">
        <v>980</v>
      </c>
      <c r="B73" s="632" t="s">
        <v>574</v>
      </c>
      <c r="C73" s="573">
        <v>93642</v>
      </c>
      <c r="D73" s="573">
        <v>26069</v>
      </c>
      <c r="E73" s="573">
        <v>2881</v>
      </c>
      <c r="F73" s="573">
        <v>1551</v>
      </c>
      <c r="G73" s="573"/>
      <c r="H73" s="573"/>
      <c r="I73" s="531"/>
      <c r="J73" s="531"/>
      <c r="K73" s="1670">
        <f>SUM(C73:J73)</f>
        <v>124143</v>
      </c>
      <c r="L73" s="576">
        <v>128663</v>
      </c>
      <c r="M73" s="609"/>
      <c r="N73" s="609"/>
    </row>
    <row r="74" spans="1:14" ht="12.75" customHeight="1" thickTop="1" thickBot="1" x14ac:dyDescent="0.25">
      <c r="A74" s="1668" t="s">
        <v>811</v>
      </c>
      <c r="B74" s="1676">
        <v>2000</v>
      </c>
      <c r="C74" s="1677">
        <f>SUM(C42,C47,C53,C57,C65,C72,C73)</f>
        <v>30272207</v>
      </c>
      <c r="D74" s="1677">
        <f t="shared" ref="D74:K74" si="10">SUM(D42,D47,D53,D57,D65,D72,D73)</f>
        <v>7051900</v>
      </c>
      <c r="E74" s="1677">
        <f t="shared" si="10"/>
        <v>5199190</v>
      </c>
      <c r="F74" s="1677">
        <f t="shared" si="10"/>
        <v>4422288</v>
      </c>
      <c r="G74" s="1677">
        <f t="shared" si="10"/>
        <v>257574</v>
      </c>
      <c r="H74" s="1677">
        <f t="shared" si="10"/>
        <v>424537</v>
      </c>
      <c r="I74" s="1677">
        <f t="shared" si="10"/>
        <v>148775</v>
      </c>
      <c r="J74" s="1677">
        <f t="shared" si="10"/>
        <v>1031735</v>
      </c>
      <c r="K74" s="1677">
        <f t="shared" si="10"/>
        <v>48808206</v>
      </c>
      <c r="L74" s="1677">
        <f>SUM(L42,L47,L53,L57,L65,L72,L73)</f>
        <v>53145194</v>
      </c>
    </row>
    <row r="75" spans="1:14" s="259" customFormat="1" ht="15.75" customHeight="1" thickTop="1" thickBot="1" x14ac:dyDescent="0.25">
      <c r="A75" s="1610" t="s">
        <v>47</v>
      </c>
      <c r="B75" s="1611" t="s">
        <v>575</v>
      </c>
      <c r="C75" s="573">
        <v>3040990</v>
      </c>
      <c r="D75" s="573">
        <v>1249195</v>
      </c>
      <c r="E75" s="573">
        <v>190291</v>
      </c>
      <c r="F75" s="573">
        <v>280703</v>
      </c>
      <c r="G75" s="573"/>
      <c r="H75" s="573">
        <v>474</v>
      </c>
      <c r="I75" s="531">
        <v>10707</v>
      </c>
      <c r="J75" s="531"/>
      <c r="K75" s="1670">
        <f>SUM(C75:J75)</f>
        <v>4772360</v>
      </c>
      <c r="L75" s="576">
        <v>5241512</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v>4026409</v>
      </c>
      <c r="I78" s="477"/>
      <c r="J78" s="477"/>
      <c r="K78" s="1671">
        <f t="shared" ref="K78:K83" si="11">SUM(C78:J78)</f>
        <v>4026409</v>
      </c>
      <c r="L78" s="481">
        <v>4026411</v>
      </c>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943814</v>
      </c>
      <c r="I81" s="477"/>
      <c r="J81" s="477"/>
      <c r="K81" s="1671">
        <f t="shared" si="11"/>
        <v>943814</v>
      </c>
      <c r="L81" s="466">
        <v>958600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4970223</v>
      </c>
      <c r="I84" s="477"/>
      <c r="J84" s="477"/>
      <c r="K84" s="1670">
        <f>SUM(K78:K83)</f>
        <v>4970223</v>
      </c>
      <c r="L84" s="1670">
        <f>SUM(L78:L83)</f>
        <v>4985011</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4970223</v>
      </c>
      <c r="I102" s="477"/>
      <c r="J102" s="477"/>
      <c r="K102" s="1677">
        <f>SUM(K84,K92,K100,K101)</f>
        <v>4970223</v>
      </c>
      <c r="L102" s="1677">
        <f>SUM(L84,L92,L100,L101)</f>
        <v>4985011</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v>19718</v>
      </c>
      <c r="I109" s="468"/>
      <c r="J109" s="468"/>
      <c r="K109" s="1671">
        <f>H109</f>
        <v>19718</v>
      </c>
      <c r="L109" s="466">
        <v>15000</v>
      </c>
      <c r="M109" s="210"/>
      <c r="N109" s="210"/>
    </row>
    <row r="110" spans="1:14" s="597" customFormat="1" ht="12.75" customHeight="1" thickBot="1" x14ac:dyDescent="0.25">
      <c r="A110" s="1668" t="s">
        <v>1102</v>
      </c>
      <c r="B110" s="1675" t="s">
        <v>718</v>
      </c>
      <c r="C110" s="616"/>
      <c r="D110" s="616"/>
      <c r="E110" s="616"/>
      <c r="F110" s="616"/>
      <c r="G110" s="616"/>
      <c r="H110" s="1670">
        <f>SUM(H105:H109)</f>
        <v>19718</v>
      </c>
      <c r="I110" s="468"/>
      <c r="J110" s="468"/>
      <c r="K110" s="1670">
        <f>SUM(K105:K109)</f>
        <v>19718</v>
      </c>
      <c r="L110" s="1670">
        <f>SUM(L105:L109)</f>
        <v>15000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19718</v>
      </c>
      <c r="I112" s="468"/>
      <c r="J112" s="468"/>
      <c r="K112" s="1670">
        <f>SUM(K110:K111)</f>
        <v>19718</v>
      </c>
      <c r="L112" s="1677">
        <f>SUM(L110,L111)</f>
        <v>15000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44500</v>
      </c>
      <c r="M113" s="613"/>
      <c r="N113" s="613"/>
    </row>
    <row r="114" spans="1:14" ht="12.75" customHeight="1" thickTop="1" thickBot="1" x14ac:dyDescent="0.25">
      <c r="A114" s="1668" t="s">
        <v>48</v>
      </c>
      <c r="B114" s="1682"/>
      <c r="C114" s="1670">
        <f>SUM(C33,C74,C75,C102,C112,C113)</f>
        <v>105925847</v>
      </c>
      <c r="D114" s="1670">
        <f t="shared" ref="D114:K114" si="13">SUM(D33,D74,D75,D102,D112,D113)</f>
        <v>27272374</v>
      </c>
      <c r="E114" s="1670">
        <f t="shared" si="13"/>
        <v>6286595</v>
      </c>
      <c r="F114" s="1670">
        <f t="shared" si="13"/>
        <v>8730972</v>
      </c>
      <c r="G114" s="1670">
        <f t="shared" si="13"/>
        <v>300677</v>
      </c>
      <c r="H114" s="1670">
        <f>SUM(H33,H74,H75,H102,H112,H113)</f>
        <v>7867669</v>
      </c>
      <c r="I114" s="1670">
        <f t="shared" si="13"/>
        <v>327695</v>
      </c>
      <c r="J114" s="1670">
        <f t="shared" si="13"/>
        <v>1031735</v>
      </c>
      <c r="K114" s="1670">
        <f t="shared" si="13"/>
        <v>157743564</v>
      </c>
      <c r="L114" s="1670">
        <f>SUM(L33,L74,L75,L102,L112,L113)</f>
        <v>164649131</v>
      </c>
    </row>
    <row r="115" spans="1:14" ht="13.5" thickTop="1" x14ac:dyDescent="0.2">
      <c r="A115" s="2227" t="s">
        <v>996</v>
      </c>
      <c r="B115" s="2228"/>
      <c r="C115" s="618"/>
      <c r="D115" s="618"/>
      <c r="E115" s="618"/>
      <c r="F115" s="618"/>
      <c r="G115" s="618"/>
      <c r="H115" s="618"/>
      <c r="I115" s="618"/>
      <c r="J115" s="618"/>
      <c r="K115" s="1684">
        <f>'Revenues 9-14'!C268-'Expenditures 15-22'!K114</f>
        <v>3356888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232" t="s">
        <v>296</v>
      </c>
      <c r="B117" s="223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353986</v>
      </c>
      <c r="D122" s="466">
        <v>36842</v>
      </c>
      <c r="E122" s="466">
        <v>112</v>
      </c>
      <c r="F122" s="466">
        <v>2571</v>
      </c>
      <c r="G122" s="466"/>
      <c r="H122" s="466"/>
      <c r="I122" s="467">
        <v>2377</v>
      </c>
      <c r="J122" s="467"/>
      <c r="K122" s="1670">
        <f>SUM(C122:J122)</f>
        <v>395888</v>
      </c>
      <c r="L122" s="466">
        <v>418773</v>
      </c>
    </row>
    <row r="123" spans="1:14" ht="14.25" thickTop="1" thickBot="1" x14ac:dyDescent="0.25">
      <c r="A123" s="1504" t="s">
        <v>4</v>
      </c>
      <c r="B123" s="614">
        <v>2530</v>
      </c>
      <c r="C123" s="466"/>
      <c r="D123" s="466"/>
      <c r="E123" s="466">
        <f>44058+307000</f>
        <v>351058</v>
      </c>
      <c r="F123" s="466"/>
      <c r="G123" s="466">
        <v>14966</v>
      </c>
      <c r="H123" s="466">
        <v>105221</v>
      </c>
      <c r="I123" s="467"/>
      <c r="J123" s="467"/>
      <c r="K123" s="1670">
        <f>SUM(C123:J123)</f>
        <v>471245</v>
      </c>
      <c r="L123" s="466">
        <v>230222</v>
      </c>
    </row>
    <row r="124" spans="1:14" ht="14.25" thickTop="1" thickBot="1" x14ac:dyDescent="0.25">
      <c r="A124" s="1504" t="s">
        <v>197</v>
      </c>
      <c r="B124" s="614">
        <v>2540</v>
      </c>
      <c r="C124" s="466">
        <v>7737932</v>
      </c>
      <c r="D124" s="466">
        <v>960723</v>
      </c>
      <c r="E124" s="466">
        <v>1092191</v>
      </c>
      <c r="F124" s="466">
        <v>4131044</v>
      </c>
      <c r="G124" s="466">
        <v>104999</v>
      </c>
      <c r="H124" s="466">
        <v>2955</v>
      </c>
      <c r="I124" s="467">
        <v>68944</v>
      </c>
      <c r="J124" s="467"/>
      <c r="K124" s="1670">
        <f>SUM(C124:J124)</f>
        <v>14098788</v>
      </c>
      <c r="L124" s="466">
        <v>14503767</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8091918</v>
      </c>
      <c r="D127" s="1670">
        <f t="shared" ref="D127:L127" si="14">SUM(D122:D126)</f>
        <v>997565</v>
      </c>
      <c r="E127" s="1670">
        <f t="shared" si="14"/>
        <v>1443361</v>
      </c>
      <c r="F127" s="1670">
        <f t="shared" si="14"/>
        <v>4133615</v>
      </c>
      <c r="G127" s="1670">
        <f t="shared" si="14"/>
        <v>119965</v>
      </c>
      <c r="H127" s="1670">
        <f t="shared" si="14"/>
        <v>108176</v>
      </c>
      <c r="I127" s="1670">
        <f t="shared" si="14"/>
        <v>71321</v>
      </c>
      <c r="J127" s="1670">
        <f t="shared" si="14"/>
        <v>0</v>
      </c>
      <c r="K127" s="1670">
        <f t="shared" si="14"/>
        <v>14965921</v>
      </c>
      <c r="L127" s="1670">
        <f t="shared" si="14"/>
        <v>15152762</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8091918</v>
      </c>
      <c r="D129" s="1677">
        <f t="shared" ref="D129:L129" si="15">SUM(D120,D127,D128)</f>
        <v>997565</v>
      </c>
      <c r="E129" s="1677">
        <f t="shared" si="15"/>
        <v>1443361</v>
      </c>
      <c r="F129" s="1677">
        <f t="shared" si="15"/>
        <v>4133615</v>
      </c>
      <c r="G129" s="1677">
        <f t="shared" si="15"/>
        <v>119965</v>
      </c>
      <c r="H129" s="1677">
        <f t="shared" si="15"/>
        <v>108176</v>
      </c>
      <c r="I129" s="1677">
        <f t="shared" si="15"/>
        <v>71321</v>
      </c>
      <c r="J129" s="1677">
        <f t="shared" si="15"/>
        <v>0</v>
      </c>
      <c r="K129" s="1677">
        <f t="shared" si="15"/>
        <v>14965921</v>
      </c>
      <c r="L129" s="1677">
        <f t="shared" si="15"/>
        <v>15152762</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1841</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45</v>
      </c>
      <c r="I148" s="468"/>
      <c r="J148" s="616"/>
      <c r="K148" s="1672">
        <f>SUM(H148)</f>
        <v>45</v>
      </c>
      <c r="L148" s="492"/>
    </row>
    <row r="149" spans="1:14" ht="12.75" customHeight="1" thickBot="1" x14ac:dyDescent="0.25">
      <c r="A149" s="1507" t="s">
        <v>638</v>
      </c>
      <c r="B149" s="617" t="s">
        <v>492</v>
      </c>
      <c r="C149" s="616"/>
      <c r="D149" s="616"/>
      <c r="E149" s="616"/>
      <c r="F149" s="616"/>
      <c r="G149" s="616"/>
      <c r="H149" s="1670">
        <f>SUM(H147,H148)</f>
        <v>45</v>
      </c>
      <c r="I149" s="468"/>
      <c r="J149" s="616"/>
      <c r="K149" s="1670">
        <f>SUM(K147:K148)</f>
        <v>45</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244" t="s">
        <v>620</v>
      </c>
      <c r="B151" s="2224"/>
      <c r="C151" s="1670">
        <f>SUM(C129,C130,C139,C149,C150)</f>
        <v>8091918</v>
      </c>
      <c r="D151" s="1670">
        <f t="shared" ref="D151:K151" si="16">SUM(D129,D130,D139,D149,D150)</f>
        <v>997565</v>
      </c>
      <c r="E151" s="1670">
        <f t="shared" si="16"/>
        <v>1443361</v>
      </c>
      <c r="F151" s="1670">
        <f t="shared" si="16"/>
        <v>4133615</v>
      </c>
      <c r="G151" s="1670">
        <f t="shared" si="16"/>
        <v>119965</v>
      </c>
      <c r="H151" s="1670">
        <f t="shared" si="16"/>
        <v>108221</v>
      </c>
      <c r="I151" s="1670">
        <f t="shared" si="16"/>
        <v>71321</v>
      </c>
      <c r="J151" s="1670">
        <f t="shared" si="16"/>
        <v>0</v>
      </c>
      <c r="K151" s="1670">
        <f t="shared" si="16"/>
        <v>14965966</v>
      </c>
      <c r="L151" s="1670">
        <f>SUM(L129,L130,L139,L149,L150)</f>
        <v>15152762</v>
      </c>
    </row>
    <row r="152" spans="1:14" ht="12.75" customHeight="1" thickTop="1" x14ac:dyDescent="0.2">
      <c r="A152" s="2247" t="s">
        <v>1178</v>
      </c>
      <c r="B152" s="2248"/>
      <c r="C152" s="618"/>
      <c r="D152" s="618"/>
      <c r="E152" s="618"/>
      <c r="F152" s="618"/>
      <c r="G152" s="618"/>
      <c r="H152" s="618"/>
      <c r="I152" s="618"/>
      <c r="J152" s="616"/>
      <c r="K152" s="1684">
        <f>'Revenues 9-14'!D268-'Expenditures 15-22'!K151</f>
        <v>554735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232" t="s">
        <v>621</v>
      </c>
      <c r="B154" s="223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1841</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1843</v>
      </c>
      <c r="C158" s="616"/>
      <c r="D158" s="616"/>
      <c r="E158" s="616"/>
      <c r="F158" s="616"/>
      <c r="G158" s="616"/>
      <c r="H158" s="467"/>
      <c r="I158" s="616"/>
      <c r="J158" s="616"/>
      <c r="K158" s="1671">
        <f>H158</f>
        <v>0</v>
      </c>
      <c r="L158" s="467"/>
      <c r="M158" s="619"/>
      <c r="N158" s="619"/>
    </row>
    <row r="159" spans="1:14" s="620" customFormat="1" ht="12" x14ac:dyDescent="0.2">
      <c r="A159" s="1826" t="s">
        <v>1844</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2094593</v>
      </c>
      <c r="I169" s="616"/>
      <c r="J169" s="616"/>
      <c r="K169" s="1671">
        <f>SUM(C169:H169)</f>
        <v>2094593</v>
      </c>
      <c r="L169" s="656">
        <v>2093650</v>
      </c>
    </row>
    <row r="170" spans="1:14" ht="33.75" customHeight="1" x14ac:dyDescent="0.2">
      <c r="A170" s="669" t="s">
        <v>1670</v>
      </c>
      <c r="B170" s="671" t="s">
        <v>31</v>
      </c>
      <c r="C170" s="616"/>
      <c r="D170" s="616"/>
      <c r="E170" s="616"/>
      <c r="F170" s="616"/>
      <c r="G170" s="616"/>
      <c r="H170" s="569">
        <v>5310000</v>
      </c>
      <c r="I170" s="616"/>
      <c r="J170" s="616"/>
      <c r="K170" s="1671">
        <f>SUM(C170:J170)</f>
        <v>5310000</v>
      </c>
      <c r="L170" s="569">
        <v>5811855</v>
      </c>
    </row>
    <row r="171" spans="1:14" ht="15.75" customHeight="1" x14ac:dyDescent="0.2">
      <c r="A171" s="621" t="s">
        <v>766</v>
      </c>
      <c r="B171" s="672" t="s">
        <v>84</v>
      </c>
      <c r="C171" s="616"/>
      <c r="D171" s="616"/>
      <c r="E171" s="466"/>
      <c r="F171" s="616"/>
      <c r="G171" s="616"/>
      <c r="H171" s="569"/>
      <c r="I171" s="477"/>
      <c r="J171" s="616"/>
      <c r="K171" s="1671">
        <f>SUM(C171:J171)</f>
        <v>0</v>
      </c>
      <c r="L171" s="569">
        <v>2605</v>
      </c>
    </row>
    <row r="172" spans="1:14" ht="12.75" customHeight="1" thickBot="1" x14ac:dyDescent="0.25">
      <c r="A172" s="1668" t="s">
        <v>638</v>
      </c>
      <c r="B172" s="1669" t="s">
        <v>492</v>
      </c>
      <c r="C172" s="616"/>
      <c r="D172" s="616"/>
      <c r="E172" s="1677">
        <f>SUM(E168,E169,E170,E171)</f>
        <v>0</v>
      </c>
      <c r="F172" s="616"/>
      <c r="G172" s="616"/>
      <c r="H172" s="1677">
        <f>SUM(H168,H169,H170,H171)</f>
        <v>7404593</v>
      </c>
      <c r="I172" s="638"/>
      <c r="J172" s="616"/>
      <c r="K172" s="1677">
        <f>SUM(K168,K169,K170,K171)</f>
        <v>7404593</v>
      </c>
      <c r="L172" s="1677">
        <f>SUM(L168,L169,L170,L171)</f>
        <v>7908110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7404593</v>
      </c>
      <c r="I174" s="638"/>
      <c r="J174" s="616"/>
      <c r="K174" s="1677">
        <f>SUM(K160,K172,K173)</f>
        <v>7404593</v>
      </c>
      <c r="L174" s="1677">
        <f>SUM(L160,L172,L173)</f>
        <v>7908110</v>
      </c>
    </row>
    <row r="175" spans="1:14" ht="13.5" thickTop="1" x14ac:dyDescent="0.2">
      <c r="A175" s="2227" t="s">
        <v>996</v>
      </c>
      <c r="B175" s="2228"/>
      <c r="C175" s="616"/>
      <c r="D175" s="616"/>
      <c r="E175" s="616"/>
      <c r="F175" s="616"/>
      <c r="G175" s="616"/>
      <c r="H175" s="618"/>
      <c r="I175" s="616"/>
      <c r="J175" s="616"/>
      <c r="K175" s="1684">
        <f>'Revenues 9-14'!E268-'Expenditures 15-22'!K174</f>
        <v>682630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253252</v>
      </c>
      <c r="D182" s="466">
        <v>24981</v>
      </c>
      <c r="E182" s="466">
        <v>10839877</v>
      </c>
      <c r="F182" s="466">
        <v>386718</v>
      </c>
      <c r="G182" s="466"/>
      <c r="H182" s="466"/>
      <c r="I182" s="467"/>
      <c r="J182" s="467"/>
      <c r="K182" s="1671">
        <f>SUM(C182:J182)</f>
        <v>11504828</v>
      </c>
      <c r="L182" s="466">
        <v>11936634</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253252</v>
      </c>
      <c r="D184" s="1677">
        <f t="shared" ref="D184:J184" si="17">SUM(D180,D182,D183)</f>
        <v>24981</v>
      </c>
      <c r="E184" s="1677">
        <f t="shared" si="17"/>
        <v>10839877</v>
      </c>
      <c r="F184" s="1677">
        <f t="shared" si="17"/>
        <v>386718</v>
      </c>
      <c r="G184" s="1677">
        <f t="shared" si="17"/>
        <v>0</v>
      </c>
      <c r="H184" s="1677">
        <f t="shared" si="17"/>
        <v>0</v>
      </c>
      <c r="I184" s="1677">
        <f t="shared" si="17"/>
        <v>0</v>
      </c>
      <c r="J184" s="1677">
        <f t="shared" si="17"/>
        <v>0</v>
      </c>
      <c r="K184" s="1677">
        <f>SUM(K180,K182,K183)</f>
        <v>11504828</v>
      </c>
      <c r="L184" s="1677">
        <f>SUM(L180, L182:L183)</f>
        <v>11936634</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253252</v>
      </c>
      <c r="D210" s="1670">
        <f>SUM(D184,D185)</f>
        <v>24981</v>
      </c>
      <c r="E210" s="1670">
        <f>SUM(E184,E185,E196)</f>
        <v>10839877</v>
      </c>
      <c r="F210" s="1670">
        <f>SUM(F184,F185)</f>
        <v>386718</v>
      </c>
      <c r="G210" s="1670">
        <f>SUM(G184,G185)</f>
        <v>0</v>
      </c>
      <c r="H210" s="1670">
        <f>SUM(H184,H185,H196,H208,H209)</f>
        <v>0</v>
      </c>
      <c r="I210" s="1670">
        <f>SUM(I184,I185)</f>
        <v>0</v>
      </c>
      <c r="J210" s="1670">
        <f>SUM(J184,J185)</f>
        <v>0</v>
      </c>
      <c r="K210" s="1671">
        <f>SUM(K184,K185,K196,K208,K209)</f>
        <v>11504828</v>
      </c>
      <c r="L210" s="1670">
        <f>SUM(L184,L185,L196,L208,L209)</f>
        <v>11936634</v>
      </c>
    </row>
    <row r="211" spans="1:14" ht="13.5" thickTop="1" x14ac:dyDescent="0.2">
      <c r="A211" s="2227" t="s">
        <v>996</v>
      </c>
      <c r="B211" s="2228"/>
      <c r="C211" s="618"/>
      <c r="D211" s="618"/>
      <c r="E211" s="618"/>
      <c r="F211" s="618"/>
      <c r="G211" s="618"/>
      <c r="H211" s="618"/>
      <c r="I211" s="616"/>
      <c r="J211" s="616"/>
      <c r="K211" s="1684">
        <f>'Revenues 9-14'!F268-'Expenditures 15-22'!K210</f>
        <v>1679037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49" t="s">
        <v>965</v>
      </c>
      <c r="B213" s="225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897107</v>
      </c>
      <c r="E215" s="616"/>
      <c r="F215" s="616"/>
      <c r="G215" s="616"/>
      <c r="H215" s="616"/>
      <c r="I215" s="616"/>
      <c r="J215" s="616"/>
      <c r="K215" s="1671">
        <f>D215</f>
        <v>897107</v>
      </c>
      <c r="L215" s="466">
        <v>892657</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918582</v>
      </c>
      <c r="E217" s="616"/>
      <c r="F217" s="616"/>
      <c r="G217" s="616"/>
      <c r="H217" s="616"/>
      <c r="I217" s="616"/>
      <c r="J217" s="616"/>
      <c r="K217" s="1671">
        <f t="shared" si="19"/>
        <v>918582</v>
      </c>
      <c r="L217" s="466">
        <v>922968</v>
      </c>
    </row>
    <row r="218" spans="1:14" x14ac:dyDescent="0.2">
      <c r="A218" s="1504" t="s">
        <v>278</v>
      </c>
      <c r="B218" s="614" t="s">
        <v>968</v>
      </c>
      <c r="C218" s="616"/>
      <c r="D218" s="467">
        <v>61325</v>
      </c>
      <c r="E218" s="616"/>
      <c r="F218" s="616"/>
      <c r="G218" s="616"/>
      <c r="H218" s="616"/>
      <c r="I218" s="616"/>
      <c r="J218" s="616"/>
      <c r="K218" s="1671">
        <f t="shared" si="19"/>
        <v>61325</v>
      </c>
      <c r="L218" s="466">
        <v>60713</v>
      </c>
    </row>
    <row r="219" spans="1:14" x14ac:dyDescent="0.2">
      <c r="A219" s="1504" t="s">
        <v>279</v>
      </c>
      <c r="B219" s="614">
        <v>1250</v>
      </c>
      <c r="C219" s="616"/>
      <c r="D219" s="466">
        <v>5083</v>
      </c>
      <c r="E219" s="616"/>
      <c r="F219" s="616"/>
      <c r="G219" s="616"/>
      <c r="H219" s="616"/>
      <c r="I219" s="616"/>
      <c r="J219" s="616"/>
      <c r="K219" s="1671">
        <f t="shared" si="19"/>
        <v>5083</v>
      </c>
      <c r="L219" s="466">
        <v>5083</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54317</v>
      </c>
      <c r="E222" s="616"/>
      <c r="F222" s="616"/>
      <c r="G222" s="616"/>
      <c r="H222" s="616"/>
      <c r="I222" s="616"/>
      <c r="J222" s="616"/>
      <c r="K222" s="1671">
        <f t="shared" si="19"/>
        <v>54317</v>
      </c>
      <c r="L222" s="466">
        <v>54410</v>
      </c>
    </row>
    <row r="223" spans="1:14" x14ac:dyDescent="0.2">
      <c r="A223" s="1504" t="s">
        <v>963</v>
      </c>
      <c r="B223" s="614">
        <v>1500</v>
      </c>
      <c r="C223" s="616"/>
      <c r="D223" s="466">
        <v>20758</v>
      </c>
      <c r="E223" s="616"/>
      <c r="F223" s="616"/>
      <c r="G223" s="616"/>
      <c r="H223" s="616"/>
      <c r="I223" s="616"/>
      <c r="J223" s="616"/>
      <c r="K223" s="1671">
        <f t="shared" si="19"/>
        <v>20758</v>
      </c>
      <c r="L223" s="466">
        <v>25735</v>
      </c>
    </row>
    <row r="224" spans="1:14" x14ac:dyDescent="0.2">
      <c r="A224" s="1504" t="s">
        <v>964</v>
      </c>
      <c r="B224" s="614">
        <v>1600</v>
      </c>
      <c r="C224" s="616"/>
      <c r="D224" s="466">
        <v>712</v>
      </c>
      <c r="E224" s="616"/>
      <c r="F224" s="616"/>
      <c r="G224" s="616"/>
      <c r="H224" s="616"/>
      <c r="I224" s="616"/>
      <c r="J224" s="616"/>
      <c r="K224" s="1671">
        <f t="shared" si="19"/>
        <v>712</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3967</v>
      </c>
      <c r="E226" s="616"/>
      <c r="F226" s="616"/>
      <c r="G226" s="616"/>
      <c r="H226" s="616"/>
      <c r="I226" s="616"/>
      <c r="J226" s="616"/>
      <c r="K226" s="1671">
        <f t="shared" si="19"/>
        <v>3967</v>
      </c>
      <c r="L226" s="466">
        <v>4680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v>42518</v>
      </c>
      <c r="E228" s="616"/>
      <c r="F228" s="616"/>
      <c r="G228" s="616"/>
      <c r="H228" s="616"/>
      <c r="I228" s="616"/>
      <c r="J228" s="616"/>
      <c r="K228" s="1671">
        <f t="shared" si="19"/>
        <v>42518</v>
      </c>
      <c r="L228" s="466">
        <v>42875</v>
      </c>
    </row>
    <row r="229" spans="1:12" ht="12.75" customHeight="1" thickBot="1" x14ac:dyDescent="0.25">
      <c r="A229" s="1668" t="s">
        <v>715</v>
      </c>
      <c r="B229" s="1675" t="s">
        <v>570</v>
      </c>
      <c r="C229" s="616"/>
      <c r="D229" s="1670">
        <f>SUM(D215:D228)</f>
        <v>2004369</v>
      </c>
      <c r="E229" s="616"/>
      <c r="F229" s="616"/>
      <c r="G229" s="616"/>
      <c r="H229" s="616"/>
      <c r="I229" s="616"/>
      <c r="J229" s="616"/>
      <c r="K229" s="1670">
        <f>SUM(K215:K228)</f>
        <v>2004369</v>
      </c>
      <c r="L229" s="1670">
        <f>SUM(L215:L228)</f>
        <v>2009121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111089</v>
      </c>
      <c r="E232" s="616"/>
      <c r="F232" s="616"/>
      <c r="G232" s="616"/>
      <c r="H232" s="616"/>
      <c r="I232" s="616"/>
      <c r="J232" s="616"/>
      <c r="K232" s="1671">
        <f t="shared" ref="K232:K237" si="20">D232</f>
        <v>111089</v>
      </c>
      <c r="L232" s="466">
        <v>112196</v>
      </c>
    </row>
    <row r="233" spans="1:12" x14ac:dyDescent="0.2">
      <c r="A233" s="1504" t="s">
        <v>1090</v>
      </c>
      <c r="B233" s="614">
        <v>2120</v>
      </c>
      <c r="C233" s="616"/>
      <c r="D233" s="466">
        <v>85534</v>
      </c>
      <c r="E233" s="616"/>
      <c r="F233" s="616"/>
      <c r="G233" s="616"/>
      <c r="H233" s="616"/>
      <c r="I233" s="616"/>
      <c r="J233" s="616"/>
      <c r="K233" s="1671">
        <f t="shared" si="20"/>
        <v>85534</v>
      </c>
      <c r="L233" s="466">
        <v>84081</v>
      </c>
    </row>
    <row r="234" spans="1:12" x14ac:dyDescent="0.2">
      <c r="A234" s="1504" t="s">
        <v>198</v>
      </c>
      <c r="B234" s="614">
        <v>2130</v>
      </c>
      <c r="C234" s="616"/>
      <c r="D234" s="466">
        <v>220020</v>
      </c>
      <c r="E234" s="616"/>
      <c r="F234" s="616"/>
      <c r="G234" s="616"/>
      <c r="H234" s="616"/>
      <c r="I234" s="616"/>
      <c r="J234" s="616"/>
      <c r="K234" s="1671">
        <f t="shared" si="20"/>
        <v>220020</v>
      </c>
      <c r="L234" s="466">
        <v>220056</v>
      </c>
    </row>
    <row r="235" spans="1:12" x14ac:dyDescent="0.2">
      <c r="A235" s="1504" t="s">
        <v>199</v>
      </c>
      <c r="B235" s="614">
        <v>2140</v>
      </c>
      <c r="C235" s="616"/>
      <c r="D235" s="466">
        <v>17746</v>
      </c>
      <c r="E235" s="616"/>
      <c r="F235" s="616"/>
      <c r="G235" s="616"/>
      <c r="H235" s="616"/>
      <c r="I235" s="616"/>
      <c r="J235" s="616"/>
      <c r="K235" s="1671">
        <f t="shared" si="20"/>
        <v>17746</v>
      </c>
      <c r="L235" s="466">
        <v>17783</v>
      </c>
    </row>
    <row r="236" spans="1:12" x14ac:dyDescent="0.2">
      <c r="A236" s="1504" t="s">
        <v>200</v>
      </c>
      <c r="B236" s="614">
        <v>2150</v>
      </c>
      <c r="C236" s="616"/>
      <c r="D236" s="466">
        <v>45218</v>
      </c>
      <c r="E236" s="616"/>
      <c r="F236" s="616"/>
      <c r="G236" s="616"/>
      <c r="H236" s="616"/>
      <c r="I236" s="616"/>
      <c r="J236" s="616"/>
      <c r="K236" s="1671">
        <f t="shared" si="20"/>
        <v>45218</v>
      </c>
      <c r="L236" s="466">
        <v>44494</v>
      </c>
    </row>
    <row r="237" spans="1:12" x14ac:dyDescent="0.2">
      <c r="A237" s="1504" t="s">
        <v>165</v>
      </c>
      <c r="B237" s="614">
        <v>2190</v>
      </c>
      <c r="C237" s="616"/>
      <c r="D237" s="466">
        <v>17152</v>
      </c>
      <c r="E237" s="616"/>
      <c r="F237" s="616"/>
      <c r="G237" s="616"/>
      <c r="H237" s="616"/>
      <c r="I237" s="616"/>
      <c r="J237" s="616"/>
      <c r="K237" s="1671">
        <f t="shared" si="20"/>
        <v>17152</v>
      </c>
      <c r="L237" s="466">
        <v>16222</v>
      </c>
    </row>
    <row r="238" spans="1:12" ht="12.75" customHeight="1" thickBot="1" x14ac:dyDescent="0.25">
      <c r="A238" s="1668" t="s">
        <v>560</v>
      </c>
      <c r="B238" s="1675" t="s">
        <v>716</v>
      </c>
      <c r="C238" s="616"/>
      <c r="D238" s="1670">
        <f>SUM(D232:D237)</f>
        <v>496759</v>
      </c>
      <c r="E238" s="616"/>
      <c r="F238" s="616"/>
      <c r="G238" s="616"/>
      <c r="H238" s="616"/>
      <c r="I238" s="616"/>
      <c r="J238" s="616"/>
      <c r="K238" s="1670">
        <f>SUM(K232:K237)</f>
        <v>496759</v>
      </c>
      <c r="L238" s="1670">
        <f>SUM(L232:L237)</f>
        <v>494832</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77843</v>
      </c>
      <c r="E240" s="616"/>
      <c r="F240" s="616"/>
      <c r="G240" s="616"/>
      <c r="H240" s="616"/>
      <c r="I240" s="616"/>
      <c r="J240" s="616"/>
      <c r="K240" s="1672">
        <f>D240</f>
        <v>77843</v>
      </c>
      <c r="L240" s="481">
        <v>78849</v>
      </c>
    </row>
    <row r="241" spans="1:12" x14ac:dyDescent="0.2">
      <c r="A241" s="1504" t="s">
        <v>815</v>
      </c>
      <c r="B241" s="614">
        <v>2220</v>
      </c>
      <c r="C241" s="616"/>
      <c r="D241" s="466">
        <v>38457</v>
      </c>
      <c r="E241" s="616"/>
      <c r="F241" s="616"/>
      <c r="G241" s="616"/>
      <c r="H241" s="616"/>
      <c r="I241" s="616"/>
      <c r="J241" s="616"/>
      <c r="K241" s="1672">
        <f>D241</f>
        <v>38457</v>
      </c>
      <c r="L241" s="466">
        <v>38499</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116300</v>
      </c>
      <c r="E243" s="616"/>
      <c r="F243" s="616"/>
      <c r="G243" s="616"/>
      <c r="H243" s="616"/>
      <c r="I243" s="616"/>
      <c r="J243" s="616"/>
      <c r="K243" s="1670">
        <f>SUM(K240:K242)</f>
        <v>116300</v>
      </c>
      <c r="L243" s="1670">
        <f>SUM(L240:L242)</f>
        <v>117348</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12586</v>
      </c>
      <c r="E245" s="616"/>
      <c r="F245" s="616"/>
      <c r="G245" s="616"/>
      <c r="H245" s="616"/>
      <c r="I245" s="616"/>
      <c r="J245" s="616"/>
      <c r="K245" s="1672">
        <f>D245</f>
        <v>12586</v>
      </c>
      <c r="L245" s="481">
        <v>12588</v>
      </c>
    </row>
    <row r="246" spans="1:12" x14ac:dyDescent="0.2">
      <c r="A246" s="1504" t="s">
        <v>818</v>
      </c>
      <c r="B246" s="614">
        <v>2320</v>
      </c>
      <c r="C246" s="616"/>
      <c r="D246" s="466">
        <v>85237</v>
      </c>
      <c r="E246" s="616"/>
      <c r="F246" s="616"/>
      <c r="G246" s="616"/>
      <c r="H246" s="616"/>
      <c r="I246" s="616"/>
      <c r="J246" s="616"/>
      <c r="K246" s="1672">
        <f t="shared" ref="K246:K256" si="21">D246</f>
        <v>85237</v>
      </c>
      <c r="L246" s="466">
        <v>17887</v>
      </c>
    </row>
    <row r="247" spans="1:12" x14ac:dyDescent="0.2">
      <c r="A247" s="1504" t="s">
        <v>819</v>
      </c>
      <c r="B247" s="614">
        <v>2330</v>
      </c>
      <c r="C247" s="616"/>
      <c r="D247" s="466"/>
      <c r="E247" s="616"/>
      <c r="F247" s="616"/>
      <c r="G247" s="616"/>
      <c r="H247" s="616"/>
      <c r="I247" s="616"/>
      <c r="J247" s="616"/>
      <c r="K247" s="1672">
        <f t="shared" si="21"/>
        <v>0</v>
      </c>
      <c r="L247" s="466">
        <v>67235</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304432</v>
      </c>
      <c r="E254" s="616"/>
      <c r="F254" s="616"/>
      <c r="G254" s="616"/>
      <c r="H254" s="616"/>
      <c r="I254" s="616"/>
      <c r="J254" s="616"/>
      <c r="K254" s="1672">
        <f t="shared" si="21"/>
        <v>304432</v>
      </c>
      <c r="L254" s="466">
        <v>309302</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402255</v>
      </c>
      <c r="E257" s="616"/>
      <c r="F257" s="616"/>
      <c r="G257" s="616"/>
      <c r="H257" s="616"/>
      <c r="I257" s="616"/>
      <c r="J257" s="616"/>
      <c r="K257" s="1670">
        <f>SUM(K245:K256)</f>
        <v>402255</v>
      </c>
      <c r="L257" s="1670">
        <f>SUM(L245:L256)</f>
        <v>407012</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374048</v>
      </c>
      <c r="E259" s="616"/>
      <c r="F259" s="616"/>
      <c r="G259" s="616"/>
      <c r="H259" s="616"/>
      <c r="I259" s="616"/>
      <c r="J259" s="616"/>
      <c r="K259" s="1672">
        <f>D259</f>
        <v>374048</v>
      </c>
      <c r="L259" s="481">
        <v>378428</v>
      </c>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374048</v>
      </c>
      <c r="E261" s="616"/>
      <c r="F261" s="616"/>
      <c r="G261" s="616"/>
      <c r="H261" s="616"/>
      <c r="I261" s="616"/>
      <c r="J261" s="616"/>
      <c r="K261" s="1670">
        <f>SUM(K259:K260)</f>
        <v>374048</v>
      </c>
      <c r="L261" s="1670">
        <f>SUM(L259:L260)</f>
        <v>378428</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98269</v>
      </c>
      <c r="E263" s="616"/>
      <c r="F263" s="616"/>
      <c r="G263" s="616"/>
      <c r="H263" s="616"/>
      <c r="I263" s="616"/>
      <c r="J263" s="616"/>
      <c r="K263" s="1672">
        <f>D263</f>
        <v>98269</v>
      </c>
      <c r="L263" s="481">
        <v>98210</v>
      </c>
    </row>
    <row r="264" spans="1:14" x14ac:dyDescent="0.2">
      <c r="A264" s="1504" t="s">
        <v>463</v>
      </c>
      <c r="B264" s="685">
        <v>2520</v>
      </c>
      <c r="C264" s="616"/>
      <c r="D264" s="466">
        <v>108021</v>
      </c>
      <c r="E264" s="616"/>
      <c r="F264" s="616"/>
      <c r="G264" s="616"/>
      <c r="H264" s="616"/>
      <c r="I264" s="616"/>
      <c r="J264" s="616"/>
      <c r="K264" s="1672">
        <f t="shared" ref="K264:K269" si="22">D264</f>
        <v>108021</v>
      </c>
      <c r="L264" s="466">
        <v>107586</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1452482</v>
      </c>
      <c r="E266" s="616"/>
      <c r="F266" s="616"/>
      <c r="G266" s="616"/>
      <c r="H266" s="616"/>
      <c r="I266" s="616"/>
      <c r="J266" s="616"/>
      <c r="K266" s="1672">
        <f t="shared" si="22"/>
        <v>1452482</v>
      </c>
      <c r="L266" s="466">
        <v>1474881</v>
      </c>
    </row>
    <row r="267" spans="1:14" x14ac:dyDescent="0.2">
      <c r="A267" s="1504" t="s">
        <v>953</v>
      </c>
      <c r="B267" s="614">
        <v>2550</v>
      </c>
      <c r="C267" s="616"/>
      <c r="D267" s="466">
        <v>47597</v>
      </c>
      <c r="E267" s="616"/>
      <c r="F267" s="616"/>
      <c r="G267" s="616"/>
      <c r="H267" s="616"/>
      <c r="I267" s="616"/>
      <c r="J267" s="616"/>
      <c r="K267" s="1672">
        <f t="shared" si="22"/>
        <v>47597</v>
      </c>
      <c r="L267" s="466">
        <v>47568</v>
      </c>
    </row>
    <row r="268" spans="1:14" x14ac:dyDescent="0.2">
      <c r="A268" s="1504" t="s">
        <v>100</v>
      </c>
      <c r="B268" s="614">
        <v>2560</v>
      </c>
      <c r="C268" s="616"/>
      <c r="D268" s="466">
        <v>669616</v>
      </c>
      <c r="E268" s="616"/>
      <c r="F268" s="616"/>
      <c r="G268" s="616"/>
      <c r="H268" s="616"/>
      <c r="I268" s="616"/>
      <c r="J268" s="616"/>
      <c r="K268" s="1672">
        <f t="shared" si="22"/>
        <v>669616</v>
      </c>
      <c r="L268" s="466">
        <v>669045</v>
      </c>
    </row>
    <row r="269" spans="1:14" x14ac:dyDescent="0.2">
      <c r="A269" s="1504" t="s">
        <v>101</v>
      </c>
      <c r="B269" s="614">
        <v>2570</v>
      </c>
      <c r="C269" s="616"/>
      <c r="D269" s="466">
        <v>14957</v>
      </c>
      <c r="E269" s="616"/>
      <c r="F269" s="616"/>
      <c r="G269" s="616"/>
      <c r="H269" s="616"/>
      <c r="I269" s="616"/>
      <c r="J269" s="616"/>
      <c r="K269" s="1672">
        <f t="shared" si="22"/>
        <v>14957</v>
      </c>
      <c r="L269" s="466">
        <v>14958</v>
      </c>
    </row>
    <row r="270" spans="1:14" ht="12.75" customHeight="1" thickBot="1" x14ac:dyDescent="0.25">
      <c r="A270" s="1668" t="s">
        <v>719</v>
      </c>
      <c r="B270" s="1675" t="s">
        <v>35</v>
      </c>
      <c r="C270" s="616"/>
      <c r="D270" s="1670">
        <f>SUM(D263:D269)</f>
        <v>2390942</v>
      </c>
      <c r="E270" s="616"/>
      <c r="F270" s="616"/>
      <c r="G270" s="616"/>
      <c r="H270" s="616"/>
      <c r="I270" s="616"/>
      <c r="J270" s="616"/>
      <c r="K270" s="1670">
        <f>SUM(K263:K269)</f>
        <v>2390942</v>
      </c>
      <c r="L270" s="1670">
        <f>SUM(L263:L269)</f>
        <v>2412248</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v>81918</v>
      </c>
      <c r="E275" s="616"/>
      <c r="F275" s="616"/>
      <c r="G275" s="616"/>
      <c r="H275" s="616"/>
      <c r="I275" s="616"/>
      <c r="J275" s="616"/>
      <c r="K275" s="1672">
        <f>D275</f>
        <v>81918</v>
      </c>
      <c r="L275" s="466">
        <v>111047</v>
      </c>
    </row>
    <row r="276" spans="1:12" x14ac:dyDescent="0.2">
      <c r="A276" s="1504" t="s">
        <v>404</v>
      </c>
      <c r="B276" s="614">
        <v>2660</v>
      </c>
      <c r="C276" s="616"/>
      <c r="D276" s="466">
        <v>151688</v>
      </c>
      <c r="E276" s="616"/>
      <c r="F276" s="616"/>
      <c r="G276" s="616"/>
      <c r="H276" s="616"/>
      <c r="I276" s="616"/>
      <c r="J276" s="616"/>
      <c r="K276" s="1672">
        <f>D276</f>
        <v>151688</v>
      </c>
      <c r="L276" s="466">
        <v>156039</v>
      </c>
    </row>
    <row r="277" spans="1:12" ht="12.75" customHeight="1" thickBot="1" x14ac:dyDescent="0.25">
      <c r="A277" s="1691" t="s">
        <v>37</v>
      </c>
      <c r="B277" s="1669" t="s">
        <v>36</v>
      </c>
      <c r="C277" s="616"/>
      <c r="D277" s="1670">
        <f>SUM(D272:D276)</f>
        <v>233606</v>
      </c>
      <c r="E277" s="616"/>
      <c r="F277" s="616"/>
      <c r="G277" s="616"/>
      <c r="H277" s="616"/>
      <c r="I277" s="616"/>
      <c r="J277" s="616"/>
      <c r="K277" s="1670">
        <f>SUM(K272:K276)</f>
        <v>233606</v>
      </c>
      <c r="L277" s="1670">
        <f>SUM(L272:L276)</f>
        <v>267086</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4013910</v>
      </c>
      <c r="E279" s="616"/>
      <c r="F279" s="616"/>
      <c r="G279" s="616"/>
      <c r="H279" s="616"/>
      <c r="I279" s="616"/>
      <c r="J279" s="616"/>
      <c r="K279" s="1677">
        <f>SUM(K238,K243,K257,K261,K270,K277,K278)</f>
        <v>4013910</v>
      </c>
      <c r="L279" s="1677">
        <f>SUM(L238,L243,L257,L261,L270,L277,L278)</f>
        <v>4076954</v>
      </c>
    </row>
    <row r="280" spans="1:12" ht="15.75" customHeight="1" thickTop="1" thickBot="1" x14ac:dyDescent="0.25">
      <c r="A280" s="1624" t="s">
        <v>875</v>
      </c>
      <c r="B280" s="1613">
        <v>3000</v>
      </c>
      <c r="C280" s="616"/>
      <c r="D280" s="576">
        <v>47203</v>
      </c>
      <c r="E280" s="616"/>
      <c r="F280" s="616"/>
      <c r="G280" s="616"/>
      <c r="H280" s="616"/>
      <c r="I280" s="616"/>
      <c r="J280" s="616"/>
      <c r="K280" s="1679">
        <f>D280</f>
        <v>47203</v>
      </c>
      <c r="L280" s="576">
        <v>47057</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1841</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25000</v>
      </c>
    </row>
    <row r="295" spans="1:14" ht="12.75" customHeight="1" thickTop="1" thickBot="1" x14ac:dyDescent="0.25">
      <c r="A295" s="2245" t="s">
        <v>505</v>
      </c>
      <c r="B295" s="2246"/>
      <c r="C295" s="616"/>
      <c r="D295" s="1670">
        <f>SUM(D229,D279,D280,D285)</f>
        <v>6065482</v>
      </c>
      <c r="E295" s="616"/>
      <c r="F295" s="616"/>
      <c r="G295" s="616"/>
      <c r="H295" s="1670">
        <f>H293</f>
        <v>0</v>
      </c>
      <c r="I295" s="616"/>
      <c r="J295" s="616"/>
      <c r="K295" s="1670">
        <f>SUM(K229,K279,K280,K285,K293,K294)</f>
        <v>6065482</v>
      </c>
      <c r="L295" s="1670">
        <f>SUM(L229,L279,L280,L285,L293,L294)</f>
        <v>6158132</v>
      </c>
    </row>
    <row r="296" spans="1:14" ht="13.5" thickTop="1" x14ac:dyDescent="0.2">
      <c r="A296" s="2227" t="s">
        <v>996</v>
      </c>
      <c r="B296" s="2228"/>
      <c r="C296" s="616"/>
      <c r="D296" s="618"/>
      <c r="E296" s="616"/>
      <c r="F296" s="616"/>
      <c r="G296" s="616"/>
      <c r="H296" s="687"/>
      <c r="I296" s="616"/>
      <c r="J296" s="616"/>
      <c r="K296" s="1684">
        <f>'Revenues 9-14'!G268-'Expenditures 15-22'!K295</f>
        <v>315469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237" t="s">
        <v>143</v>
      </c>
      <c r="B298" s="223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242" t="s">
        <v>277</v>
      </c>
      <c r="B312" s="224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238" t="s">
        <v>996</v>
      </c>
      <c r="B313" s="223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51" t="s">
        <v>149</v>
      </c>
      <c r="B315" s="225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53" t="s">
        <v>898</v>
      </c>
      <c r="B317" s="225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v>530833</v>
      </c>
      <c r="F320" s="467"/>
      <c r="G320" s="467"/>
      <c r="H320" s="467"/>
      <c r="I320" s="467"/>
      <c r="J320" s="467"/>
      <c r="K320" s="1671">
        <f t="shared" ref="K320:K327" si="24">SUM(C320:J320)</f>
        <v>530833</v>
      </c>
      <c r="L320" s="467">
        <v>700000</v>
      </c>
      <c r="M320" s="665"/>
      <c r="N320" s="665"/>
    </row>
    <row r="321" spans="1:14" s="674" customFormat="1" x14ac:dyDescent="0.2">
      <c r="A321" s="1519" t="s">
        <v>300</v>
      </c>
      <c r="B321" s="697" t="s">
        <v>283</v>
      </c>
      <c r="C321" s="467"/>
      <c r="D321" s="467"/>
      <c r="E321" s="467">
        <v>54360</v>
      </c>
      <c r="F321" s="467"/>
      <c r="G321" s="467"/>
      <c r="H321" s="467"/>
      <c r="I321" s="467"/>
      <c r="J321" s="467"/>
      <c r="K321" s="1671">
        <f t="shared" si="24"/>
        <v>54360</v>
      </c>
      <c r="L321" s="467">
        <v>100000</v>
      </c>
      <c r="M321" s="665"/>
      <c r="N321" s="665"/>
    </row>
    <row r="322" spans="1:14" s="674" customFormat="1" x14ac:dyDescent="0.2">
      <c r="A322" s="1519" t="s">
        <v>238</v>
      </c>
      <c r="B322" s="697" t="s">
        <v>284</v>
      </c>
      <c r="C322" s="467"/>
      <c r="D322" s="467"/>
      <c r="E322" s="467">
        <v>240187</v>
      </c>
      <c r="F322" s="467"/>
      <c r="G322" s="467"/>
      <c r="H322" s="467"/>
      <c r="I322" s="467"/>
      <c r="J322" s="467"/>
      <c r="K322" s="1671">
        <f t="shared" si="24"/>
        <v>240187</v>
      </c>
      <c r="L322" s="467">
        <v>243500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1908580</v>
      </c>
      <c r="D325" s="467">
        <v>384333</v>
      </c>
      <c r="E325" s="467">
        <v>455248</v>
      </c>
      <c r="F325" s="467">
        <v>215</v>
      </c>
      <c r="G325" s="467"/>
      <c r="H325" s="467"/>
      <c r="I325" s="467"/>
      <c r="J325" s="467"/>
      <c r="K325" s="1671">
        <f t="shared" si="24"/>
        <v>2748376</v>
      </c>
      <c r="L325" s="467">
        <v>2785198</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52487</v>
      </c>
      <c r="F327" s="467"/>
      <c r="G327" s="467"/>
      <c r="H327" s="467"/>
      <c r="I327" s="467"/>
      <c r="J327" s="467"/>
      <c r="K327" s="1671">
        <f t="shared" si="24"/>
        <v>52487</v>
      </c>
      <c r="L327" s="467">
        <v>60000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1908580</v>
      </c>
      <c r="D330" s="1670">
        <f t="shared" ref="D330:J330" si="25">SUM(D319:D329)</f>
        <v>384333</v>
      </c>
      <c r="E330" s="1670">
        <f t="shared" si="25"/>
        <v>1333115</v>
      </c>
      <c r="F330" s="1670">
        <f t="shared" si="25"/>
        <v>215</v>
      </c>
      <c r="G330" s="1670">
        <f t="shared" si="25"/>
        <v>0</v>
      </c>
      <c r="H330" s="1670">
        <f t="shared" si="25"/>
        <v>0</v>
      </c>
      <c r="I330" s="1670">
        <f t="shared" si="25"/>
        <v>0</v>
      </c>
      <c r="J330" s="1670">
        <f t="shared" si="25"/>
        <v>0</v>
      </c>
      <c r="K330" s="1670">
        <f>SUM(K319:K329)</f>
        <v>3626243</v>
      </c>
      <c r="L330" s="1670">
        <f>SUM(L319:L329)</f>
        <v>3888698</v>
      </c>
      <c r="M330" s="665"/>
      <c r="N330" s="665"/>
    </row>
    <row r="331" spans="1:14" s="674" customFormat="1" ht="12.75" customHeight="1" thickTop="1" x14ac:dyDescent="0.2">
      <c r="A331" s="1831" t="s">
        <v>1847</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1841</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1843</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1908580</v>
      </c>
      <c r="D342" s="1670">
        <f>SUM(D330)</f>
        <v>384333</v>
      </c>
      <c r="E342" s="1670">
        <f>SUM(E330)</f>
        <v>1333115</v>
      </c>
      <c r="F342" s="1670">
        <f>SUM(F330)</f>
        <v>215</v>
      </c>
      <c r="G342" s="1670">
        <f>SUM(G330)</f>
        <v>0</v>
      </c>
      <c r="H342" s="1670">
        <f>SUM(H330,H334,H340)</f>
        <v>0</v>
      </c>
      <c r="I342" s="1670">
        <f>SUM(I330)</f>
        <v>0</v>
      </c>
      <c r="J342" s="1670">
        <f>SUM(J330)</f>
        <v>0</v>
      </c>
      <c r="K342" s="1670">
        <f>SUM(K330,K334,K340)</f>
        <v>3626243</v>
      </c>
      <c r="L342" s="1677">
        <f>SUM(L330,L334,L340,L341)</f>
        <v>3888698</v>
      </c>
    </row>
    <row r="343" spans="1:14" ht="12.75" customHeight="1" thickTop="1" x14ac:dyDescent="0.2">
      <c r="A343" s="2240" t="s">
        <v>996</v>
      </c>
      <c r="B343" s="2241"/>
      <c r="C343" s="616"/>
      <c r="D343" s="616"/>
      <c r="E343" s="616"/>
      <c r="F343" s="616"/>
      <c r="G343" s="616"/>
      <c r="H343" s="616"/>
      <c r="I343" s="616"/>
      <c r="J343" s="616"/>
      <c r="K343" s="1684">
        <f>'Revenues 9-14'!J268-'Expenditures 15-22'!K342</f>
        <v>-224518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230" t="s">
        <v>966</v>
      </c>
      <c r="B345" s="223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17213</v>
      </c>
      <c r="F348" s="466">
        <v>3239</v>
      </c>
      <c r="G348" s="466"/>
      <c r="H348" s="466"/>
      <c r="I348" s="467"/>
      <c r="J348" s="467"/>
      <c r="K348" s="1671">
        <f>SUM(C348:J348)</f>
        <v>20452</v>
      </c>
      <c r="L348" s="466">
        <v>22816</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17213</v>
      </c>
      <c r="F350" s="1670">
        <f t="shared" si="26"/>
        <v>3239</v>
      </c>
      <c r="G350" s="1670">
        <f t="shared" si="26"/>
        <v>0</v>
      </c>
      <c r="H350" s="1670">
        <f t="shared" si="26"/>
        <v>0</v>
      </c>
      <c r="I350" s="1670">
        <f t="shared" si="26"/>
        <v>0</v>
      </c>
      <c r="J350" s="1670">
        <f t="shared" si="26"/>
        <v>0</v>
      </c>
      <c r="K350" s="1670">
        <f t="shared" si="26"/>
        <v>20452</v>
      </c>
      <c r="L350" s="1670">
        <f t="shared" si="26"/>
        <v>22816</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17213</v>
      </c>
      <c r="F352" s="1670">
        <f t="shared" si="27"/>
        <v>3239</v>
      </c>
      <c r="G352" s="1670">
        <f t="shared" si="27"/>
        <v>0</v>
      </c>
      <c r="H352" s="1670">
        <f t="shared" si="27"/>
        <v>0</v>
      </c>
      <c r="I352" s="1670">
        <f t="shared" si="27"/>
        <v>0</v>
      </c>
      <c r="J352" s="1670">
        <f t="shared" si="27"/>
        <v>0</v>
      </c>
      <c r="K352" s="1670">
        <f t="shared" si="27"/>
        <v>20452</v>
      </c>
      <c r="L352" s="1670">
        <f t="shared" si="27"/>
        <v>22816</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row>
    <row r="355" spans="1:14" ht="12.75" customHeight="1" x14ac:dyDescent="0.2">
      <c r="A355" s="1513" t="s">
        <v>1850</v>
      </c>
      <c r="B355" s="690" t="s">
        <v>1843</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17213</v>
      </c>
      <c r="F367" s="1670">
        <f t="shared" si="28"/>
        <v>3239</v>
      </c>
      <c r="G367" s="1670">
        <f t="shared" si="28"/>
        <v>0</v>
      </c>
      <c r="H367" s="1670">
        <f t="shared" si="28"/>
        <v>0</v>
      </c>
      <c r="I367" s="1670">
        <f t="shared" si="28"/>
        <v>0</v>
      </c>
      <c r="J367" s="1670">
        <f t="shared" si="28"/>
        <v>0</v>
      </c>
      <c r="K367" s="1670">
        <f t="shared" si="28"/>
        <v>20452</v>
      </c>
      <c r="L367" s="1670">
        <f t="shared" si="28"/>
        <v>22816</v>
      </c>
    </row>
    <row r="368" spans="1:14" ht="13.5" thickTop="1" x14ac:dyDescent="0.2">
      <c r="A368" s="2227" t="s">
        <v>996</v>
      </c>
      <c r="B368" s="2228"/>
      <c r="C368" s="654"/>
      <c r="D368" s="654"/>
      <c r="E368" s="626"/>
      <c r="F368" s="626"/>
      <c r="G368" s="626"/>
      <c r="H368" s="626"/>
      <c r="I368" s="626"/>
      <c r="J368" s="623"/>
      <c r="K368" s="1671">
        <f>'Revenues 9-14'!K268-'Expenditures 15-22'!K367</f>
        <v>-20335</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4d435f69-8686-490b-bd6d-b153bf22ab50"/>
    <ds:schemaRef ds:uri="http://schemas.microsoft.com/office/2006/documentManagement/types"/>
    <ds:schemaRef ds:uri="d21dc803-237d-4c68-8692-8d731fd29118"/>
    <ds:schemaRef ds:uri="http://www.w3.org/XML/1998/namespace"/>
    <ds:schemaRef ds:uri="http://purl.org/dc/terms/"/>
    <ds:schemaRef ds:uri="http://schemas.microsoft.com/sharepoint/v3"/>
    <ds:schemaRef ds:uri="http://purl.org/dc/elements/1.1/"/>
    <ds:schemaRef ds:uri="http://schemas.microsoft.com/office/2006/metadata/properties"/>
    <ds:schemaRef ds:uri="http://schemas.openxmlformats.org/package/2006/metadata/core-properties"/>
    <ds:schemaRef ds:uri="6ce3111e-7420-4802-b50a-75d4e9a0b980"/>
    <ds:schemaRef ds:uri="http://purl.org/dc/dcmitype/"/>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2019-12-11T18:54:12Z</cp:lastPrinted>
  <dcterms:created xsi:type="dcterms:W3CDTF">2003-10-29T19:06:34Z</dcterms:created>
  <dcterms:modified xsi:type="dcterms:W3CDTF">2020-01-08T18:21:12Z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