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Errors Michelle\"/>
    </mc:Choice>
  </mc:AlternateContent>
  <xr:revisionPtr revIDLastSave="0" documentId="13_ncr:1_{D644E26E-83AC-4B05-B854-E79B28AABBA9}" xr6:coauthVersionLast="36" xr6:coauthVersionMax="36" xr10:uidLastSave="{00000000-0000-0000-0000-000000000000}"/>
  <bookViews>
    <workbookView xWindow="-120" yWindow="-120" windowWidth="29040" windowHeight="15840" tabRatio="617" activeTab="1" xr2:uid="{00000000-000D-0000-FFFF-FFFF00000000}"/>
  </bookViews>
  <sheets>
    <sheet name="Report cover" sheetId="186" r:id="rId1"/>
    <sheet name="COVER" sheetId="24" r:id="rId2"/>
    <sheet name="Table of Contents-Excel" sheetId="185" r:id="rId3"/>
    <sheet name="Assets-Liab 5-6" sheetId="3" r:id="rId4"/>
    <sheet name="Acct Summary 7-8" sheetId="4" r:id="rId5"/>
    <sheet name="Revenues 9-14" sheetId="5" r:id="rId6"/>
    <sheet name="Expenditures 15-22" sheetId="29" r:id="rId7"/>
    <sheet name="Tax Sched 23" sheetId="7" r:id="rId8"/>
    <sheet name="Short-Term Long-Term Debt 24" sheetId="8" r:id="rId9"/>
    <sheet name="Rest Tax Levies-Tort Im 25" sheetId="12" r:id="rId10"/>
    <sheet name="ICR Computation 30" sheetId="108" r:id="rId11"/>
    <sheet name="Cap Outlay Deprec 26" sheetId="11" r:id="rId12"/>
    <sheet name="PCTC-OEPP 27-28" sheetId="34" r:id="rId13"/>
    <sheet name="Itemization 33" sheetId="127" r:id="rId14"/>
    <sheet name="REF 34" sheetId="117" r:id="rId15"/>
    <sheet name="Aud Quest 2" sheetId="28" r:id="rId16"/>
    <sheet name="FP Info 3" sheetId="37" r:id="rId17"/>
    <sheet name="Fin Profile 4" sheetId="118" r:id="rId18"/>
    <sheet name="Activity Funds-Excel" sheetId="184" r:id="rId19"/>
    <sheet name="AC32" sheetId="145" r:id="rId20"/>
    <sheet name="Contracts Paid in CY 29" sheetId="181" r:id="rId21"/>
    <sheet name="Shared Outsourced Services 31" sheetId="182" r:id="rId22"/>
    <sheet name="Opinion-Notes 35" sheetId="129" r:id="rId23"/>
    <sheet name="AUDITCHECK" sheetId="36" r:id="rId24"/>
    <sheet name="AFR19" sheetId="106" state="hidden" r:id="rId25"/>
    <sheet name="TOC" sheetId="168" r:id="rId26"/>
    <sheet name="DeficitAFRSum Calc 36" sheetId="146" r:id="rId27"/>
    <sheet name="Single Audit Cover" sheetId="169" r:id="rId28"/>
    <sheet name="Single Audit Checklist" sheetId="170" r:id="rId29"/>
    <sheet name="SEFA Reconcile" sheetId="171" r:id="rId30"/>
    <sheet name=" SEFA" sheetId="179"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30">' SEFA'!$B$1:$M$46</definedName>
    <definedName name="_xlnm.Print_Area" localSheetId="20">'Contracts Paid in CY 29'!$A$1:$G$42</definedName>
    <definedName name="_xlnm.Print_Area" localSheetId="31">'SEFA NOTES'!$A$1:$F$52</definedName>
    <definedName name="_xlnm.Print_Area" localSheetId="29">'SEFA Reconcile'!$A$1:$E$49</definedName>
    <definedName name="_xlnm.Print_Area" localSheetId="32">'SF&amp;QC Sec-1'!$A$1:$J$63</definedName>
    <definedName name="_xlnm.Print_Area" localSheetId="34">'SF&amp;QC Sec-3'!$A$1:$K$48</definedName>
    <definedName name="_xlnm.Print_Area" localSheetId="21">'Shared Outsourced Services 31'!$A$1:$F$43</definedName>
    <definedName name="_xlnm.Print_Area" localSheetId="28">'Single Audit Checklist'!$A$1:$D$124</definedName>
    <definedName name="_xlnm.Print_Area" localSheetId="27">'Single Audit Cover'!$A$1:$L$51</definedName>
    <definedName name="_xlnm.Print_Area" localSheetId="2">'Table of Contents-Excel'!$A$1:$D$89</definedName>
    <definedName name="_xlnm.Print_Titles" localSheetId="4">'Acct Summary 7-8'!$A:$B,'Acct Summary 7-8'!$1:$2</definedName>
    <definedName name="_xlnm.Print_Titles" localSheetId="3">'Assets-Liab 5-6'!$A:$B,'Assets-Liab 5-6'!$1:$2</definedName>
    <definedName name="_xlnm.Print_Titles" localSheetId="23">AUDITCHECK!$20:$20</definedName>
    <definedName name="_xlnm.Print_Titles" localSheetId="20">'Contracts Paid in CY 29'!$15:$15</definedName>
    <definedName name="_xlnm.Print_Titles" localSheetId="6">'Expenditures 15-22'!$A:$B,'Expenditures 15-22'!$1:$2</definedName>
    <definedName name="_xlnm.Print_Titles" localSheetId="12">'PCTC-OEPP 27-28'!$1:$5</definedName>
    <definedName name="_xlnm.Print_Titles" localSheetId="5">'Revenues 9-14'!$A:$B,'Revenues 9-14'!$1:$2</definedName>
    <definedName name="_xlnm.Print_Titles" localSheetId="21">'Shared Outsourced Services 31'!$5:$5</definedName>
    <definedName name="_xlnm.Print_Titles" localSheetId="28">'Single Audit Checklist'!$1:$4</definedName>
    <definedName name="SCHADDRS" localSheetId="30">#REF!</definedName>
    <definedName name="SCHADDRS" localSheetId="19">#REF!</definedName>
    <definedName name="SCHADDRS" localSheetId="18">#REF!</definedName>
    <definedName name="SCHADDRS" localSheetId="26">#REF!</definedName>
    <definedName name="SCHADDRS" localSheetId="17">#REF!</definedName>
    <definedName name="SCHADDRS" localSheetId="31">#REF!</definedName>
    <definedName name="SCHADDRS" localSheetId="29">#REF!</definedName>
    <definedName name="SCHADDRS" localSheetId="32">#REF!</definedName>
    <definedName name="SCHADDRS" localSheetId="33">#REF!</definedName>
    <definedName name="SCHADDRS" localSheetId="34">#REF!</definedName>
    <definedName name="SCHADDRS" localSheetId="28">#REF!</definedName>
    <definedName name="SCHADDRS" localSheetId="27">#REF!</definedName>
    <definedName name="SCHADDRS" localSheetId="35">#REF!</definedName>
    <definedName name="SCHADDRS" localSheetId="2">#REF!</definedName>
    <definedName name="SCHADDRS">#REF!</definedName>
    <definedName name="SCHCTY" localSheetId="30">#REF!</definedName>
    <definedName name="SCHCTY" localSheetId="19">#REF!</definedName>
    <definedName name="SCHCTY" localSheetId="18">#REF!</definedName>
    <definedName name="SCHCTY" localSheetId="26">#REF!</definedName>
    <definedName name="SCHCTY" localSheetId="17">#REF!</definedName>
    <definedName name="SCHCTY" localSheetId="31">#REF!</definedName>
    <definedName name="SCHCTY" localSheetId="29">#REF!</definedName>
    <definedName name="SCHCTY" localSheetId="32">#REF!</definedName>
    <definedName name="SCHCTY" localSheetId="33">#REF!</definedName>
    <definedName name="SCHCTY" localSheetId="34">#REF!</definedName>
    <definedName name="SCHCTY" localSheetId="28">#REF!</definedName>
    <definedName name="SCHCTY" localSheetId="27">#REF!</definedName>
    <definedName name="SCHCTY" localSheetId="35">#REF!</definedName>
    <definedName name="SCHCTY" localSheetId="2">#REF!</definedName>
    <definedName name="SCHCTY">#REF!</definedName>
    <definedName name="SCHNMBR" localSheetId="30">#REF!</definedName>
    <definedName name="SCHNMBR" localSheetId="19">#REF!</definedName>
    <definedName name="SCHNMBR" localSheetId="18">#REF!</definedName>
    <definedName name="SCHNMBR" localSheetId="26">#REF!</definedName>
    <definedName name="SCHNMBR" localSheetId="17">#REF!</definedName>
    <definedName name="SCHNMBR" localSheetId="31">#REF!</definedName>
    <definedName name="SCHNMBR" localSheetId="29">#REF!</definedName>
    <definedName name="SCHNMBR" localSheetId="32">#REF!</definedName>
    <definedName name="SCHNMBR" localSheetId="33">#REF!</definedName>
    <definedName name="SCHNMBR" localSheetId="34">#REF!</definedName>
    <definedName name="SCHNMBR" localSheetId="28">#REF!</definedName>
    <definedName name="SCHNMBR" localSheetId="27">#REF!</definedName>
    <definedName name="SCHNMBR" localSheetId="35">#REF!</definedName>
    <definedName name="SCHNMBR" localSheetId="2">#REF!</definedName>
    <definedName name="SCHNMBR">#REF!</definedName>
    <definedName name="SCHNMBR2" localSheetId="2">#REF!</definedName>
    <definedName name="SCHNMBR2">#REF!</definedName>
    <definedName name="SCHNME" localSheetId="30">#REF!</definedName>
    <definedName name="SCHNME" localSheetId="19">#REF!</definedName>
    <definedName name="SCHNME" localSheetId="18">#REF!</definedName>
    <definedName name="SCHNME" localSheetId="26">#REF!</definedName>
    <definedName name="SCHNME" localSheetId="17">#REF!</definedName>
    <definedName name="SCHNME" localSheetId="31">#REF!</definedName>
    <definedName name="SCHNME" localSheetId="29">#REF!</definedName>
    <definedName name="SCHNME" localSheetId="32">#REF!</definedName>
    <definedName name="SCHNME" localSheetId="33">#REF!</definedName>
    <definedName name="SCHNME" localSheetId="34">#REF!</definedName>
    <definedName name="SCHNME" localSheetId="28">#REF!</definedName>
    <definedName name="SCHNME" localSheetId="27">#REF!</definedName>
    <definedName name="SCHNME" localSheetId="35">#REF!</definedName>
    <definedName name="SCHNME" localSheetId="2">#REF!</definedName>
    <definedName name="SCHNME">#REF!</definedName>
    <definedName name="SUPT" localSheetId="30">#REF!</definedName>
    <definedName name="SUPT" localSheetId="19">#REF!</definedName>
    <definedName name="SUPT" localSheetId="18">#REF!</definedName>
    <definedName name="SUPT" localSheetId="26">#REF!</definedName>
    <definedName name="SUPT" localSheetId="17">#REF!</definedName>
    <definedName name="SUPT" localSheetId="31">#REF!</definedName>
    <definedName name="SUPT" localSheetId="29">#REF!</definedName>
    <definedName name="SUPT" localSheetId="32">#REF!</definedName>
    <definedName name="SUPT" localSheetId="33">#REF!</definedName>
    <definedName name="SUPT" localSheetId="34">#REF!</definedName>
    <definedName name="SUPT" localSheetId="28">#REF!</definedName>
    <definedName name="SUPT" localSheetId="27">#REF!</definedName>
    <definedName name="SUPT" localSheetId="35">#REF!</definedName>
    <definedName name="SUPT" localSheetId="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6" i="184" l="1"/>
  <c r="H107" i="184" l="1"/>
  <c r="F107" i="184"/>
  <c r="D107" i="184"/>
  <c r="J105" i="184"/>
  <c r="J104" i="184"/>
  <c r="J103" i="184"/>
  <c r="J102" i="184"/>
  <c r="J101" i="184"/>
  <c r="J100" i="184"/>
  <c r="J99" i="184"/>
  <c r="J98" i="184"/>
  <c r="J97" i="184"/>
  <c r="J96" i="184"/>
  <c r="J95" i="184"/>
  <c r="J94" i="184"/>
  <c r="J93" i="184"/>
  <c r="J92" i="184"/>
  <c r="J91" i="184"/>
  <c r="J90" i="184"/>
  <c r="J89" i="184"/>
  <c r="J88" i="184"/>
  <c r="J87" i="184"/>
  <c r="J86" i="184"/>
  <c r="J85" i="184"/>
  <c r="J84" i="184"/>
  <c r="J83" i="184"/>
  <c r="J82" i="184"/>
  <c r="J81" i="184"/>
  <c r="J80" i="184"/>
  <c r="J79" i="184"/>
  <c r="J78" i="184"/>
  <c r="J77" i="184"/>
  <c r="J76" i="184"/>
  <c r="J75" i="184"/>
  <c r="J74" i="184"/>
  <c r="J73" i="184"/>
  <c r="J72" i="184"/>
  <c r="J71" i="184"/>
  <c r="J70" i="184"/>
  <c r="J69" i="184"/>
  <c r="J68" i="184"/>
  <c r="J59" i="184"/>
  <c r="J58" i="184"/>
  <c r="J57" i="184"/>
  <c r="J56" i="184"/>
  <c r="J55" i="184"/>
  <c r="J54" i="184"/>
  <c r="J53" i="184"/>
  <c r="J52" i="184"/>
  <c r="J51" i="184"/>
  <c r="J50" i="184"/>
  <c r="J49" i="184"/>
  <c r="J48" i="184"/>
  <c r="J47" i="184"/>
  <c r="J45" i="184"/>
  <c r="J44" i="184"/>
  <c r="J43" i="184"/>
  <c r="J42" i="184"/>
  <c r="J41" i="184"/>
  <c r="J40" i="184"/>
  <c r="J39" i="184"/>
  <c r="J38" i="184"/>
  <c r="J37" i="184"/>
  <c r="J36" i="184"/>
  <c r="J35" i="184"/>
  <c r="J34" i="184"/>
  <c r="J33" i="184"/>
  <c r="J32" i="184"/>
  <c r="J31" i="184"/>
  <c r="J30" i="184"/>
  <c r="J29" i="184"/>
  <c r="J28" i="184"/>
  <c r="J27" i="184"/>
  <c r="J26" i="184"/>
  <c r="J25" i="184"/>
  <c r="J24" i="184"/>
  <c r="J23" i="184"/>
  <c r="J22" i="184"/>
  <c r="J21" i="184"/>
  <c r="J20" i="184"/>
  <c r="J19" i="184"/>
  <c r="J18" i="184"/>
  <c r="J17" i="184"/>
  <c r="J16" i="184"/>
  <c r="J11" i="184"/>
  <c r="J107" i="184"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6" i="106"/>
  <c r="D7802"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G39" i="181"/>
  <c r="E39" i="181"/>
  <c r="F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J22" i="37"/>
  <c r="L22" i="37"/>
  <c r="D24" i="37"/>
  <c r="B4270" i="106" s="1"/>
  <c r="D4270" i="106" s="1"/>
  <c r="L5" i="11"/>
  <c r="B2056" i="106" s="1"/>
  <c r="D2056" i="106" s="1"/>
  <c r="D9" i="7"/>
  <c r="B1767" i="106" s="1"/>
  <c r="D1767" i="106" s="1"/>
  <c r="L13" i="11" l="1"/>
  <c r="B2060" i="106" s="1"/>
  <c r="D2060" i="106" s="1"/>
  <c r="F34" i="34"/>
  <c r="K184" i="29"/>
  <c r="F13" i="4" s="1"/>
  <c r="B2596" i="106" s="1"/>
  <c r="D2596" i="106" s="1"/>
  <c r="J367" i="29"/>
  <c r="B7245" i="106" s="1"/>
  <c r="D7245" i="106" s="1"/>
  <c r="B7235" i="106"/>
  <c r="D7235" i="106" s="1"/>
  <c r="H76" i="4"/>
  <c r="B3298" i="106" s="1"/>
  <c r="D3298" i="106" s="1"/>
  <c r="D11" i="37"/>
  <c r="D31" i="36"/>
  <c r="B7231" i="106"/>
  <c r="D7231" i="106" s="1"/>
  <c r="H365" i="29"/>
  <c r="B7242" i="106" s="1"/>
  <c r="D7242" i="106" s="1"/>
  <c r="G210" i="29"/>
  <c r="K41" i="3"/>
  <c r="D17" i="7"/>
  <c r="B4104" i="106" s="1"/>
  <c r="D4104" i="106" s="1"/>
  <c r="K76" i="4"/>
  <c r="B3586" i="106" s="1"/>
  <c r="D3586" i="106" s="1"/>
  <c r="B1308" i="106"/>
  <c r="D1308" i="106" s="1"/>
  <c r="E174" i="29"/>
  <c r="B1309" i="106" s="1"/>
  <c r="D1309" i="106" s="1"/>
  <c r="B1124" i="106"/>
  <c r="D1124" i="106" s="1"/>
  <c r="L15" i="11"/>
  <c r="B3459" i="106" s="1"/>
  <c r="D3459" i="106" s="1"/>
  <c r="C129" i="29"/>
  <c r="C342" i="29"/>
  <c r="B7216" i="106" s="1"/>
  <c r="D7216" i="106" s="1"/>
  <c r="L367" i="29"/>
  <c r="F19" i="7"/>
  <c r="B1807" i="106" s="1"/>
  <c r="D1807" i="106" s="1"/>
  <c r="I129" i="29"/>
  <c r="B7037" i="106" s="1"/>
  <c r="D7037" i="106" s="1"/>
  <c r="C352" i="29"/>
  <c r="F42" i="34"/>
  <c r="L342" i="29"/>
  <c r="F36" i="34"/>
  <c r="D69" i="36"/>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B2031" i="106"/>
  <c r="D2031" i="106" s="1"/>
  <c r="C114" i="29"/>
  <c r="B757" i="106" s="1"/>
  <c r="D757" i="106" s="1"/>
  <c r="B5527" i="106"/>
  <c r="D5527" i="106" s="1"/>
  <c r="D7256" i="106"/>
  <c r="D44" i="36"/>
  <c r="B3568" i="106"/>
  <c r="D3568" i="106" s="1"/>
  <c r="D52" i="36"/>
  <c r="G6" i="4"/>
  <c r="B2604" i="106" s="1"/>
  <c r="D2604" i="106" s="1"/>
  <c r="B1365" i="106"/>
  <c r="D1365" i="106" s="1"/>
  <c r="F65" i="34"/>
  <c r="L114" i="29"/>
  <c r="D7250" i="106"/>
  <c r="D7252" i="106"/>
  <c r="D7251" i="106"/>
  <c r="I26" i="12"/>
  <c r="B7741" i="106" s="1"/>
  <c r="D7741" i="106" s="1"/>
  <c r="B1996" i="106"/>
  <c r="D1996" i="106" s="1"/>
  <c r="K77" i="4"/>
  <c r="B3587" i="106" s="1"/>
  <c r="D3587" i="106" s="1"/>
  <c r="D7253" i="106"/>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5508" i="106"/>
  <c r="D5508" i="106" s="1"/>
  <c r="B2567" i="106"/>
  <c r="D2567" i="106" s="1"/>
  <c r="F8" i="4" l="1"/>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<sst xmlns="http://schemas.openxmlformats.org/spreadsheetml/2006/main" count="5256" uniqueCount="2266">
  <si>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</si>
  <si>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</si>
  <si>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</si>
  <si>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</si>
  <si>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</si>
  <si>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</si>
  <si>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</si>
  <si>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</si>
  <si>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</si>
  <si>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</si>
  <si>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</si>
  <si>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</si>
  <si>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</si>
  <si>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</si>
  <si>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</si>
  <si>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</si>
  <si>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</si>
  <si>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</si>
  <si>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</si>
  <si>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</si>
  <si>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</si>
  <si>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</si>
  <si>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</si>
  <si>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</si>
  <si>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</si>
  <si>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</si>
  <si>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</si>
  <si>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</si>
  <si>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</si>
  <si>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</si>
  <si>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</si>
  <si>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</si>
  <si>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</si>
  <si>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</si>
  <si>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</si>
  <si>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</si>
  <si>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</si>
  <si>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</si>
  <si>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</si>
  <si>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</si>
  <si>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</si>
  <si>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</si>
  <si>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</si>
  <si>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</si>
  <si>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</si>
  <si>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</si>
  <si>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</si>
  <si>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</si>
  <si>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</si>
  <si>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</si>
  <si>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</si>
  <si>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</si>
  <si>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</si>
  <si>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</si>
  <si>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</si>
  <si>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</si>
  <si>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</si>
  <si>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</si>
  <si>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</si>
  <si>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</si>
  <si>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</si>
  <si>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</si>
  <si>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</si>
  <si>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</si>
  <si>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</si>
  <si>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</si>
  <si>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</si>
  <si>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</si>
  <si>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</si>
  <si>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</si>
  <si>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</si>
  <si>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</si>
  <si>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</si>
  <si>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</si>
  <si>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</si>
  <si>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</si>
  <si>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</si>
  <si>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</si>
  <si>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</si>
  <si>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</si>
  <si>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</si>
  <si>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</si>
  <si>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</si>
  <si>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</si>
  <si>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</si>
  <si>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</si>
  <si>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</si>
  <si>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</si>
  <si>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</si>
  <si>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</si>
  <si>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</si>
  <si>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</si>
  <si>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</si>
  <si>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</si>
  <si>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</si>
  <si>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</si>
  <si>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</si>
  <si>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</si>
  <si>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</si>
  <si>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</si>
  <si>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</si>
  <si>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</si>
  <si>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</si>
  <si>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</si>
  <si>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</si>
  <si>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</si>
  <si>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</si>
  <si>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</si>
  <si>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</si>
  <si>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</si>
  <si>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</si>
  <si>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</si>
  <si>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</si>
  <si>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</si>
  <si>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</si>
  <si>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</si>
  <si>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</si>
  <si>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</si>
  <si>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</si>
  <si>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</si>
  <si>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</si>
  <si>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</si>
  <si>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</si>
  <si>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</si>
  <si>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</si>
  <si>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</si>
  <si>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</si>
  <si>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</si>
  <si>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</si>
  <si>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</si>
  <si>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</si>
  <si>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</si>
  <si>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</si>
  <si>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</si>
  <si>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</si>
  <si>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</si>
  <si>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</si>
  <si>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</si>
  <si>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</si>
  <si>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</si>
  <si>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</si>
  <si>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</si>
  <si>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</si>
  <si>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</si>
  <si>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</si>
  <si>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</si>
  <si>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</si>
  <si>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</si>
  <si>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</si>
  <si>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</si>
  <si>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</si>
  <si>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</si>
  <si>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</si>
  <si>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</si>
  <si>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</si>
  <si>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</si>
  <si>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</si>
  <si>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</si>
  <si>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</si>
  <si>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</si>
  <si>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</si>
  <si>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</si>
  <si>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</si>
  <si>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</si>
  <si>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</si>
  <si>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</si>
  <si>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</si>
  <si>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</si>
  <si>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</si>
  <si>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</si>
  <si>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</si>
  <si>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</si>
  <si>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</si>
  <si>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</si>
  <si>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</si>
  <si>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</si>
  <si>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</si>
  <si>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</si>
  <si>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</si>
  <si>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</si>
  <si>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</si>
  <si>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</si>
  <si>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</si>
  <si>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</si>
  <si>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</si>
  <si>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</si>
  <si>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</si>
  <si>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</si>
  <si>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</si>
  <si>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</si>
  <si>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</si>
  <si>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</si>
  <si>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</si>
  <si>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</si>
  <si>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</si>
  <si>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</si>
  <si>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</si>
  <si>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</si>
  <si>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</si>
  <si>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</si>
  <si>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</si>
  <si>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</si>
  <si>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</si>
  <si>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</si>
  <si>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</si>
  <si>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</si>
  <si>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</si>
  <si>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</si>
  <si>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</si>
  <si>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</si>
  <si>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</si>
  <si>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</si>
  <si>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</si>
  <si>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</si>
  <si>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</si>
  <si>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</si>
  <si>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</si>
  <si>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</si>
  <si>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</si>
  <si>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</si>
  <si>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</si>
  <si>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</si>
  <si>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</si>
  <si>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</si>
  <si>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</si>
  <si>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</si>
  <si>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</si>
  <si>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</si>
  <si>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</si>
  <si>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</si>
  <si>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</si>
  <si>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</si>
  <si>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</si>
  <si>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</si>
  <si>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</si>
  <si>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</si>
  <si>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</si>
  <si>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</si>
  <si>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</si>
  <si>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</si>
  <si>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</si>
  <si>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</si>
  <si>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</si>
  <si>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</si>
  <si>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</si>
  <si>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</si>
  <si>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</si>
  <si>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</si>
  <si>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</si>
  <si>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</si>
  <si>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</si>
  <si>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</si>
  <si>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</si>
  <si>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</si>
  <si>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</si>
  <si>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</si>
  <si>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</si>
  <si>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</si>
  <si>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</si>
  <si>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</si>
  <si>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</si>
  <si>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</si>
  <si>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</si>
  <si>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</si>
  <si>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</si>
  <si>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</si>
  <si>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</si>
  <si>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</si>
  <si>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</si>
  <si>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</si>
  <si>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</si>
  <si>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</si>
  <si>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</si>
  <si>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</si>
  <si>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</si>
  <si>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</si>
  <si>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</si>
  <si>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</si>
  <si>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</si>
  <si>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</si>
  <si>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</si>
  <si>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</si>
  <si>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</si>
  <si>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</si>
  <si>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</si>
  <si>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</si>
  <si>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</si>
  <si>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</si>
  <si>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</si>
  <si>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</si>
  <si>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</si>
  <si>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</si>
  <si>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</si>
  <si>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</si>
  <si>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</si>
  <si>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</si>
  <si>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</si>
  <si>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</si>
  <si>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</si>
  <si>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</si>
  <si>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</si>
  <si>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</si>
  <si>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</si>
  <si>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</si>
  <si>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</si>
  <si>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</si>
  <si>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</si>
  <si>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</si>
  <si>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</si>
  <si>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</si>
  <si>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</si>
  <si>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</si>
  <si>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</si>
  <si>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</si>
  <si>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</si>
  <si>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</si>
  <si>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</si>
  <si>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</si>
  <si>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</si>
  <si>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</si>
  <si>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</si>
  <si>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</si>
  <si>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</si>
  <si>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</si>
  <si>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</si>
  <si>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</si>
  <si>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</si>
  <si>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</si>
  <si>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</si>
  <si>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</si>
  <si>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</si>
  <si>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</si>
  <si>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</si>
  <si>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</si>
  <si>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</si>
  <si>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</si>
  <si>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</si>
  <si>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</si>
  <si>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</si>
  <si>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</si>
  <si>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</si>
  <si>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</si>
  <si>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</si>
  <si>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</si>
  <si>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</si>
  <si>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</si>
  <si>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</si>
  <si>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</si>
  <si>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</si>
  <si>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</si>
  <si>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</si>
  <si>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</si>
  <si>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</si>
  <si>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</si>
  <si>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</si>
  <si>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</si>
  <si>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</si>
  <si>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</si>
  <si>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</si>
  <si>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</si>
  <si>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</si>
  <si>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</si>
  <si>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</si>
  <si>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</si>
  <si>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</si>
  <si>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</si>
  <si>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</si>
  <si>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</si>
  <si>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</si>
  <si>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</si>
  <si>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</si>
  <si>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</si>
  <si>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</si>
  <si>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</si>
  <si>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</si>
  <si>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</si>
  <si>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</si>
  <si>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</si>
  <si>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</si>
  <si>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</si>
  <si>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</si>
  <si>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</si>
  <si>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</si>
  <si>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</si>
  <si>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</si>
  <si>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</si>
  <si>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</si>
  <si>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</si>
  <si>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</si>
  <si>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</si>
  <si>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</si>
  <si>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</si>
  <si>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</si>
  <si>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</si>
  <si>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</si>
  <si>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</si>
  <si>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</si>
  <si>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</si>
  <si>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</si>
  <si>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</si>
  <si>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</si>
  <si>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</si>
  <si>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</si>
  <si>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</si>
  <si>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</si>
  <si>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</si>
  <si>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</si>
  <si>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</si>
  <si>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</si>
  <si>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</si>
  <si>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</si>
  <si>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</si>
  <si>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</si>
  <si>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</si>
  <si>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</si>
  <si>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</si>
  <si>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</si>
  <si>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</si>
  <si>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</si>
  <si>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</si>
  <si>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</si>
  <si>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</si>
  <si>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</si>
  <si>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</si>
  <si>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</si>
  <si>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</si>
  <si>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</si>
  <si>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</si>
  <si>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</si>
  <si>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</si>
  <si>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</si>
  <si>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</si>
  <si>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</si>
  <si>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</si>
  <si>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</si>
  <si>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</si>
  <si>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</si>
  <si>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</si>
  <si>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</si>
  <si>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</si>
  <si>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</si>
  <si>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</si>
  <si>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</si>
  <si>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</si>
  <si>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</si>
  <si>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</si>
  <si>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</si>
  <si>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</si>
  <si>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</si>
  <si>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</si>
  <si>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</si>
  <si>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</si>
  <si>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</si>
  <si>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</si>
  <si>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</si>
  <si>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</si>
  <si>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</si>
  <si>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</si>
  <si>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</si>
  <si>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</si>
  <si>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</si>
  <si>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</si>
  <si>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</si>
  <si>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</si>
  <si>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</si>
  <si>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</si>
  <si>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</si>
  <si>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</si>
  <si>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</si>
  <si>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</si>
  <si>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</si>
  <si>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</si>
  <si>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</si>
  <si>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</si>
  <si>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</si>
  <si>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</si>
  <si>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</si>
  <si>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</si>
  <si>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</si>
  <si>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</si>
  <si>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</si>
  <si>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</si>
  <si>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</si>
  <si>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</si>
  <si>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</si>
  <si>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</si>
  <si>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</si>
  <si>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</si>
  <si>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</si>
  <si>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</si>
  <si>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</si>
  <si>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</si>
  <si>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</si>
  <si>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</si>
  <si>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</si>
  <si>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</si>
  <si>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</si>
  <si>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</si>
  <si>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</si>
  <si>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</si>
  <si>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</si>
  <si>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</si>
  <si>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</si>
  <si>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</si>
  <si>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</si>
  <si>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</si>
  <si>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</si>
  <si>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</si>
  <si>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</si>
  <si>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</si>
  <si>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</si>
  <si>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</si>
  <si>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</si>
  <si>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</si>
  <si>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</si>
  <si>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</si>
  <si>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</si>
  <si>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</si>
  <si>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</si>
  <si>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</si>
  <si>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</si>
  <si>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</si>
  <si>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</si>
  <si>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</si>
  <si>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</si>
  <si>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</si>
  <si>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</si>
  <si>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</si>
  <si>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</si>
  <si>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</si>
  <si>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</si>
  <si>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</si>
  <si>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</si>
  <si>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</si>
  <si>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</si>
  <si>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</si>
  <si>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</si>
  <si>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</si>
  <si>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</si>
  <si>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</si>
  <si>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</si>
  <si>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</si>
  <si>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</si>
  <si>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</si>
  <si>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</si>
  <si>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</si>
  <si>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</si>
  <si>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</si>
  <si>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</si>
  <si>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</si>
  <si>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</si>
  <si>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</si>
  <si>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</si>
  <si>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</si>
  <si>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</si>
  <si>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</si>
  <si>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</si>
  <si>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</si>
  <si>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</si>
  <si>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</si>
  <si>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</si>
  <si>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</si>
  <si>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</si>
  <si>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</si>
  <si>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</si>
  <si>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</si>
  <si>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</si>
  <si>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</si>
  <si>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</si>
  <si>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</si>
  <si>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</si>
  <si>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</si>
  <si>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</si>
  <si>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</si>
  <si>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</si>
  <si>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</si>
  <si>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</si>
  <si>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</si>
  <si>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</si>
  <si>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</si>
  <si>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</si>
  <si>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</si>
  <si>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</si>
  <si>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</si>
  <si>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</si>
  <si>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</si>
  <si>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</si>
  <si>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</si>
  <si>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</si>
  <si>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</si>
  <si>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</si>
  <si>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</si>
  <si>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</si>
  <si>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</si>
  <si>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</si>
  <si>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</si>
  <si>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</si>
  <si>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</si>
  <si>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</si>
  <si>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</si>
  <si>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</si>
  <si>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</si>
  <si>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</si>
  <si>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</si>
  <si>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</si>
  <si>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</si>
  <si>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</si>
  <si>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</si>
  <si>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</si>
  <si>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</si>
  <si>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</si>
  <si>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</si>
  <si>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</si>
  <si>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</si>
  <si>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</si>
  <si>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</si>
  <si>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</si>
  <si>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</si>
  <si>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</si>
  <si>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</si>
  <si>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</si>
  <si>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</si>
  <si>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</si>
  <si>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</si>
  <si>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</si>
  <si>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</si>
  <si>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</si>
  <si>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</si>
  <si>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</si>
  <si>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</si>
  <si>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</si>
  <si>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</si>
  <si>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</si>
  <si>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</si>
  <si>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</si>
  <si>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</si>
  <si>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</si>
  <si>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</si>
  <si>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</si>
  <si>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</si>
  <si>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</si>
  <si>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</si>
  <si>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</si>
  <si>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</si>
  <si>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</si>
  <si>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</si>
  <si>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</si>
  <si>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</si>
  <si>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</si>
  <si>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</si>
  <si>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</si>
  <si>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</si>
  <si>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</si>
  <si>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</si>
  <si>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</si>
  <si>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</si>
  <si>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</si>
  <si>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</si>
  <si>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</si>
  <si>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</si>
  <si>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</si>
  <si>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</si>
  <si>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</si>
  <si>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</si>
  <si>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</si>
  <si>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</si>
  <si>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</si>
  <si>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</si>
  <si>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</si>
  <si>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</si>
  <si>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</si>
  <si>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</si>
  <si>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</si>
  <si>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</si>
  <si>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</si>
  <si>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</si>
  <si>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</si>
  <si>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</si>
  <si>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</si>
  <si>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</si>
  <si>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</si>
  <si>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</si>
  <si>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</si>
  <si>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</si>
  <si>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</si>
  <si>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</si>
  <si>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</si>
  <si>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</si>
  <si>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</si>
  <si>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</si>
  <si>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</si>
  <si>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</si>
  <si>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</si>
  <si>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</si>
  <si>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</si>
  <si>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</si>
  <si>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</si>
  <si>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</si>
  <si>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</si>
  <si>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</si>
  <si>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</si>
  <si>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</si>
  <si>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</si>
  <si>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</si>
  <si>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</si>
  <si>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</si>
  <si>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</si>
  <si>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</si>
  <si>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</si>
  <si>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</si>
  <si>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</si>
  <si>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</si>
  <si>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</si>
  <si>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</si>
  <si>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</si>
  <si>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</si>
  <si>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</si>
  <si>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</si>
  <si>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</si>
  <si>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</si>
  <si>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</si>
  <si>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</si>
  <si>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</si>
  <si>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</si>
  <si>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</si>
  <si>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</si>
  <si>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</si>
  <si>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</si>
  <si>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</si>
  <si>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</si>
  <si>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</si>
  <si>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</si>
  <si>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</si>
  <si>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</si>
  <si>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</si>
  <si>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</si>
  <si>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</si>
  <si>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</si>
  <si>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</si>
  <si>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</si>
  <si>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</si>
  <si>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</si>
  <si>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</si>
  <si>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</si>
  <si>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</si>
  <si>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</si>
  <si>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</si>
  <si>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</si>
  <si>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</si>
  <si>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</si>
  <si>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</si>
  <si>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</si>
  <si>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</si>
  <si>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</si>
  <si>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</si>
  <si>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</si>
  <si>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</si>
  <si>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</si>
  <si>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</si>
  <si>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</si>
  <si>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</si>
  <si>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</si>
  <si>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</si>
  <si>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</si>
  <si>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</si>
  <si>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</si>
  <si>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</si>
  <si>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</si>
  <si>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</si>
  <si>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</si>
  <si>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</si>
  <si>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</si>
  <si>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</si>
  <si>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</si>
  <si>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</si>
  <si>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</si>
  <si>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</si>
  <si>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</si>
  <si>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</si>
  <si>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</si>
  <si>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</si>
  <si>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</si>
  <si>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</si>
  <si>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</si>
  <si>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</si>
  <si>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</si>
  <si>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</si>
  <si>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</si>
  <si>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</si>
  <si>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</si>
  <si>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</si>
  <si>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</si>
  <si>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</si>
  <si>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</si>
  <si>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</si>
  <si>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</si>
  <si>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</si>
  <si>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</si>
  <si>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</si>
  <si>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</si>
  <si>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</si>
  <si>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</si>
  <si>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</si>
  <si>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</si>
  <si>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</si>
  <si>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</si>
  <si>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</si>
  <si>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</si>
  <si>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</si>
  <si>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</si>
  <si>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</si>
  <si>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</si>
  <si>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</si>
  <si>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</si>
  <si>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</si>
  <si>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</si>
  <si>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</si>
  <si>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</si>
  <si>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</si>
  <si>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</si>
  <si>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</si>
  <si>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</si>
  <si>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</si>
  <si>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</si>
  <si>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</si>
  <si>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</si>
  <si>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</si>
  <si>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</si>
  <si>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</si>
  <si>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</si>
  <si>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</si>
  <si>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</si>
  <si>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</si>
  <si>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</si>
  <si>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</si>
  <si>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</si>
  <si>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</si>
  <si>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</si>
  <si>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</si>
  <si>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</si>
  <si>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</si>
  <si>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</si>
  <si>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</si>
  <si>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</si>
  <si>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</si>
  <si>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</si>
  <si>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</si>
  <si>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</si>
  <si>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</si>
  <si>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</si>
  <si>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</si>
  <si>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</si>
  <si>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</si>
  <si>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</si>
  <si>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</si>
  <si>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</si>
  <si>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</si>
  <si>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</si>
  <si>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</si>
  <si>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</si>
  <si>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</si>
  <si>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</si>
  <si>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</si>
  <si>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</si>
  <si>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</si>
  <si>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</si>
  <si>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</si>
  <si>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</si>
  <si>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</si>
  <si>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</si>
  <si>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</si>
  <si>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</si>
  <si>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</si>
  <si>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</si>
  <si>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</si>
  <si>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</si>
  <si>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</si>
  <si>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</si>
  <si>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</si>
  <si>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</si>
  <si>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</si>
  <si>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</si>
  <si>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</si>
  <si>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</si>
  <si>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</si>
  <si>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</si>
  <si>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</si>
  <si>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</si>
  <si>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</si>
  <si>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</si>
  <si>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</si>
  <si>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</si>
  <si>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</si>
  <si>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</si>
  <si>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</si>
  <si>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</si>
  <si>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</si>
  <si>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</si>
  <si>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</si>
  <si>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</si>
  <si>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</si>
  <si>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</si>
  <si>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</si>
  <si>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</si>
  <si>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</si>
  <si>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</si>
  <si>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</si>
  <si>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</si>
  <si>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</si>
  <si>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</si>
  <si>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</si>
  <si>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</si>
  <si>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</si>
  <si>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</si>
  <si>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</si>
  <si>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</si>
  <si>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</si>
  <si>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</si>
  <si>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</si>
  <si>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</si>
  <si>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</si>
  <si>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</si>
  <si>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</si>
  <si>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</si>
  <si>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</si>
  <si>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</si>
  <si>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</si>
  <si>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</si>
  <si>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</si>
  <si>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</si>
  <si>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</si>
  <si>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</si>
  <si>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</si>
  <si>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</si>
  <si>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</si>
  <si>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</si>
  <si>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</si>
  <si>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</si>
  <si>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</si>
  <si>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</si>
  <si>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</si>
  <si>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</si>
  <si>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</si>
  <si>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</si>
  <si>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</si>
  <si>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</si>
  <si>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</si>
  <si>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</si>
  <si>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</si>
  <si>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</si>
  <si>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</si>
  <si>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</si>
  <si>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</si>
  <si>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</si>
  <si>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</si>
  <si>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</si>
  <si>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</si>
  <si>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</si>
  <si>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</si>
  <si>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</si>
  <si>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</si>
  <si>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</si>
  <si>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</si>
  <si>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</si>
  <si>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</si>
  <si>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</si>
  <si>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</si>
  <si>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</si>
  <si>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</si>
  <si>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</si>
  <si>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</si>
  <si>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</si>
  <si>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</si>
  <si>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</si>
  <si>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</si>
  <si>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</si>
  <si>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</si>
  <si>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</si>
  <si>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</si>
  <si>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</si>
  <si>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</si>
  <si>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</si>
  <si>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</si>
  <si>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</si>
  <si>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</si>
  <si>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</si>
  <si>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</si>
  <si>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</si>
  <si>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</si>
  <si>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</si>
  <si>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</si>
  <si>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</si>
  <si>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</si>
  <si>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</si>
  <si>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</si>
  <si>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</si>
  <si>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</si>
  <si>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</si>
  <si>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</si>
  <si>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</si>
  <si>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</si>
  <si>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</si>
  <si>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</si>
  <si>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</si>
  <si>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</si>
  <si>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</si>
  <si>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</si>
  <si>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</si>
  <si>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</si>
  <si>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</si>
  <si>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</si>
  <si>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</si>
  <si>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</si>
  <si>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</si>
  <si>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</si>
  <si>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</si>
  <si>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</si>
  <si>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</si>
  <si>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</si>
  <si>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</si>
  <si>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</si>
  <si>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</si>
  <si>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</si>
  <si>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</si>
  <si>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</si>
  <si>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</si>
  <si>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</si>
  <si>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</si>
  <si>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</si>
  <si>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</si>
  <si>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</si>
  <si>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</si>
  <si>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</si>
  <si>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</si>
  <si>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</si>
  <si>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</si>
  <si>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</si>
  <si>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</si>
  <si>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</si>
  <si>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</si>
  <si>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</si>
  <si>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</si>
  <si>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</si>
  <si>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</si>
  <si>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</si>
  <si>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</si>
  <si>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</si>
  <si>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</si>
  <si>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</si>
  <si>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</si>
  <si>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</si>
  <si>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</si>
  <si>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</si>
  <si>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</si>
  <si>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</si>
  <si>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</si>
  <si>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</si>
  <si>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</si>
  <si>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</si>
  <si>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</si>
  <si>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</si>
  <si>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</si>
  <si>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</si>
  <si>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</si>
  <si>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</si>
  <si>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</si>
  <si>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</si>
  <si>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</si>
  <si>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</si>
  <si>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</si>
  <si>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</si>
  <si>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</si>
  <si>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</si>
  <si>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</si>
  <si>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</si>
  <si>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</si>
  <si>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</si>
  <si>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</si>
  <si>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</si>
  <si>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</si>
  <si>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</si>
  <si>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</si>
  <si>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</si>
  <si>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</si>
  <si>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</si>
  <si>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</si>
  <si>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</si>
  <si>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</si>
  <si>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</si>
  <si>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</si>
  <si>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</si>
  <si>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</si>
  <si>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</si>
  <si>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</si>
  <si>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</si>
  <si>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</si>
  <si>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</si>
  <si>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</si>
  <si>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</si>
  <si>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</si>
  <si>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</si>
  <si>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</si>
  <si>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</si>
  <si>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</si>
  <si>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</si>
  <si>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</si>
  <si>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</si>
  <si>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</si>
  <si>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</si>
  <si>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</si>
  <si>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</si>
  <si>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</si>
  <si>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</si>
  <si>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</si>
  <si>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</si>
  <si>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</si>
  <si>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</si>
  <si>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</si>
  <si>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</si>
  <si>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</si>
  <si>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</si>
  <si>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</si>
  <si>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</si>
  <si>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</si>
  <si>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</si>
  <si>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</si>
  <si>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</si>
  <si>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</si>
  <si>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</si>
  <si>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</si>
  <si>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</si>
  <si>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</si>
  <si>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</si>
  <si>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</si>
  <si>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</si>
  <si>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</si>
  <si>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</si>
  <si>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</si>
  <si>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</si>
  <si>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</si>
  <si>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</si>
  <si>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</si>
  <si>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</si>
  <si>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</si>
  <si>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</si>
  <si>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</si>
  <si>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</si>
  <si>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</si>
  <si>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</si>
  <si>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</si>
  <si>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</si>
  <si>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</si>
  <si>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</si>
  <si>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</si>
  <si>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</si>
  <si>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</si>
  <si>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</si>
  <si>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</si>
  <si>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</si>
  <si>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</si>
  <si>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</si>
  <si>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</si>
  <si>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</si>
  <si>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</si>
  <si>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</si>
  <si>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</si>
  <si>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</si>
  <si>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</si>
  <si>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</si>
  <si>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</si>
  <si>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</si>
  <si>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</si>
  <si>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</si>
  <si>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</si>
  <si>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</si>
  <si>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</si>
  <si>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</si>
  <si>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</si>
  <si>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</si>
  <si>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</si>
  <si>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</si>
  <si>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</si>
  <si>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</si>
  <si>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</si>
  <si>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</si>
  <si>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</si>
  <si>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</si>
  <si>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</si>
  <si>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</si>
  <si>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</si>
  <si>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</si>
  <si>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</si>
  <si>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</si>
  <si>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</si>
  <si>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</si>
  <si>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</si>
  <si>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</si>
  <si>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</si>
  <si>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</si>
  <si>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</si>
  <si>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</si>
  <si>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</si>
  <si>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</si>
  <si>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</si>
  <si>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</si>
  <si>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</si>
  <si>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</si>
  <si>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</si>
  <si>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</si>
  <si>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</si>
  <si>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</si>
  <si>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</si>
  <si>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</si>
  <si>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</si>
  <si>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</si>
  <si>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</si>
  <si>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</si>
  <si>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</si>
  <si>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</si>
  <si>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</si>
  <si>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</si>
  <si>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</si>
  <si>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</si>
  <si>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</si>
  <si>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</si>
  <si>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</si>
  <si>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</si>
  <si>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</si>
  <si>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</si>
  <si>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</si>
  <si>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</si>
  <si>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</si>
  <si>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</si>
  <si>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</si>
  <si>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</si>
  <si>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</si>
  <si>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</si>
  <si>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</si>
  <si>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</si>
  <si>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</si>
  <si>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</si>
  <si>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</si>
  <si>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</si>
  <si>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</si>
  <si>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</si>
  <si>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</si>
  <si>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</si>
  <si>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</si>
  <si>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</si>
  <si>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</si>
  <si>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</si>
  <si>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</si>
  <si>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</si>
  <si>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</si>
  <si>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</si>
  <si>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</si>
  <si>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</si>
  <si>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</si>
  <si>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</si>
  <si>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</si>
  <si>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</si>
  <si>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</si>
  <si>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</si>
  <si>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</si>
  <si>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</si>
  <si>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</si>
  <si>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</si>
  <si>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</si>
  <si>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</si>
  <si>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</si>
  <si>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</si>
  <si>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</si>
  <si>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</si>
  <si>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</si>
  <si>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</si>
  <si>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</si>
  <si>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</si>
  <si>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</si>
  <si>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</si>
  <si>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</si>
  <si>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</si>
  <si>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</si>
  <si>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</si>
  <si>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</si>
  <si>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</si>
  <si>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</si>
  <si>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</si>
  <si>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</si>
  <si>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</si>
  <si>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</si>
  <si>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</si>
  <si>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</si>
  <si>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</si>
  <si>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</si>
  <si>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</si>
  <si>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</si>
  <si>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</si>
  <si>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</si>
  <si>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</si>
  <si>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</si>
  <si>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</si>
  <si>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</si>
  <si>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</si>
  <si>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</si>
  <si>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</si>
  <si>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</si>
  <si>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</si>
  <si>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</si>
  <si>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</si>
  <si>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</si>
  <si>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</si>
  <si>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</si>
  <si>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</si>
  <si>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</si>
  <si>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</si>
  <si>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</si>
  <si>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</si>
  <si>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</si>
  <si>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</si>
  <si>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</si>
  <si>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</si>
  <si>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</si>
  <si>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</si>
  <si>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</si>
  <si>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</si>
  <si>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</si>
  <si>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</si>
  <si>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</si>
  <si>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</si>
  <si>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</si>
  <si>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</si>
  <si>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</si>
  <si>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</si>
  <si>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</si>
  <si>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</si>
  <si>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</si>
  <si>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</si>
  <si>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</si>
  <si>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</si>
  <si>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</si>
  <si>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</si>
  <si>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</si>
  <si>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</si>
  <si>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</si>
  <si>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</si>
  <si>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</si>
  <si>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</si>
  <si>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</si>
  <si>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</si>
  <si>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</si>
  <si>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</si>
  <si>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</si>
  <si>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</si>
  <si>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</si>
  <si>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</si>
  <si>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</si>
  <si>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</si>
  <si>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</si>
  <si>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</si>
  <si>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</si>
  <si>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</si>
  <si>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</si>
  <si>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</si>
  <si>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</si>
  <si>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</si>
  <si>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</si>
  <si>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</si>
  <si>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</si>
  <si>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</si>
  <si>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</si>
  <si>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</si>
  <si>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</si>
  <si>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</si>
  <si>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</si>
  <si>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</si>
  <si>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</si>
  <si>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</si>
  <si>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</si>
  <si>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</si>
  <si>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</si>
  <si>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</si>
  <si>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</si>
  <si>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</si>
  <si>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</si>
  <si>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</si>
  <si>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</si>
  <si>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</si>
  <si>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</si>
  <si>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</si>
  <si>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</si>
  <si>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</si>
  <si>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</si>
  <si>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</si>
  <si>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</si>
  <si>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</si>
  <si>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</si>
  <si>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</si>
  <si>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</si>
  <si>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</si>
  <si>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</si>
  <si>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</si>
  <si>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</si>
  <si>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</si>
  <si>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</si>
  <si>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</si>
  <si>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</si>
  <si>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</si>
  <si>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</si>
  <si>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</si>
  <si>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</si>
  <si>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</si>
  <si>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</si>
  <si>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</si>
  <si>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</si>
  <si>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</si>
  <si>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</si>
  <si>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</si>
  <si>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</si>
  <si>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</si>
  <si>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</si>
  <si>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</si>
  <si>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</si>
  <si>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</si>
  <si>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</si>
  <si>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</si>
  <si>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</si>
  <si>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</si>
  <si>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</si>
  <si>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</si>
  <si>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</si>
  <si>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</si>
  <si>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</si>
  <si>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</si>
  <si>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</si>
  <si>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</si>
  <si>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</si>
  <si>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</si>
  <si>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</si>
  <si>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</si>
  <si>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</si>
  <si>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</si>
  <si>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</si>
  <si>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</si>
  <si>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</si>
  <si>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</si>
  <si>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</si>
  <si>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</si>
  <si>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</si>
  <si>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</si>
  <si>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</si>
  <si>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</si>
  <si>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</si>
  <si>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</si>
  <si>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</si>
  <si>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</si>
  <si>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</si>
  <si>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</si>
  <si>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</si>
  <si>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</si>
  <si>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</si>
  <si>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</si>
  <si>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</si>
  <si>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</si>
  <si>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</si>
  <si>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</si>
  <si>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</si>
  <si>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</si>
  <si>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</si>
  <si>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</si>
  <si>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</si>
  <si>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</si>
  <si>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</si>
  <si>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</si>
  <si>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</si>
  <si>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</si>
  <si>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</si>
  <si>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</si>
  <si>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</si>
  <si>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</si>
  <si>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</si>
  <si>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</si>
  <si>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</si>
  <si>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</si>
  <si>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</si>
  <si>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</si>
  <si>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</si>
  <si>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</si>
  <si>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</si>
  <si>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</si>
  <si>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</si>
  <si>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</si>
  <si>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</si>
  <si>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</si>
  <si>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</si>
  <si>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</si>
  <si>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</si>
  <si>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</si>
  <si>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</si>
  <si>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</si>
  <si>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</si>
  <si>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</si>
  <si>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</si>
  <si>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</si>
  <si>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</si>
  <si>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</si>
  <si>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</si>
  <si>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</si>
  <si>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</si>
  <si>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</si>
  <si>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</si>
  <si>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</si>
  <si>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</si>
  <si>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</si>
  <si>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</si>
  <si>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</si>
  <si>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</si>
  <si>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</si>
  <si>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</si>
  <si>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</si>
  <si>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</si>
  <si>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</si>
  <si>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</si>
  <si>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</si>
  <si>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</si>
  <si>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</si>
  <si>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</si>
  <si>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</si>
  <si>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</si>
  <si>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</si>
  <si>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</si>
  <si>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</si>
  <si>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</si>
  <si>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</si>
  <si>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</si>
  <si>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</si>
  <si>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</si>
  <si>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</si>
  <si>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</si>
  <si>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</si>
  <si>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</si>
  <si>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</si>
  <si>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</si>
  <si>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</si>
  <si>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</si>
  <si>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</si>
  <si>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</si>
  <si>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</si>
  <si>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</si>
  <si>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</si>
  <si>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</si>
  <si>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</si>
  <si>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</si>
  <si>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</si>
  <si>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</si>
  <si>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</si>
  <si>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</si>
  <si>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</si>
  <si>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</si>
  <si>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</si>
  <si>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</si>
  <si>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</si>
  <si>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</si>
  <si>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</si>
  <si>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</si>
  <si>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</si>
  <si>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</si>
  <si>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</si>
  <si>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</si>
  <si>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</si>
  <si>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</si>
  <si>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</si>
  <si>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</si>
  <si>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</si>
  <si>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</si>
  <si>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</si>
  <si>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</si>
  <si>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</si>
  <si>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</si>
  <si>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</si>
  <si>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</si>
  <si>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</si>
  <si>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</si>
  <si>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</si>
  <si>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</si>
  <si>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</si>
  <si>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</si>
  <si>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</si>
  <si>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</si>
  <si>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</si>
  <si>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</si>
  <si>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</si>
  <si>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</si>
  <si>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</si>
  <si>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</si>
  <si>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</si>
  <si>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</si>
  <si>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</si>
  <si>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</si>
  <si>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</si>
  <si>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</si>
  <si>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</si>
  <si>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</si>
  <si>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</si>
  <si>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</si>
  <si>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</si>
  <si>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</si>
  <si>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</si>
  <si>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</si>
  <si>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</si>
  <si>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</si>
  <si>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</si>
  <si>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</si>
  <si>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</si>
  <si>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</si>
  <si>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</si>
  <si>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</si>
  <si>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</si>
  <si>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</si>
  <si>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</si>
  <si>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</si>
  <si>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</si>
  <si>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</si>
  <si>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</si>
  <si>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</si>
  <si>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</si>
  <si>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</si>
  <si>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</si>
  <si>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</si>
  <si>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</si>
  <si>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</si>
  <si>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</si>
  <si>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</si>
  <si>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</si>
  <si>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</si>
  <si>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</si>
  <si>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</si>
  <si>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</si>
  <si>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</si>
  <si>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</si>
  <si>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</si>
  <si>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</si>
  <si>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</si>
  <si>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</si>
  <si>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</si>
  <si>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</si>
  <si>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</si>
  <si>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</si>
  <si>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</si>
  <si>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</si>
  <si>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</si>
  <si>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</si>
  <si>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</si>
  <si>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</si>
  <si>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</si>
  <si>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</si>
  <si>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</si>
  <si>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</si>
  <si>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</si>
  <si>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</si>
  <si>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</si>
  <si>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</si>
  <si>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</si>
  <si>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</si>
  <si>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</si>
  <si>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</si>
  <si>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</si>
  <si>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</si>
  <si>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</si>
  <si>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</si>
  <si>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</si>
  <si>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</si>
  <si>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</si>
  <si>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</si>
  <si>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</si>
  <si>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</si>
  <si>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</si>
  <si>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</si>
  <si>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</si>
  <si>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</si>
  <si>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</si>
  <si>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</si>
  <si>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</si>
  <si>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</si>
  <si>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</si>
  <si>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</si>
  <si>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</si>
  <si>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</si>
  <si>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</si>
  <si>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</si>
  <si>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</si>
  <si>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</si>
  <si>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</si>
  <si>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</si>
  <si>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</si>
  <si>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</si>
  <si>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</si>
  <si>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</si>
  <si>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</si>
  <si>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</si>
  <si>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</si>
  <si>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</si>
  <si>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</si>
  <si>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</si>
  <si>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</si>
  <si>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</si>
  <si>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</si>
  <si>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</si>
  <si>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</si>
  <si>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</si>
  <si>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</si>
  <si>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</si>
  <si>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</si>
  <si>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</si>
  <si>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</si>
  <si>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</si>
  <si>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</si>
  <si>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</si>
  <si>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</si>
  <si>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</si>
  <si>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</si>
  <si>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</si>
  <si>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</si>
  <si>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</si>
  <si>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</si>
  <si>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</si>
  <si>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</si>
  <si>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</si>
  <si>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</si>
  <si>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</si>
  <si>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</si>
  <si>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</si>
  <si>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</si>
  <si>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</si>
  <si>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</si>
  <si>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</si>
  <si>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</si>
  <si>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</si>
  <si>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</si>
  <si>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</si>
  <si>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</si>
  <si>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</si>
  <si>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</si>
  <si>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</si>
  <si>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</si>
  <si>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</si>
  <si>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</si>
  <si>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</si>
  <si>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</si>
  <si>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</si>
  <si>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</si>
  <si>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</si>
  <si>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</si>
  <si>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</si>
  <si>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</si>
  <si>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</si>
  <si>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</si>
  <si>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</si>
  <si>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</si>
  <si>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</si>
  <si>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</si>
  <si>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</si>
  <si>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</si>
  <si>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</si>
  <si>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</si>
  <si>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</si>
  <si>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</si>
  <si>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</si>
  <si>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</si>
  <si>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</si>
  <si>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</si>
  <si>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</si>
  <si>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</si>
  <si>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</si>
  <si>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</si>
  <si>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</si>
  <si>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</si>
  <si>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</si>
  <si>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</si>
  <si>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</si>
  <si>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</si>
  <si>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</si>
  <si>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</si>
  <si>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</si>
  <si>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</si>
  <si>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</si>
  <si>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</si>
  <si>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</si>
  <si>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</si>
  <si>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</si>
  <si>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</si>
  <si>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</si>
  <si>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</si>
  <si>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</si>
  <si>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</si>
  <si>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</si>
  <si>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</si>
  <si>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</si>
  <si>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</si>
  <si>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</si>
  <si>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</si>
  <si>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</si>
  <si>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</si>
  <si>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</si>
  <si>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</si>
  <si>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</si>
  <si>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</si>
  <si>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</si>
  <si>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</si>
  <si>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</si>
  <si>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</si>
  <si>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</si>
  <si>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</si>
  <si>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</si>
  <si>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</si>
  <si>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</si>
  <si>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</si>
  <si>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</si>
  <si>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</si>
  <si>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</si>
  <si>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</si>
  <si>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</si>
  <si>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</si>
  <si>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</si>
  <si>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</si>
  <si>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</si>
  <si>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</si>
  <si>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</si>
  <si>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</si>
  <si>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</si>
  <si>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</si>
  <si>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</si>
  <si>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</si>
  <si>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</si>
  <si>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</si>
  <si>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</si>
  <si>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</si>
  <si>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</si>
  <si>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</si>
  <si>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</si>
  <si>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</si>
  <si>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</si>
  <si>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</si>
  <si>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</si>
  <si>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</si>
  <si>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</si>
  <si>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</si>
  <si>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</si>
  <si>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</si>
  <si>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</si>
  <si>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</si>
  <si>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</si>
  <si>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</si>
  <si>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</si>
  <si>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</si>
  <si>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</si>
  <si>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</si>
  <si>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</si>
  <si>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</si>
  <si>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</si>
  <si>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</si>
  <si>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</si>
  <si>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</si>
  <si>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</si>
  <si>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</si>
  <si>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</si>
  <si>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</si>
  <si>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</si>
  <si>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</si>
  <si>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</si>
  <si>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</si>
  <si>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</si>
  <si>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</si>
  <si>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</si>
  <si>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</si>
  <si>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</si>
  <si>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</si>
  <si>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</si>
  <si>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</si>
  <si>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</si>
  <si>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</si>
  <si>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</si>
  <si>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</si>
  <si>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</si>
  <si>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</si>
  <si>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</si>
  <si>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</si>
  <si>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</si>
  <si>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</si>
  <si>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</si>
  <si>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</si>
  <si>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</si>
  <si>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</si>
  <si>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</si>
  <si>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</si>
  <si>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</si>
  <si>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</si>
  <si>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</si>
  <si>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</si>
  <si>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</si>
  <si>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</si>
  <si>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</si>
  <si>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</si>
  <si>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</si>
  <si>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</si>
  <si>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</si>
  <si>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</si>
  <si>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</si>
  <si>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</si>
  <si>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</si>
  <si>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</si>
  <si>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</si>
  <si>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</si>
  <si>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</si>
  <si>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</si>
  <si>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</si>
  <si>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</si>
  <si>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</si>
  <si>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</si>
  <si>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</si>
  <si>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</si>
  <si>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</si>
  <si>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</si>
  <si>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</si>
  <si>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</si>
  <si>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</si>
  <si>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</si>
  <si>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</si>
  <si>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</si>
  <si>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</si>
  <si>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</si>
  <si>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</si>
  <si>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</si>
  <si>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</si>
  <si>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</si>
  <si>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</si>
  <si>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</si>
  <si>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</si>
  <si>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</si>
  <si>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</si>
  <si>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</si>
  <si>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</si>
  <si>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</si>
  <si>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</si>
  <si>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</si>
  <si>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</si>
  <si>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</si>
  <si>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</si>
  <si>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</si>
  <si>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</si>
  <si>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</si>
  <si>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</si>
  <si>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</si>
  <si>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</si>
  <si>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</si>
  <si>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</si>
  <si>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</si>
  <si>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</si>
  <si>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</si>
  <si>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</si>
  <si>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</si>
  <si>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</si>
  <si>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</si>
  <si>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</si>
  <si>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</si>
  <si>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</si>
  <si>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</si>
  <si>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</si>
  <si>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</si>
  <si>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</si>
  <si>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</si>
  <si>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</si>
  <si>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</si>
  <si>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</si>
  <si>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</si>
  <si>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</si>
  <si>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</si>
  <si>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</si>
  <si>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</si>
  <si>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</si>
  <si>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</si>
  <si>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</si>
  <si>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</si>
  <si>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</si>
  <si>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</si>
  <si>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</si>
  <si>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</si>
  <si>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</si>
  <si>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</si>
  <si>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</si>
  <si>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</si>
  <si>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</si>
  <si>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</si>
  <si>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</si>
  <si>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</si>
  <si>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</si>
  <si>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</si>
  <si>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</si>
  <si>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</si>
  <si>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</si>
  <si>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</si>
  <si>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</si>
  <si>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</si>
  <si>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</si>
  <si>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</si>
  <si>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</si>
  <si>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</si>
  <si>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</si>
  <si>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</si>
  <si>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</si>
  <si>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</si>
  <si>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</si>
  <si>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</si>
  <si>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</si>
  <si>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</si>
  <si>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</si>
  <si>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</si>
  <si>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</si>
  <si>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</si>
  <si>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</si>
  <si>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</si>
  <si>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</si>
  <si>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</si>
  <si>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</si>
  <si>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</si>
  <si>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</si>
  <si>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</si>
  <si>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</si>
  <si>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</si>
  <si>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</si>
  <si>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</si>
  <si>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</si>
  <si>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</si>
  <si>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</si>
  <si>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</si>
  <si>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</si>
  <si>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</si>
  <si>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</si>
  <si>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</si>
  <si>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</si>
  <si>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</si>
  <si>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</si>
  <si>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</si>
  <si>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</si>
  <si>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</si>
  <si>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</si>
  <si>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</si>
  <si>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</si>
  <si>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</si>
  <si>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</si>
  <si>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</si>
  <si>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</si>
  <si>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</si>
  <si>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</si>
  <si>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</si>
  <si>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</si>
  <si>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</si>
  <si>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</si>
  <si>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</si>
  <si>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</si>
  <si>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</si>
  <si>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</si>
  <si>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</si>
  <si>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</si>
  <si>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</si>
  <si>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</si>
  <si>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Sangamon and Morgan</t>
  </si>
  <si>
    <t>600 N Cedar</t>
  </si>
  <si>
    <t>New Berlin</t>
  </si>
  <si>
    <t>lmiemeier@pretzelpride.com</t>
  </si>
  <si>
    <t>Adam Ehrman</t>
  </si>
  <si>
    <t>aehrman@pretzelpride.com</t>
  </si>
  <si>
    <t>217-488-2040</t>
  </si>
  <si>
    <t>217-488-2043</t>
  </si>
  <si>
    <t xml:space="preserve">LMHN, Ltd. CPA's </t>
  </si>
  <si>
    <t>Richard K. Hooper</t>
  </si>
  <si>
    <t>900 N. Webster, PO Box 87</t>
  </si>
  <si>
    <t>Taylorville</t>
  </si>
  <si>
    <t>IL</t>
  </si>
  <si>
    <t>066-003847</t>
  </si>
  <si>
    <t>rkh_cpa@yahoo,com</t>
  </si>
  <si>
    <t>x</t>
  </si>
  <si>
    <t>General Obligation Bonds 2007</t>
  </si>
  <si>
    <t>General Obligation Bonds 2012B</t>
  </si>
  <si>
    <t>General Obligation Bonds 2015</t>
  </si>
  <si>
    <t>General Obligation Bonds 2018</t>
  </si>
  <si>
    <t>N/A</t>
  </si>
  <si>
    <t>Sangamon Area Special Education District</t>
  </si>
  <si>
    <t>Capital Area Career Center</t>
  </si>
  <si>
    <t>AFR page 10: account #1614 consists of miscellaneous food sales.</t>
  </si>
  <si>
    <t>AFR page 10: account #1999 consists of various refunds, reimbursements, insurance claims and proceeds from sales of buses.</t>
  </si>
  <si>
    <t>AFR page 11; account #3299 consists of library per capital grant funds.</t>
  </si>
  <si>
    <t>AFR page 12; account #3999 consists of DORS payment from special education cooperative ($5,839) and other state programs ($1,556).</t>
  </si>
  <si>
    <t>AFR page 16; function #2900, miscellaneous supplies for support services.</t>
  </si>
  <si>
    <t>LMHN, Ltd.</t>
  </si>
  <si>
    <t>LMHN, Ltd.                                                  10/10/2019</t>
  </si>
  <si>
    <t>NEW BERLIN COMMUNITY UNIT SCHOOL DISTRICT NO. 16</t>
  </si>
  <si>
    <t>SCHEDULE OF CASH RECEIPTS AND DISBURSEMENTS</t>
  </si>
  <si>
    <t>ACTIVITY FUNDS</t>
  </si>
  <si>
    <t>Balance</t>
  </si>
  <si>
    <t>Receipts</t>
  </si>
  <si>
    <t>Disbursements</t>
  </si>
  <si>
    <t>ASSETS</t>
  </si>
  <si>
    <t>Cash</t>
  </si>
  <si>
    <t>LIABILITIES</t>
  </si>
  <si>
    <t>Amounts Due to Organizations:</t>
  </si>
  <si>
    <t>Yearbook</t>
  </si>
  <si>
    <t>ACT Prep Acct</t>
  </si>
  <si>
    <t>Art Club</t>
  </si>
  <si>
    <t>Athletics</t>
  </si>
  <si>
    <t>Band</t>
  </si>
  <si>
    <t>HS Boys Basketball</t>
  </si>
  <si>
    <t>Character Scholarship</t>
  </si>
  <si>
    <t>HS Basketball Cheerleaders</t>
  </si>
  <si>
    <t>HS Football Cheerleaders</t>
  </si>
  <si>
    <t>HS Choir</t>
  </si>
  <si>
    <t>Class of 1999</t>
  </si>
  <si>
    <t>Class of 2000</t>
  </si>
  <si>
    <t>Class of 2001</t>
  </si>
  <si>
    <t>Class of 2002</t>
  </si>
  <si>
    <t>Class of 2003</t>
  </si>
  <si>
    <t>Class of 2005</t>
  </si>
  <si>
    <t>Class of 2006</t>
  </si>
  <si>
    <t>Class of 2009</t>
  </si>
  <si>
    <t>Class of 2010</t>
  </si>
  <si>
    <t>Class of 2011</t>
  </si>
  <si>
    <t>Class of 2012</t>
  </si>
  <si>
    <t>Class of 2013</t>
  </si>
  <si>
    <t>Class of 2014</t>
  </si>
  <si>
    <t>Class of 2015</t>
  </si>
  <si>
    <t>Class of 2016</t>
  </si>
  <si>
    <t>Class of 2017</t>
  </si>
  <si>
    <t>Class of 2018</t>
  </si>
  <si>
    <t>Class of 2019</t>
  </si>
  <si>
    <t>Class of 2020</t>
  </si>
  <si>
    <t>Class of 2021</t>
  </si>
  <si>
    <t>Concession</t>
  </si>
  <si>
    <t>HS Discretionary Fund</t>
  </si>
  <si>
    <t>Elementary Fund</t>
  </si>
  <si>
    <t>FCCLA</t>
  </si>
  <si>
    <t>FFA</t>
  </si>
  <si>
    <t>Flags</t>
  </si>
  <si>
    <t>Flower Fund</t>
  </si>
  <si>
    <t>HS Football Fund</t>
  </si>
  <si>
    <t>Greenhouse</t>
  </si>
  <si>
    <t>HS Boys Baseball</t>
  </si>
  <si>
    <t>HS Girls Softball</t>
  </si>
  <si>
    <t>High School Fund</t>
  </si>
  <si>
    <t>ACTIVITY FUNDS (CONTINUED)</t>
  </si>
  <si>
    <t>Homecoming Fund</t>
  </si>
  <si>
    <t>HS Girls Track</t>
  </si>
  <si>
    <t>Jr. High Boys Baseball</t>
  </si>
  <si>
    <t>Jr. High Boys Basketball</t>
  </si>
  <si>
    <t>Jr. High Box Tops</t>
  </si>
  <si>
    <t>Jr. High Cheerleading</t>
  </si>
  <si>
    <t>Jr. High Fund</t>
  </si>
  <si>
    <t>Jr. High Girls Basketball</t>
  </si>
  <si>
    <t>Jr. High PE</t>
  </si>
  <si>
    <t>Jr. High Scholastic Bowl</t>
  </si>
  <si>
    <t>Jr. High Science Club</t>
  </si>
  <si>
    <t>Jr. High Softball</t>
  </si>
  <si>
    <t>Jr. High Student Council</t>
  </si>
  <si>
    <t>Jr. High Volleyball</t>
  </si>
  <si>
    <t>Jr. High Yearbook</t>
  </si>
  <si>
    <t>Jr. High Flower</t>
  </si>
  <si>
    <t>6th Grade Boys Basketball</t>
  </si>
  <si>
    <t>Crews Scholarship</t>
  </si>
  <si>
    <t>Key Club</t>
  </si>
  <si>
    <t>Library</t>
  </si>
  <si>
    <t xml:space="preserve">Post Season Athletic </t>
  </si>
  <si>
    <t>Pretzel Festival</t>
  </si>
  <si>
    <t>Pretzel Pride</t>
  </si>
  <si>
    <t>Roesch Trust Fund</t>
  </si>
  <si>
    <t>Royalties</t>
  </si>
  <si>
    <t>SADD</t>
  </si>
  <si>
    <t>Samsung Grant</t>
  </si>
  <si>
    <t>Sangamon Conference Account</t>
  </si>
  <si>
    <t>Scholastic Bowl</t>
  </si>
  <si>
    <t>Sports Complex</t>
  </si>
  <si>
    <t>Student Council</t>
  </si>
  <si>
    <t>Thorton Ag Scholarship</t>
  </si>
  <si>
    <t>HS Technical Prep</t>
  </si>
  <si>
    <t>HS Boys Track</t>
  </si>
  <si>
    <t>HS PE</t>
  </si>
  <si>
    <t>HS Wrestling</t>
  </si>
  <si>
    <t>HS Volleyball</t>
  </si>
  <si>
    <t>TOTAL LIABILITIES</t>
  </si>
  <si>
    <t>FOR THE FISCAL YEAR ENDED JUNE 30, 2019</t>
  </si>
  <si>
    <t>July 1, 2018</t>
  </si>
  <si>
    <t>June 30, 2019</t>
  </si>
  <si>
    <t>Jr. High Track</t>
  </si>
  <si>
    <t>HS Drama</t>
  </si>
  <si>
    <t>Class of 2022</t>
  </si>
  <si>
    <t>Pages</t>
  </si>
  <si>
    <t>Independent Auditor's Report</t>
  </si>
  <si>
    <t>1-3</t>
  </si>
  <si>
    <t>Independent Auditor's Report on Internal Control Over Financial Reporting and on</t>
  </si>
  <si>
    <t xml:space="preserve">   Compliance and Other Matters Based on an Audit of Financial Statements Performed </t>
  </si>
  <si>
    <r>
      <t xml:space="preserve">   in Accordance with </t>
    </r>
    <r>
      <rPr>
        <u/>
        <sz val="11"/>
        <rFont val="Times New Roman"/>
        <family val="1"/>
      </rPr>
      <t>Government Auditing Standards</t>
    </r>
  </si>
  <si>
    <t>4-5</t>
  </si>
  <si>
    <t>Basic Financial Statements:</t>
  </si>
  <si>
    <t>Statement of Assets and Liabilities Arising from Cash Transactions / Statement</t>
  </si>
  <si>
    <t xml:space="preserve">   of Position (All Funds)</t>
  </si>
  <si>
    <t>6-7</t>
  </si>
  <si>
    <t>Statement of Revenues Received / Revenues, Expenditures Disbursed / Expenditures</t>
  </si>
  <si>
    <t xml:space="preserve">  Other Sources (Uses) and Changes in Fund Balance (All Funds)</t>
  </si>
  <si>
    <t>8-9</t>
  </si>
  <si>
    <t>Statement of Revenues Received / Revenues (All Funds)</t>
  </si>
  <si>
    <t>10-15</t>
  </si>
  <si>
    <t>Statement of Expenditures Disbursed / Expenditures, Budget to Actual (All Funds)</t>
  </si>
  <si>
    <t>16-23</t>
  </si>
  <si>
    <t>Notes to Financial Statements</t>
  </si>
  <si>
    <t>24-44</t>
  </si>
  <si>
    <t>Other Information:</t>
  </si>
  <si>
    <t>IMRF Schedule of Changes in the Net Position Liability and Related Ratios (Unaudited)</t>
  </si>
  <si>
    <t>51-A</t>
  </si>
  <si>
    <t>IMRF Schedule of Employer Contributions (Unaudited)</t>
  </si>
  <si>
    <t>51-B</t>
  </si>
  <si>
    <t>TRS Schedule of District's Proportionate Share of the Net Pension Liability and</t>
  </si>
  <si>
    <t xml:space="preserve">   Schedule of District Contributions (Unaudited)</t>
  </si>
  <si>
    <t>51-C</t>
  </si>
  <si>
    <t>Supplementary Schedules:</t>
  </si>
  <si>
    <t>Schedule of Ad Valorem Tax Receipts</t>
  </si>
  <si>
    <t>45</t>
  </si>
  <si>
    <t>Schedule of Short Term Debt and Long Term Debt</t>
  </si>
  <si>
    <t>46</t>
  </si>
  <si>
    <t>Schedule of Restricted Local Tax Levies and Tort Immunity Expenditures</t>
  </si>
  <si>
    <t>47</t>
  </si>
  <si>
    <t>Estimated Indirect Cost Data</t>
  </si>
  <si>
    <t>48</t>
  </si>
  <si>
    <t>TABLE OF CONTENTS (CONTINUED)</t>
  </si>
  <si>
    <t>.</t>
  </si>
  <si>
    <t>Statistical Section:</t>
  </si>
  <si>
    <t>Schedule of Capital Outlay and Depreciation</t>
  </si>
  <si>
    <t>49</t>
  </si>
  <si>
    <t>Estimated Operating Expenditures Per Pupil and Per Capita Tuition Charge</t>
  </si>
  <si>
    <t>50-51</t>
  </si>
  <si>
    <t>Other Schedules and Itemizations:</t>
  </si>
  <si>
    <t>Itemization Schedule</t>
  </si>
  <si>
    <t>52</t>
  </si>
  <si>
    <t>Reference Page</t>
  </si>
  <si>
    <t>53</t>
  </si>
  <si>
    <t>Auditor's Questionnaire</t>
  </si>
  <si>
    <t>54-55</t>
  </si>
  <si>
    <t>Financial Profile Information</t>
  </si>
  <si>
    <t>56-57</t>
  </si>
  <si>
    <t>Schedule of Cash Receipts and Disbursements - Activity Funds</t>
  </si>
  <si>
    <t>58-59</t>
  </si>
  <si>
    <t>Limitation of Administrative Cost Worksheet</t>
  </si>
  <si>
    <t>60</t>
  </si>
  <si>
    <t>Current Year Payment on Contracts for Indirect Cost Rate Computation</t>
  </si>
  <si>
    <t>61</t>
  </si>
  <si>
    <t>Report on Shared Services or Outsourcing</t>
  </si>
  <si>
    <t>62</t>
  </si>
  <si>
    <t>Note…The page numbers referred to above are the sequential page numbers that were assigned to each</t>
  </si>
  <si>
    <t xml:space="preserve">   page by LMHN, Ltd. and are located at the bottom center of each page.  These page numbers to not</t>
  </si>
  <si>
    <t xml:space="preserve">   correlate to the page numbering system that ISBE utilizes on their AFR.  Occasionally, the AFR will</t>
  </si>
  <si>
    <t xml:space="preserve">   cross reference an item to another page number within the AFR.  These page numbers are located on</t>
  </si>
  <si>
    <t xml:space="preserve">   the top left or top right hand corner of each AFR page.</t>
  </si>
  <si>
    <t>FISCAL YEAR ENDED JUNE 30, 2019</t>
  </si>
  <si>
    <t xml:space="preserve">   Computation 2018-2019</t>
  </si>
  <si>
    <t>Adam Ehrman, Superintendent</t>
  </si>
  <si>
    <t xml:space="preserve">      (Sangamon County, Illinois)</t>
  </si>
  <si>
    <t xml:space="preserve">      (Morgan County, Illinois)</t>
  </si>
  <si>
    <t xml:space="preserve">      ANNUAL FINANCIAL REPORT</t>
  </si>
  <si>
    <t xml:space="preserve">      FISCAL YEAR ENDED JUNE 30, 2019</t>
  </si>
  <si>
    <t>New Berlin CUSD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</si>
</sst>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1"/>
    </font>
    <font>
      <b/>
      <sz val="11"/>
      <color theme="1"/>
      <name val="Times New Roman"/>
      <family val="1"/>
    </font>
    <font>
      <b/>
      <u/>
      <sz val="11"/>
      <color theme="1"/>
      <name val="Times New Roman"/>
      <family val="1"/>
    </font>
    <font>
      <u/>
      <sz val="11"/>
      <color theme="1"/>
      <name val="Times New Roman"/>
      <family val="1"/>
    </font>
    <font>
      <b/>
      <sz val="11"/>
      <name val="Times New Roman"/>
      <family val="1"/>
    </font>
    <font>
      <sz val="11"/>
      <name val="Times New Roman"/>
      <family val="1"/>
    </font>
    <font>
      <b/>
      <u/>
      <sz val="11"/>
      <name val="Times New Roman"/>
      <family val="1"/>
    </font>
    <font>
      <u/>
      <sz val="11"/>
      <name val="Times New Roman"/>
      <family val="1"/>
    </font>
    <font>
      <sz val="14"/>
      <color theme="1"/>
      <name val="Times New Roman"/>
      <family val="1"/>
    </font>
    <font>
      <b/>
      <sz val="16"/>
      <color theme="1"/>
      <name val="Times New Roman"/>
      <family val="1"/>
    </font>
    <font>
      <b/>
      <u/>
      <sz val="16"/>
      <color theme="1"/>
      <name val="Times New Roman"/>
      <family val="1"/>
    </font>
    <font>
      <sz val="16"/>
      <color theme="1"/>
      <name val="Times New Roman"/>
      <family val="1"/>
    </font>
    <font>
      <b/>
      <sz val="14"/>
      <color theme="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2" fillId="0" borderId="0"/>
    <xf numFmtId="0" fontId="1" fillId="0" borderId="0"/>
  </cellStyleXfs>
  <cellXfs count="25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139" fillId="0" borderId="0" xfId="19" applyFont="1"/>
    <xf numFmtId="0" fontId="139" fillId="0" borderId="0" xfId="19" applyFont="1" applyAlignment="1">
      <alignment horizontal="center"/>
    </xf>
    <xf numFmtId="43" fontId="139" fillId="0" borderId="0" xfId="19" applyNumberFormat="1" applyFont="1" applyAlignment="1">
      <alignment horizontal="center"/>
    </xf>
    <xf numFmtId="43" fontId="139" fillId="0" borderId="0" xfId="19" applyNumberFormat="1" applyFont="1"/>
    <xf numFmtId="15" fontId="139" fillId="0" borderId="78" xfId="19" quotePrefix="1" applyNumberFormat="1" applyFont="1" applyBorder="1" applyAlignment="1">
      <alignment horizontal="center"/>
    </xf>
    <xf numFmtId="43" fontId="139" fillId="0" borderId="78" xfId="19" applyNumberFormat="1" applyFont="1" applyBorder="1" applyAlignment="1">
      <alignment horizontal="center"/>
    </xf>
    <xf numFmtId="49" fontId="142" fillId="0" borderId="0" xfId="19" applyNumberFormat="1" applyFont="1"/>
    <xf numFmtId="41" fontId="139" fillId="0" borderId="0" xfId="19" applyNumberFormat="1" applyFont="1"/>
    <xf numFmtId="41" fontId="139" fillId="0" borderId="0" xfId="19" quotePrefix="1" applyNumberFormat="1" applyFont="1" applyAlignment="1">
      <alignment horizontal="center"/>
    </xf>
    <xf numFmtId="41" fontId="139" fillId="0" borderId="0" xfId="19" applyNumberFormat="1" applyFont="1" applyAlignment="1">
      <alignment horizontal="center"/>
    </xf>
    <xf numFmtId="49" fontId="139" fillId="0" borderId="0" xfId="19" applyNumberFormat="1" applyFont="1"/>
    <xf numFmtId="42" fontId="139" fillId="0" borderId="165" xfId="19" quotePrefix="1" applyNumberFormat="1" applyFont="1" applyBorder="1" applyAlignment="1">
      <alignment horizontal="center"/>
    </xf>
    <xf numFmtId="42" fontId="139" fillId="0" borderId="165" xfId="19" applyNumberFormat="1" applyFont="1" applyBorder="1" applyAlignment="1">
      <alignment horizontal="center"/>
    </xf>
    <xf numFmtId="181" fontId="139" fillId="0" borderId="0" xfId="19" applyNumberFormat="1" applyFont="1"/>
    <xf numFmtId="182" fontId="139" fillId="0" borderId="0" xfId="19" applyNumberFormat="1" applyFont="1"/>
    <xf numFmtId="182" fontId="139" fillId="0" borderId="78" xfId="19" applyNumberFormat="1" applyFont="1" applyBorder="1"/>
    <xf numFmtId="42" fontId="139" fillId="0" borderId="165" xfId="19" applyNumberFormat="1" applyFont="1" applyBorder="1"/>
    <xf numFmtId="0" fontId="144" fillId="0" borderId="0" xfId="3" applyFont="1"/>
    <xf numFmtId="0" fontId="146" fillId="0" borderId="0" xfId="3" applyFont="1" applyAlignment="1">
      <alignment horizontal="center"/>
    </xf>
    <xf numFmtId="49" fontId="144" fillId="0" borderId="0" xfId="3" applyNumberFormat="1" applyFont="1" applyAlignment="1">
      <alignment horizontal="center"/>
    </xf>
    <xf numFmtId="0" fontId="146" fillId="0" borderId="0" xfId="3" applyFont="1"/>
    <xf numFmtId="49" fontId="146" fillId="0" borderId="0" xfId="3" applyNumberFormat="1" applyFont="1" applyAlignment="1">
      <alignment horizontal="center"/>
    </xf>
    <xf numFmtId="0" fontId="144" fillId="0" borderId="0" xfId="3" applyFont="1" applyAlignment="1">
      <alignment horizontal="center"/>
    </xf>
    <xf numFmtId="0" fontId="147" fillId="0" borderId="0" xfId="20" applyFont="1" applyAlignment="1">
      <alignment horizontal="center"/>
    </xf>
    <xf numFmtId="0" fontId="148" fillId="0" borderId="0" xfId="20" applyFont="1" applyAlignment="1">
      <alignment horizontal="center"/>
    </xf>
    <xf numFmtId="0" fontId="147" fillId="0" borderId="0" xfId="20" applyFont="1"/>
    <xf numFmtId="0" fontId="134" fillId="0" borderId="0" xfId="20" applyFont="1"/>
    <xf numFmtId="0" fontId="149" fillId="0" borderId="0" xfId="20" applyFont="1" applyAlignment="1">
      <alignment horizontal="center"/>
    </xf>
    <xf numFmtId="0" fontId="150" fillId="0" borderId="0" xfId="20" applyFont="1" applyAlignment="1">
      <alignment horizontal="center"/>
    </xf>
    <xf numFmtId="0" fontId="134" fillId="0" borderId="0" xfId="20" applyFont="1" applyAlignment="1">
      <alignment horizontal="center"/>
    </xf>
    <xf numFmtId="0" fontId="151" fillId="0" borderId="0" xfId="20" applyFont="1" applyAlignment="1">
      <alignment horizont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45" fillId="0" borderId="0" xfId="3" applyFont="1" applyAlignment="1">
      <alignment horizontal="center"/>
    </xf>
    <xf numFmtId="0" fontId="143" fillId="0" borderId="0" xfId="3" applyFont="1" applyAlignment="1">
      <alignment horizont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14" fontId="140" fillId="0" borderId="0" xfId="19" applyNumberFormat="1" applyFont="1" applyAlignment="1">
      <alignment horizontal="center"/>
    </xf>
    <xf numFmtId="0" fontId="141" fillId="0" borderId="0" xfId="19" applyFont="1" applyAlignment="1">
      <alignment horizontal="center"/>
    </xf>
    <xf numFmtId="0" fontId="140" fillId="0" borderId="0" xfId="19" applyFont="1" applyAlignment="1">
      <alignment horizontal="center"/>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4" fillId="0" borderId="0" xfId="0" applyFont="1" applyAlignment="1">
      <alignment vertical="top" wrapText="1"/>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19" xr:uid="{D610C2EE-E66A-4496-93FF-0ECA86AA52CF}"/>
    <cellStyle name="Normal 5" xfId="17" xr:uid="{00000000-0005-0000-0000-000009000000}"/>
    <cellStyle name="Normal 6" xfId="20" xr:uid="{95FD0A7E-E9E6-4F74-B1B0-CBA5BE52522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CF2F9"/>
      <color rgb="FFF9E3F3"/>
      <color rgb="FFFDDFC7"/>
      <color rgb="FFFF9966"/>
      <color rgb="FFDDDDDD"/>
      <color rgb="FFFFCC99"/>
      <color rgb="FF0000FF"/>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A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A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A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A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A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5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3</xdr:row>
          <xdr:rowOff>19050</xdr:rowOff>
        </xdr:from>
        <xdr:to>
          <xdr:col>1</xdr:col>
          <xdr:colOff>1104900</xdr:colOff>
          <xdr:row>6</xdr:row>
          <xdr:rowOff>123825</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16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142875</xdr:rowOff>
        </xdr:from>
        <xdr:to>
          <xdr:col>1</xdr:col>
          <xdr:colOff>866775</xdr:colOff>
          <xdr:row>12</xdr:row>
          <xdr:rowOff>95250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1600-000002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733425</xdr:colOff>
          <xdr:row>19</xdr:row>
          <xdr:rowOff>114300</xdr:rowOff>
        </xdr:to>
        <xdr:sp macro="" textlink="">
          <xdr:nvSpPr>
            <xdr:cNvPr id="52227" name="Object 3" descr="Notes" hidden="1">
              <a:extLst>
                <a:ext uri="{63B3BB69-23CF-44E3-9099-C40C66FF867C}">
                  <a14:compatExt spid="_x0000_s52227"/>
                </a:ext>
                <a:ext uri="{FF2B5EF4-FFF2-40B4-BE49-F238E27FC236}">
                  <a16:creationId xmlns:a16="http://schemas.microsoft.com/office/drawing/2014/main" id="{00000000-0008-0000-1600-000003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1437409</xdr:colOff>
          <xdr:row>3</xdr:row>
          <xdr:rowOff>25978</xdr:rowOff>
        </xdr:from>
        <xdr:to>
          <xdr:col>1</xdr:col>
          <xdr:colOff>2351809</xdr:colOff>
          <xdr:row>7</xdr:row>
          <xdr:rowOff>149803</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A2003B4E-354D-41DA-94E4-9A1BAA4447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1125683</xdr:colOff>
          <xdr:row>9</xdr:row>
          <xdr:rowOff>25977</xdr:rowOff>
        </xdr:from>
        <xdr:to>
          <xdr:col>1</xdr:col>
          <xdr:colOff>2040083</xdr:colOff>
          <xdr:row>13</xdr:row>
          <xdr:rowOff>149803</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8AC11192-48FB-45A4-818E-188573FF4A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1117023</xdr:colOff>
          <xdr:row>14</xdr:row>
          <xdr:rowOff>155864</xdr:rowOff>
        </xdr:from>
        <xdr:to>
          <xdr:col>1</xdr:col>
          <xdr:colOff>2031423</xdr:colOff>
          <xdr:row>19</xdr:row>
          <xdr:rowOff>115166</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6E9AF474-70C0-4469-9A47-634BFD1021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be.net/Pages/ebfdistribution.asp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3.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9.bin"/><Relationship Id="rId4" Type="http://schemas.openxmlformats.org/officeDocument/2006/relationships/hyperlink" Target="https://www.isbe.net/Pages/School-Nutrition-Programs-Food-Distribution.asp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8E92B-A4C4-4050-A9D0-38885AC9750B}">
  <dimension ref="A2:E10"/>
  <sheetViews>
    <sheetView zoomScaleNormal="100" workbookViewId="0">
      <selection activeCell="C10" sqref="C10"/>
    </sheetView>
  </sheetViews>
  <sheetFormatPr defaultColWidth="9.140625" defaultRowHeight="18.75" x14ac:dyDescent="0.3"/>
  <cols>
    <col min="1" max="1" width="28.7109375" style="1966" customWidth="1"/>
    <col min="2" max="2" width="9.140625" style="1966"/>
    <col min="3" max="3" width="9.140625" style="1966" customWidth="1"/>
    <col min="4" max="4" width="40.7109375" style="1966" customWidth="1"/>
    <col min="5" max="5" width="22" style="1966" customWidth="1"/>
    <col min="6" max="16384" width="9.140625" style="1966"/>
  </cols>
  <sheetData>
    <row r="2" spans="1:5" ht="20.25" x14ac:dyDescent="0.3">
      <c r="A2" s="1963"/>
      <c r="B2" s="1963"/>
      <c r="C2" s="1964" t="s">
        <v>2095</v>
      </c>
      <c r="D2" s="1963"/>
      <c r="E2" s="1965"/>
    </row>
    <row r="3" spans="1:5" ht="20.25" x14ac:dyDescent="0.3">
      <c r="A3" s="1963"/>
      <c r="B3" s="1963"/>
      <c r="C3" s="1967"/>
      <c r="D3" s="1963"/>
      <c r="E3" s="1965"/>
    </row>
    <row r="4" spans="1:5" ht="20.25" x14ac:dyDescent="0.3">
      <c r="A4" s="1963"/>
      <c r="B4" s="1963"/>
      <c r="C4" s="1968" t="s">
        <v>2261</v>
      </c>
      <c r="D4" s="1963"/>
      <c r="E4" s="1965"/>
    </row>
    <row r="5" spans="1:5" ht="20.25" x14ac:dyDescent="0.3">
      <c r="A5" s="1963"/>
      <c r="B5" s="1963"/>
      <c r="C5" s="1968" t="s">
        <v>2262</v>
      </c>
      <c r="D5" s="1963"/>
      <c r="E5" s="1965"/>
    </row>
    <row r="6" spans="1:5" ht="20.25" x14ac:dyDescent="0.3">
      <c r="A6" s="1963"/>
      <c r="B6" s="1963"/>
      <c r="C6" s="1967"/>
      <c r="D6" s="1963"/>
      <c r="E6" s="1965"/>
    </row>
    <row r="7" spans="1:5" ht="20.25" x14ac:dyDescent="0.3">
      <c r="A7" s="1963"/>
      <c r="B7" s="1963"/>
      <c r="C7" s="1964" t="s">
        <v>2263</v>
      </c>
      <c r="D7" s="1963"/>
      <c r="E7" s="1965"/>
    </row>
    <row r="8" spans="1:5" ht="20.25" x14ac:dyDescent="0.3">
      <c r="A8" s="1969"/>
      <c r="B8" s="1969"/>
      <c r="C8" s="1967"/>
      <c r="D8" s="1969"/>
    </row>
    <row r="9" spans="1:5" ht="20.25" x14ac:dyDescent="0.3">
      <c r="A9" s="1969"/>
      <c r="B9" s="1969"/>
      <c r="C9" s="1964" t="s">
        <v>2264</v>
      </c>
      <c r="D9" s="1969"/>
    </row>
    <row r="10" spans="1:5" x14ac:dyDescent="0.3">
      <c r="A10" s="1969"/>
      <c r="B10" s="1969"/>
      <c r="C10" s="1970"/>
      <c r="D10" s="1969"/>
    </row>
  </sheetData>
  <pageMargins left="3" right="1.33" top="3" bottom="6.25" header="0.3" footer="0.3"/>
  <pageSetup scale="6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CC"/>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46" t="s">
        <v>405</v>
      </c>
      <c r="J1" s="2047"/>
      <c r="K1" s="2047"/>
      <c r="L1" s="2047"/>
      <c r="M1" s="2047"/>
      <c r="N1" s="2047"/>
      <c r="O1" s="2047"/>
      <c r="P1" s="2047"/>
      <c r="Q1" s="2047"/>
      <c r="R1" s="2047"/>
      <c r="S1" s="2047"/>
    </row>
    <row r="2" spans="1:28" ht="12" customHeight="1" x14ac:dyDescent="0.2">
      <c r="A2" s="47" t="s">
        <v>1993</v>
      </c>
      <c r="D2" s="48"/>
      <c r="I2" s="2048" t="s">
        <v>979</v>
      </c>
      <c r="J2" s="2047"/>
      <c r="K2" s="2047"/>
      <c r="L2" s="2047"/>
      <c r="M2" s="2047"/>
      <c r="N2" s="2047"/>
      <c r="O2" s="2047"/>
      <c r="P2" s="2047"/>
      <c r="Q2" s="2047"/>
      <c r="R2" s="2047"/>
      <c r="S2" s="2047"/>
    </row>
    <row r="3" spans="1:28" ht="12" customHeight="1" x14ac:dyDescent="0.2">
      <c r="A3" s="155" t="s">
        <v>1945</v>
      </c>
      <c r="B3" s="156"/>
      <c r="C3" s="156"/>
      <c r="D3" s="157"/>
      <c r="I3" s="2048" t="s">
        <v>52</v>
      </c>
      <c r="J3" s="2047"/>
      <c r="K3" s="2047"/>
      <c r="L3" s="2047"/>
      <c r="M3" s="2047"/>
      <c r="N3" s="2047"/>
      <c r="O3" s="2047"/>
      <c r="P3" s="2047"/>
      <c r="Q3" s="2047"/>
      <c r="R3" s="2047"/>
      <c r="S3" s="2047"/>
    </row>
    <row r="4" spans="1:28" ht="12" customHeight="1" x14ac:dyDescent="0.2">
      <c r="A4" s="37"/>
      <c r="I4" s="2048" t="s">
        <v>524</v>
      </c>
      <c r="J4" s="2047"/>
      <c r="K4" s="2047"/>
      <c r="L4" s="2047"/>
      <c r="M4" s="2047"/>
      <c r="N4" s="2047"/>
      <c r="O4" s="2047"/>
      <c r="P4" s="2047"/>
      <c r="Q4" s="2047"/>
      <c r="R4" s="2047"/>
      <c r="S4" s="2047"/>
    </row>
    <row r="5" spans="1:28" ht="14.1" customHeight="1" x14ac:dyDescent="0.2">
      <c r="B5" s="104" t="s">
        <v>2064</v>
      </c>
      <c r="C5" s="26" t="s">
        <v>910</v>
      </c>
      <c r="D5" s="84"/>
      <c r="E5" s="84"/>
      <c r="H5" s="38"/>
      <c r="I5" s="2055" t="s">
        <v>680</v>
      </c>
      <c r="J5" s="2000"/>
      <c r="K5" s="2000"/>
      <c r="L5" s="2000"/>
      <c r="M5" s="2000"/>
      <c r="N5" s="2000"/>
      <c r="O5" s="2000"/>
      <c r="P5" s="2000"/>
      <c r="Q5" s="2000"/>
      <c r="R5" s="2000"/>
      <c r="S5" s="2000"/>
    </row>
    <row r="6" spans="1:28" ht="14.1" customHeight="1" x14ac:dyDescent="0.2">
      <c r="B6" s="104"/>
      <c r="C6" s="26" t="s">
        <v>911</v>
      </c>
      <c r="D6" s="84"/>
      <c r="E6" s="84"/>
      <c r="I6" s="2054" t="s">
        <v>883</v>
      </c>
      <c r="J6" s="2000"/>
      <c r="K6" s="2000"/>
      <c r="L6" s="2000"/>
      <c r="M6" s="2000"/>
      <c r="N6" s="2000"/>
      <c r="O6" s="2000"/>
      <c r="P6" s="2000"/>
      <c r="Q6" s="2000"/>
      <c r="R6" s="2000"/>
      <c r="S6" s="2000"/>
    </row>
    <row r="7" spans="1:28" ht="12.2" customHeight="1" x14ac:dyDescent="0.2">
      <c r="I7" s="2049">
        <v>43646</v>
      </c>
      <c r="J7" s="2050"/>
      <c r="K7" s="2050"/>
      <c r="L7" s="2050"/>
      <c r="M7" s="2050"/>
      <c r="N7" s="2050"/>
      <c r="O7" s="2050"/>
      <c r="P7" s="2050"/>
      <c r="Q7" s="2050"/>
      <c r="R7" s="2050"/>
      <c r="S7" s="205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1" t="s">
        <v>674</v>
      </c>
      <c r="J9" s="2052"/>
      <c r="K9" s="2052"/>
      <c r="L9" s="2052"/>
      <c r="M9" s="2052"/>
      <c r="N9" s="2052"/>
      <c r="O9" s="2052"/>
      <c r="P9" s="2052"/>
      <c r="Q9" s="2052"/>
      <c r="R9" s="2052"/>
      <c r="S9" s="2053"/>
      <c r="T9" s="1996" t="s">
        <v>533</v>
      </c>
      <c r="U9" s="1997"/>
      <c r="V9" s="1997"/>
      <c r="W9" s="1997"/>
      <c r="X9" s="1997"/>
      <c r="Y9" s="1997"/>
      <c r="Z9" s="1997"/>
      <c r="AA9" s="1998"/>
    </row>
    <row r="10" spans="1:28" ht="13.5" customHeight="1" x14ac:dyDescent="0.2">
      <c r="A10" s="2005" t="s">
        <v>675</v>
      </c>
      <c r="B10" s="2006"/>
      <c r="C10" s="2006"/>
      <c r="D10" s="2006"/>
      <c r="E10" s="2006"/>
      <c r="F10" s="2006"/>
      <c r="G10" s="2006"/>
      <c r="H10" s="2007"/>
      <c r="I10" s="29"/>
      <c r="J10" s="30"/>
      <c r="K10" s="28"/>
      <c r="R10" s="30"/>
      <c r="S10" s="30"/>
      <c r="T10" s="1999"/>
      <c r="U10" s="2000"/>
      <c r="V10" s="2000"/>
      <c r="W10" s="2000"/>
      <c r="X10" s="2000"/>
      <c r="Y10" s="2000"/>
      <c r="Z10" s="2000"/>
      <c r="AA10" s="2001"/>
    </row>
    <row r="11" spans="1:28" ht="14.25" customHeight="1" x14ac:dyDescent="0.2">
      <c r="A11" s="2008" t="s">
        <v>955</v>
      </c>
      <c r="B11" s="2009"/>
      <c r="C11" s="2009"/>
      <c r="D11" s="2009"/>
      <c r="E11" s="2009"/>
      <c r="F11" s="2009"/>
      <c r="G11" s="2009"/>
      <c r="H11" s="2010"/>
      <c r="I11" s="27"/>
      <c r="J11" s="74"/>
      <c r="K11" s="27"/>
      <c r="O11" s="148" t="s">
        <v>2064</v>
      </c>
      <c r="P11" s="100" t="s">
        <v>201</v>
      </c>
      <c r="Q11" s="30"/>
      <c r="R11" s="28"/>
      <c r="S11" s="27"/>
      <c r="T11" s="2002"/>
      <c r="U11" s="2003"/>
      <c r="V11" s="2003"/>
      <c r="W11" s="2003"/>
      <c r="X11" s="2003"/>
      <c r="Y11" s="2003"/>
      <c r="Z11" s="2003"/>
      <c r="AA11" s="200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51084016026</v>
      </c>
      <c r="B13" s="2017"/>
      <c r="C13" s="2017"/>
      <c r="D13" s="2017"/>
      <c r="E13" s="2017"/>
      <c r="F13" s="2017"/>
      <c r="G13" s="2017"/>
      <c r="H13" s="2018"/>
      <c r="I13" s="31"/>
      <c r="J13" s="30"/>
      <c r="K13" s="28"/>
      <c r="L13" s="30"/>
      <c r="M13" s="30"/>
      <c r="N13" s="30"/>
      <c r="O13" s="30"/>
      <c r="P13" s="30"/>
      <c r="Q13" s="30"/>
      <c r="R13" s="30"/>
      <c r="S13" s="30"/>
      <c r="T13" s="2021" t="s">
        <v>2073</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2065</v>
      </c>
      <c r="B15" s="2019"/>
      <c r="C15" s="2019"/>
      <c r="D15" s="2019"/>
      <c r="E15" s="2019"/>
      <c r="F15" s="2019"/>
      <c r="G15" s="2019"/>
      <c r="H15" s="2020"/>
      <c r="T15" s="1982" t="s">
        <v>2074</v>
      </c>
      <c r="U15" s="1983"/>
      <c r="V15" s="1983"/>
      <c r="W15" s="1983"/>
      <c r="X15" s="1983"/>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2265</v>
      </c>
      <c r="B17" s="2044"/>
      <c r="C17" s="2044"/>
      <c r="D17" s="2044"/>
      <c r="E17" s="2044"/>
      <c r="F17" s="2044"/>
      <c r="G17" s="2044"/>
      <c r="H17" s="2045"/>
      <c r="T17" s="2031" t="s">
        <v>2075</v>
      </c>
      <c r="U17" s="2032"/>
      <c r="V17" s="2032"/>
      <c r="W17" s="2032"/>
      <c r="X17" s="2032"/>
      <c r="Y17" s="2032"/>
      <c r="Z17" s="2032"/>
      <c r="AA17" s="2033"/>
    </row>
    <row r="18" spans="1:27" ht="13.5" customHeight="1" x14ac:dyDescent="0.2">
      <c r="A18" s="85" t="s">
        <v>530</v>
      </c>
      <c r="B18" s="76"/>
      <c r="C18" s="72"/>
      <c r="D18" s="76"/>
      <c r="E18" s="76"/>
      <c r="F18" s="76"/>
      <c r="G18" s="76"/>
      <c r="H18" s="56"/>
      <c r="I18" s="2041" t="s">
        <v>676</v>
      </c>
      <c r="J18" s="2042"/>
      <c r="K18" s="2042"/>
      <c r="L18" s="2042"/>
      <c r="M18" s="2042"/>
      <c r="N18" s="2042"/>
      <c r="O18" s="2042"/>
      <c r="P18" s="2042"/>
      <c r="Q18" s="2042"/>
      <c r="R18" s="2042"/>
      <c r="S18" s="2043"/>
      <c r="T18" s="85" t="s">
        <v>711</v>
      </c>
      <c r="U18" s="51"/>
      <c r="V18" s="72"/>
      <c r="W18" s="50"/>
      <c r="X18" s="85" t="s">
        <v>266</v>
      </c>
      <c r="Y18" s="81"/>
      <c r="Z18" s="159" t="s">
        <v>677</v>
      </c>
      <c r="AA18" s="46"/>
    </row>
    <row r="19" spans="1:27" ht="13.5" customHeight="1" x14ac:dyDescent="0.2">
      <c r="A19" s="2014" t="s">
        <v>2066</v>
      </c>
      <c r="B19" s="2015"/>
      <c r="C19" s="2015"/>
      <c r="D19" s="2015"/>
      <c r="E19" s="2015"/>
      <c r="F19" s="2015"/>
      <c r="G19" s="2015"/>
      <c r="H19" s="2013"/>
      <c r="I19" s="30"/>
      <c r="J19" s="99"/>
      <c r="K19" s="40"/>
      <c r="L19" s="38"/>
      <c r="M19" s="112" t="s">
        <v>315</v>
      </c>
      <c r="P19" s="27"/>
      <c r="Q19" s="27"/>
      <c r="R19" s="27"/>
      <c r="S19" s="31"/>
      <c r="T19" s="2014" t="s">
        <v>2076</v>
      </c>
      <c r="U19" s="2012"/>
      <c r="V19" s="2012"/>
      <c r="W19" s="2013"/>
      <c r="X19" s="2029" t="s">
        <v>2077</v>
      </c>
      <c r="Y19" s="2030"/>
      <c r="Z19" s="2027">
        <v>62568</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1" t="s">
        <v>2067</v>
      </c>
      <c r="B21" s="2012"/>
      <c r="C21" s="2012"/>
      <c r="D21" s="2012"/>
      <c r="E21" s="2012"/>
      <c r="F21" s="2012"/>
      <c r="G21" s="2012"/>
      <c r="H21" s="2013"/>
      <c r="I21" s="2037" t="s">
        <v>678</v>
      </c>
      <c r="J21" s="2000"/>
      <c r="K21" s="2000"/>
      <c r="L21" s="2000"/>
      <c r="M21" s="2000"/>
      <c r="N21" s="2000"/>
      <c r="O21" s="2000"/>
      <c r="P21" s="2000"/>
      <c r="Q21" s="2000"/>
      <c r="R21" s="2000"/>
      <c r="S21" s="2001"/>
      <c r="T21" s="1979">
        <v>2178249661</v>
      </c>
      <c r="U21" s="1980"/>
      <c r="V21" s="1980"/>
      <c r="W21" s="1980"/>
      <c r="X21" s="1993">
        <v>2178242415</v>
      </c>
      <c r="Y21" s="1994"/>
      <c r="Z21" s="1994"/>
      <c r="AA21" s="1995"/>
    </row>
    <row r="22" spans="1:27" ht="13.5" customHeight="1" x14ac:dyDescent="0.2">
      <c r="A22" s="87" t="s">
        <v>531</v>
      </c>
      <c r="B22" s="59"/>
      <c r="C22" s="59"/>
      <c r="D22" s="59"/>
      <c r="E22" s="59"/>
      <c r="F22" s="59"/>
      <c r="G22" s="59"/>
      <c r="H22" s="60"/>
      <c r="I22" s="2038" t="s">
        <v>1429</v>
      </c>
      <c r="J22" s="2039"/>
      <c r="K22" s="2039"/>
      <c r="L22" s="2039"/>
      <c r="M22" s="2039"/>
      <c r="N22" s="2039"/>
      <c r="O22" s="2039"/>
      <c r="P22" s="2039"/>
      <c r="Q22" s="2039"/>
      <c r="R22" s="2039"/>
      <c r="S22" s="2040"/>
      <c r="T22" s="85" t="s">
        <v>1516</v>
      </c>
      <c r="U22" s="51"/>
      <c r="V22" s="72"/>
      <c r="W22" s="51"/>
      <c r="X22" s="160" t="s">
        <v>1318</v>
      </c>
      <c r="Z22" s="45"/>
      <c r="AA22" s="46"/>
    </row>
    <row r="23" spans="1:27" ht="13.5" customHeight="1" x14ac:dyDescent="0.2">
      <c r="A23" s="2034" t="s">
        <v>2068</v>
      </c>
      <c r="B23" s="2035"/>
      <c r="C23" s="2035"/>
      <c r="D23" s="2035"/>
      <c r="E23" s="2035"/>
      <c r="F23" s="2035"/>
      <c r="G23" s="2035"/>
      <c r="H23" s="2036"/>
      <c r="T23" s="1974" t="s">
        <v>2078</v>
      </c>
      <c r="U23" s="1975"/>
      <c r="V23" s="1975"/>
      <c r="W23" s="1975"/>
      <c r="X23" s="1990">
        <v>44530</v>
      </c>
      <c r="Y23" s="1991"/>
      <c r="Z23" s="1991"/>
      <c r="AA23" s="1992"/>
    </row>
    <row r="24" spans="1:27" ht="14.1" customHeight="1" x14ac:dyDescent="0.2">
      <c r="A24" s="88" t="s">
        <v>677</v>
      </c>
      <c r="B24" s="49"/>
      <c r="C24" s="49"/>
      <c r="D24" s="49"/>
      <c r="E24" s="49"/>
      <c r="F24" s="49"/>
      <c r="G24" s="49"/>
      <c r="H24" s="61"/>
      <c r="J24" s="2076">
        <f>IF(B5="x",IF(AUDITCHECK!D29="AFR form Incomplete.","",IF(AUDITCHECK!D29="Deficit reduction plan is required.","School District must complete a deficit reduction plan in the 2019-2020 Budget",)),"")</f>
        <v>0</v>
      </c>
      <c r="K24" s="2076"/>
      <c r="L24" s="2076"/>
      <c r="M24" s="2076"/>
      <c r="N24" s="2076"/>
      <c r="O24" s="2076"/>
      <c r="P24" s="2076"/>
      <c r="Q24" s="2076"/>
      <c r="R24" s="2076"/>
      <c r="S24" s="2077"/>
      <c r="T24" s="105" t="s">
        <v>531</v>
      </c>
      <c r="U24" s="106"/>
      <c r="V24" s="106"/>
      <c r="W24" s="106"/>
      <c r="X24" s="107"/>
      <c r="Y24" s="107"/>
      <c r="Z24" s="107"/>
      <c r="AA24" s="108"/>
    </row>
    <row r="25" spans="1:27" ht="14.1" customHeight="1" x14ac:dyDescent="0.2">
      <c r="A25" s="2011">
        <v>62670</v>
      </c>
      <c r="B25" s="2012"/>
      <c r="C25" s="2012"/>
      <c r="D25" s="2012"/>
      <c r="E25" s="2012"/>
      <c r="F25" s="2012"/>
      <c r="G25" s="2012"/>
      <c r="H25" s="2013"/>
      <c r="I25" s="113"/>
      <c r="J25" s="2078"/>
      <c r="K25" s="2078"/>
      <c r="L25" s="2078"/>
      <c r="M25" s="2078"/>
      <c r="N25" s="2078"/>
      <c r="O25" s="2078"/>
      <c r="P25" s="2078"/>
      <c r="Q25" s="2078"/>
      <c r="R25" s="2078"/>
      <c r="S25" s="2079"/>
      <c r="T25" s="1971" t="s">
        <v>2079</v>
      </c>
      <c r="U25" s="1972"/>
      <c r="V25" s="1972"/>
      <c r="W25" s="1972"/>
      <c r="X25" s="1972"/>
      <c r="Y25" s="1972"/>
      <c r="Z25" s="1972"/>
      <c r="AA25" s="197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69" t="s">
        <v>1511</v>
      </c>
      <c r="J27" s="2042"/>
      <c r="K27" s="2042"/>
      <c r="L27" s="2042"/>
      <c r="M27" s="2042"/>
      <c r="N27" s="2042"/>
      <c r="O27" s="2042"/>
      <c r="P27" s="2042"/>
      <c r="Q27" s="2042"/>
      <c r="R27" s="2042"/>
      <c r="S27" s="204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15"/>
      <c r="Q35" s="2012"/>
      <c r="R35" s="201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2069</v>
      </c>
      <c r="B38" s="2044"/>
      <c r="C38" s="2044"/>
      <c r="D38" s="2044"/>
      <c r="E38" s="2044"/>
      <c r="F38" s="2012"/>
      <c r="G38" s="2012"/>
      <c r="H38" s="2013"/>
      <c r="I38" s="2063"/>
      <c r="J38" s="1983"/>
      <c r="K38" s="1983"/>
      <c r="L38" s="1983"/>
      <c r="M38" s="1983"/>
      <c r="N38" s="1983"/>
      <c r="O38" s="1983"/>
      <c r="P38" s="1984"/>
      <c r="Q38" s="1984"/>
      <c r="R38" s="1984"/>
      <c r="S38" s="1985"/>
      <c r="T38" s="1982"/>
      <c r="U38" s="1983"/>
      <c r="V38" s="1983"/>
      <c r="W38" s="1983"/>
      <c r="X38" s="1984"/>
      <c r="Y38" s="1984"/>
      <c r="Z38" s="1984"/>
      <c r="AA38" s="1985"/>
    </row>
    <row r="39" spans="1:27" ht="12" customHeight="1" x14ac:dyDescent="0.2">
      <c r="A39" s="2067" t="s">
        <v>531</v>
      </c>
      <c r="B39" s="2068"/>
      <c r="C39" s="72"/>
      <c r="D39" s="69"/>
      <c r="E39" s="69"/>
      <c r="F39" s="79"/>
      <c r="G39" s="69"/>
      <c r="H39" s="56"/>
      <c r="I39" s="2067" t="s">
        <v>531</v>
      </c>
      <c r="J39" s="2068"/>
      <c r="K39" s="2068"/>
      <c r="L39" s="2068"/>
      <c r="M39" s="2068"/>
      <c r="N39" s="67"/>
      <c r="O39" s="72"/>
      <c r="P39" s="72"/>
      <c r="Q39" s="78"/>
      <c r="R39" s="72"/>
      <c r="S39" s="56"/>
      <c r="T39" s="72" t="s">
        <v>531</v>
      </c>
      <c r="U39" s="51"/>
      <c r="V39" s="72"/>
      <c r="W39" s="50"/>
      <c r="X39" s="78"/>
      <c r="Y39" s="45"/>
      <c r="Z39" s="45"/>
      <c r="AA39" s="46"/>
    </row>
    <row r="40" spans="1:27" ht="13.5" customHeight="1" x14ac:dyDescent="0.2">
      <c r="A40" s="2070" t="s">
        <v>2070</v>
      </c>
      <c r="B40" s="2071"/>
      <c r="C40" s="2072"/>
      <c r="D40" s="2072"/>
      <c r="E40" s="2072"/>
      <c r="F40" s="2073"/>
      <c r="G40" s="2073"/>
      <c r="H40" s="2074"/>
      <c r="I40" s="1986"/>
      <c r="J40" s="1988"/>
      <c r="K40" s="1988"/>
      <c r="L40" s="1988"/>
      <c r="M40" s="1988"/>
      <c r="N40" s="1988"/>
      <c r="O40" s="1988"/>
      <c r="P40" s="1988"/>
      <c r="Q40" s="1988"/>
      <c r="R40" s="1988"/>
      <c r="S40" s="1989"/>
      <c r="T40" s="1986"/>
      <c r="U40" s="1987"/>
      <c r="V40" s="1988"/>
      <c r="W40" s="1988"/>
      <c r="X40" s="1988"/>
      <c r="Y40" s="1988"/>
      <c r="Z40" s="1988"/>
      <c r="AA40" s="198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60" t="s">
        <v>2071</v>
      </c>
      <c r="B42" s="2061"/>
      <c r="C42" s="2062"/>
      <c r="D42" s="2075" t="s">
        <v>2072</v>
      </c>
      <c r="E42" s="2061"/>
      <c r="F42" s="2061"/>
      <c r="G42" s="2061"/>
      <c r="H42" s="2062"/>
      <c r="I42" s="1981"/>
      <c r="J42" s="1977"/>
      <c r="K42" s="1977"/>
      <c r="L42" s="1977"/>
      <c r="M42" s="1977"/>
      <c r="N42" s="1977"/>
      <c r="O42" s="1978"/>
      <c r="P42" s="1976"/>
      <c r="Q42" s="1977"/>
      <c r="R42" s="1977"/>
      <c r="S42" s="1978"/>
      <c r="T42" s="1981"/>
      <c r="U42" s="1977"/>
      <c r="V42" s="1977"/>
      <c r="W42" s="1978"/>
      <c r="X42" s="1976"/>
      <c r="Y42" s="1977"/>
      <c r="Z42" s="1977"/>
      <c r="AA42" s="197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64"/>
      <c r="B44" s="2065"/>
      <c r="C44" s="2065"/>
      <c r="D44" s="2065"/>
      <c r="E44" s="2065"/>
      <c r="F44" s="2065"/>
      <c r="G44" s="2065"/>
      <c r="H44" s="2066"/>
      <c r="I44" s="2056"/>
      <c r="J44" s="2058"/>
      <c r="K44" s="2058"/>
      <c r="L44" s="2058"/>
      <c r="M44" s="2058"/>
      <c r="N44" s="2058"/>
      <c r="O44" s="2058"/>
      <c r="P44" s="2058"/>
      <c r="Q44" s="2058"/>
      <c r="R44" s="2058"/>
      <c r="S44" s="2059"/>
      <c r="T44" s="2056"/>
      <c r="U44" s="2057"/>
      <c r="V44" s="2057"/>
      <c r="W44" s="2057"/>
      <c r="X44" s="2057"/>
      <c r="Y44" s="2057"/>
      <c r="Z44" s="2058"/>
      <c r="AA44" s="205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AE91-7478-43F6-A5B2-4EDF51387416}">
  <dimension ref="B1:D89"/>
  <sheetViews>
    <sheetView zoomScaleNormal="100" workbookViewId="0">
      <selection activeCell="B51" sqref="B51:D51"/>
    </sheetView>
  </sheetViews>
  <sheetFormatPr defaultColWidth="9.140625" defaultRowHeight="15" x14ac:dyDescent="0.25"/>
  <cols>
    <col min="1" max="1" width="5.5703125" style="1957" customWidth="1"/>
    <col min="2" max="2" width="9.140625" style="1957"/>
    <col min="3" max="3" width="70.85546875" style="1957" customWidth="1"/>
    <col min="4" max="4" width="9.140625" style="1962"/>
    <col min="5" max="256" width="9.140625" style="1957"/>
    <col min="257" max="257" width="5.5703125" style="1957" customWidth="1"/>
    <col min="258" max="258" width="9.140625" style="1957"/>
    <col min="259" max="259" width="70.85546875" style="1957" customWidth="1"/>
    <col min="260" max="512" width="9.140625" style="1957"/>
    <col min="513" max="513" width="5.5703125" style="1957" customWidth="1"/>
    <col min="514" max="514" width="9.140625" style="1957"/>
    <col min="515" max="515" width="70.85546875" style="1957" customWidth="1"/>
    <col min="516" max="768" width="9.140625" style="1957"/>
    <col min="769" max="769" width="5.5703125" style="1957" customWidth="1"/>
    <col min="770" max="770" width="9.140625" style="1957"/>
    <col min="771" max="771" width="70.85546875" style="1957" customWidth="1"/>
    <col min="772" max="1024" width="9.140625" style="1957"/>
    <col min="1025" max="1025" width="5.5703125" style="1957" customWidth="1"/>
    <col min="1026" max="1026" width="9.140625" style="1957"/>
    <col min="1027" max="1027" width="70.85546875" style="1957" customWidth="1"/>
    <col min="1028" max="1280" width="9.140625" style="1957"/>
    <col min="1281" max="1281" width="5.5703125" style="1957" customWidth="1"/>
    <col min="1282" max="1282" width="9.140625" style="1957"/>
    <col min="1283" max="1283" width="70.85546875" style="1957" customWidth="1"/>
    <col min="1284" max="1536" width="9.140625" style="1957"/>
    <col min="1537" max="1537" width="5.5703125" style="1957" customWidth="1"/>
    <col min="1538" max="1538" width="9.140625" style="1957"/>
    <col min="1539" max="1539" width="70.85546875" style="1957" customWidth="1"/>
    <col min="1540" max="1792" width="9.140625" style="1957"/>
    <col min="1793" max="1793" width="5.5703125" style="1957" customWidth="1"/>
    <col min="1794" max="1794" width="9.140625" style="1957"/>
    <col min="1795" max="1795" width="70.85546875" style="1957" customWidth="1"/>
    <col min="1796" max="2048" width="9.140625" style="1957"/>
    <col min="2049" max="2049" width="5.5703125" style="1957" customWidth="1"/>
    <col min="2050" max="2050" width="9.140625" style="1957"/>
    <col min="2051" max="2051" width="70.85546875" style="1957" customWidth="1"/>
    <col min="2052" max="2304" width="9.140625" style="1957"/>
    <col min="2305" max="2305" width="5.5703125" style="1957" customWidth="1"/>
    <col min="2306" max="2306" width="9.140625" style="1957"/>
    <col min="2307" max="2307" width="70.85546875" style="1957" customWidth="1"/>
    <col min="2308" max="2560" width="9.140625" style="1957"/>
    <col min="2561" max="2561" width="5.5703125" style="1957" customWidth="1"/>
    <col min="2562" max="2562" width="9.140625" style="1957"/>
    <col min="2563" max="2563" width="70.85546875" style="1957" customWidth="1"/>
    <col min="2564" max="2816" width="9.140625" style="1957"/>
    <col min="2817" max="2817" width="5.5703125" style="1957" customWidth="1"/>
    <col min="2818" max="2818" width="9.140625" style="1957"/>
    <col min="2819" max="2819" width="70.85546875" style="1957" customWidth="1"/>
    <col min="2820" max="3072" width="9.140625" style="1957"/>
    <col min="3073" max="3073" width="5.5703125" style="1957" customWidth="1"/>
    <col min="3074" max="3074" width="9.140625" style="1957"/>
    <col min="3075" max="3075" width="70.85546875" style="1957" customWidth="1"/>
    <col min="3076" max="3328" width="9.140625" style="1957"/>
    <col min="3329" max="3329" width="5.5703125" style="1957" customWidth="1"/>
    <col min="3330" max="3330" width="9.140625" style="1957"/>
    <col min="3331" max="3331" width="70.85546875" style="1957" customWidth="1"/>
    <col min="3332" max="3584" width="9.140625" style="1957"/>
    <col min="3585" max="3585" width="5.5703125" style="1957" customWidth="1"/>
    <col min="3586" max="3586" width="9.140625" style="1957"/>
    <col min="3587" max="3587" width="70.85546875" style="1957" customWidth="1"/>
    <col min="3588" max="3840" width="9.140625" style="1957"/>
    <col min="3841" max="3841" width="5.5703125" style="1957" customWidth="1"/>
    <col min="3842" max="3842" width="9.140625" style="1957"/>
    <col min="3843" max="3843" width="70.85546875" style="1957" customWidth="1"/>
    <col min="3844" max="4096" width="9.140625" style="1957"/>
    <col min="4097" max="4097" width="5.5703125" style="1957" customWidth="1"/>
    <col min="4098" max="4098" width="9.140625" style="1957"/>
    <col min="4099" max="4099" width="70.85546875" style="1957" customWidth="1"/>
    <col min="4100" max="4352" width="9.140625" style="1957"/>
    <col min="4353" max="4353" width="5.5703125" style="1957" customWidth="1"/>
    <col min="4354" max="4354" width="9.140625" style="1957"/>
    <col min="4355" max="4355" width="70.85546875" style="1957" customWidth="1"/>
    <col min="4356" max="4608" width="9.140625" style="1957"/>
    <col min="4609" max="4609" width="5.5703125" style="1957" customWidth="1"/>
    <col min="4610" max="4610" width="9.140625" style="1957"/>
    <col min="4611" max="4611" width="70.85546875" style="1957" customWidth="1"/>
    <col min="4612" max="4864" width="9.140625" style="1957"/>
    <col min="4865" max="4865" width="5.5703125" style="1957" customWidth="1"/>
    <col min="4866" max="4866" width="9.140625" style="1957"/>
    <col min="4867" max="4867" width="70.85546875" style="1957" customWidth="1"/>
    <col min="4868" max="5120" width="9.140625" style="1957"/>
    <col min="5121" max="5121" width="5.5703125" style="1957" customWidth="1"/>
    <col min="5122" max="5122" width="9.140625" style="1957"/>
    <col min="5123" max="5123" width="70.85546875" style="1957" customWidth="1"/>
    <col min="5124" max="5376" width="9.140625" style="1957"/>
    <col min="5377" max="5377" width="5.5703125" style="1957" customWidth="1"/>
    <col min="5378" max="5378" width="9.140625" style="1957"/>
    <col min="5379" max="5379" width="70.85546875" style="1957" customWidth="1"/>
    <col min="5380" max="5632" width="9.140625" style="1957"/>
    <col min="5633" max="5633" width="5.5703125" style="1957" customWidth="1"/>
    <col min="5634" max="5634" width="9.140625" style="1957"/>
    <col min="5635" max="5635" width="70.85546875" style="1957" customWidth="1"/>
    <col min="5636" max="5888" width="9.140625" style="1957"/>
    <col min="5889" max="5889" width="5.5703125" style="1957" customWidth="1"/>
    <col min="5890" max="5890" width="9.140625" style="1957"/>
    <col min="5891" max="5891" width="70.85546875" style="1957" customWidth="1"/>
    <col min="5892" max="6144" width="9.140625" style="1957"/>
    <col min="6145" max="6145" width="5.5703125" style="1957" customWidth="1"/>
    <col min="6146" max="6146" width="9.140625" style="1957"/>
    <col min="6147" max="6147" width="70.85546875" style="1957" customWidth="1"/>
    <col min="6148" max="6400" width="9.140625" style="1957"/>
    <col min="6401" max="6401" width="5.5703125" style="1957" customWidth="1"/>
    <col min="6402" max="6402" width="9.140625" style="1957"/>
    <col min="6403" max="6403" width="70.85546875" style="1957" customWidth="1"/>
    <col min="6404" max="6656" width="9.140625" style="1957"/>
    <col min="6657" max="6657" width="5.5703125" style="1957" customWidth="1"/>
    <col min="6658" max="6658" width="9.140625" style="1957"/>
    <col min="6659" max="6659" width="70.85546875" style="1957" customWidth="1"/>
    <col min="6660" max="6912" width="9.140625" style="1957"/>
    <col min="6913" max="6913" width="5.5703125" style="1957" customWidth="1"/>
    <col min="6914" max="6914" width="9.140625" style="1957"/>
    <col min="6915" max="6915" width="70.85546875" style="1957" customWidth="1"/>
    <col min="6916" max="7168" width="9.140625" style="1957"/>
    <col min="7169" max="7169" width="5.5703125" style="1957" customWidth="1"/>
    <col min="7170" max="7170" width="9.140625" style="1957"/>
    <col min="7171" max="7171" width="70.85546875" style="1957" customWidth="1"/>
    <col min="7172" max="7424" width="9.140625" style="1957"/>
    <col min="7425" max="7425" width="5.5703125" style="1957" customWidth="1"/>
    <col min="7426" max="7426" width="9.140625" style="1957"/>
    <col min="7427" max="7427" width="70.85546875" style="1957" customWidth="1"/>
    <col min="7428" max="7680" width="9.140625" style="1957"/>
    <col min="7681" max="7681" width="5.5703125" style="1957" customWidth="1"/>
    <col min="7682" max="7682" width="9.140625" style="1957"/>
    <col min="7683" max="7683" width="70.85546875" style="1957" customWidth="1"/>
    <col min="7684" max="7936" width="9.140625" style="1957"/>
    <col min="7937" max="7937" width="5.5703125" style="1957" customWidth="1"/>
    <col min="7938" max="7938" width="9.140625" style="1957"/>
    <col min="7939" max="7939" width="70.85546875" style="1957" customWidth="1"/>
    <col min="7940" max="8192" width="9.140625" style="1957"/>
    <col min="8193" max="8193" width="5.5703125" style="1957" customWidth="1"/>
    <col min="8194" max="8194" width="9.140625" style="1957"/>
    <col min="8195" max="8195" width="70.85546875" style="1957" customWidth="1"/>
    <col min="8196" max="8448" width="9.140625" style="1957"/>
    <col min="8449" max="8449" width="5.5703125" style="1957" customWidth="1"/>
    <col min="8450" max="8450" width="9.140625" style="1957"/>
    <col min="8451" max="8451" width="70.85546875" style="1957" customWidth="1"/>
    <col min="8452" max="8704" width="9.140625" style="1957"/>
    <col min="8705" max="8705" width="5.5703125" style="1957" customWidth="1"/>
    <col min="8706" max="8706" width="9.140625" style="1957"/>
    <col min="8707" max="8707" width="70.85546875" style="1957" customWidth="1"/>
    <col min="8708" max="8960" width="9.140625" style="1957"/>
    <col min="8961" max="8961" width="5.5703125" style="1957" customWidth="1"/>
    <col min="8962" max="8962" width="9.140625" style="1957"/>
    <col min="8963" max="8963" width="70.85546875" style="1957" customWidth="1"/>
    <col min="8964" max="9216" width="9.140625" style="1957"/>
    <col min="9217" max="9217" width="5.5703125" style="1957" customWidth="1"/>
    <col min="9218" max="9218" width="9.140625" style="1957"/>
    <col min="9219" max="9219" width="70.85546875" style="1957" customWidth="1"/>
    <col min="9220" max="9472" width="9.140625" style="1957"/>
    <col min="9473" max="9473" width="5.5703125" style="1957" customWidth="1"/>
    <col min="9474" max="9474" width="9.140625" style="1957"/>
    <col min="9475" max="9475" width="70.85546875" style="1957" customWidth="1"/>
    <col min="9476" max="9728" width="9.140625" style="1957"/>
    <col min="9729" max="9729" width="5.5703125" style="1957" customWidth="1"/>
    <col min="9730" max="9730" width="9.140625" style="1957"/>
    <col min="9731" max="9731" width="70.85546875" style="1957" customWidth="1"/>
    <col min="9732" max="9984" width="9.140625" style="1957"/>
    <col min="9985" max="9985" width="5.5703125" style="1957" customWidth="1"/>
    <col min="9986" max="9986" width="9.140625" style="1957"/>
    <col min="9987" max="9987" width="70.85546875" style="1957" customWidth="1"/>
    <col min="9988" max="10240" width="9.140625" style="1957"/>
    <col min="10241" max="10241" width="5.5703125" style="1957" customWidth="1"/>
    <col min="10242" max="10242" width="9.140625" style="1957"/>
    <col min="10243" max="10243" width="70.85546875" style="1957" customWidth="1"/>
    <col min="10244" max="10496" width="9.140625" style="1957"/>
    <col min="10497" max="10497" width="5.5703125" style="1957" customWidth="1"/>
    <col min="10498" max="10498" width="9.140625" style="1957"/>
    <col min="10499" max="10499" width="70.85546875" style="1957" customWidth="1"/>
    <col min="10500" max="10752" width="9.140625" style="1957"/>
    <col min="10753" max="10753" width="5.5703125" style="1957" customWidth="1"/>
    <col min="10754" max="10754" width="9.140625" style="1957"/>
    <col min="10755" max="10755" width="70.85546875" style="1957" customWidth="1"/>
    <col min="10756" max="11008" width="9.140625" style="1957"/>
    <col min="11009" max="11009" width="5.5703125" style="1957" customWidth="1"/>
    <col min="11010" max="11010" width="9.140625" style="1957"/>
    <col min="11011" max="11011" width="70.85546875" style="1957" customWidth="1"/>
    <col min="11012" max="11264" width="9.140625" style="1957"/>
    <col min="11265" max="11265" width="5.5703125" style="1957" customWidth="1"/>
    <col min="11266" max="11266" width="9.140625" style="1957"/>
    <col min="11267" max="11267" width="70.85546875" style="1957" customWidth="1"/>
    <col min="11268" max="11520" width="9.140625" style="1957"/>
    <col min="11521" max="11521" width="5.5703125" style="1957" customWidth="1"/>
    <col min="11522" max="11522" width="9.140625" style="1957"/>
    <col min="11523" max="11523" width="70.85546875" style="1957" customWidth="1"/>
    <col min="11524" max="11776" width="9.140625" style="1957"/>
    <col min="11777" max="11777" width="5.5703125" style="1957" customWidth="1"/>
    <col min="11778" max="11778" width="9.140625" style="1957"/>
    <col min="11779" max="11779" width="70.85546875" style="1957" customWidth="1"/>
    <col min="11780" max="12032" width="9.140625" style="1957"/>
    <col min="12033" max="12033" width="5.5703125" style="1957" customWidth="1"/>
    <col min="12034" max="12034" width="9.140625" style="1957"/>
    <col min="12035" max="12035" width="70.85546875" style="1957" customWidth="1"/>
    <col min="12036" max="12288" width="9.140625" style="1957"/>
    <col min="12289" max="12289" width="5.5703125" style="1957" customWidth="1"/>
    <col min="12290" max="12290" width="9.140625" style="1957"/>
    <col min="12291" max="12291" width="70.85546875" style="1957" customWidth="1"/>
    <col min="12292" max="12544" width="9.140625" style="1957"/>
    <col min="12545" max="12545" width="5.5703125" style="1957" customWidth="1"/>
    <col min="12546" max="12546" width="9.140625" style="1957"/>
    <col min="12547" max="12547" width="70.85546875" style="1957" customWidth="1"/>
    <col min="12548" max="12800" width="9.140625" style="1957"/>
    <col min="12801" max="12801" width="5.5703125" style="1957" customWidth="1"/>
    <col min="12802" max="12802" width="9.140625" style="1957"/>
    <col min="12803" max="12803" width="70.85546875" style="1957" customWidth="1"/>
    <col min="12804" max="13056" width="9.140625" style="1957"/>
    <col min="13057" max="13057" width="5.5703125" style="1957" customWidth="1"/>
    <col min="13058" max="13058" width="9.140625" style="1957"/>
    <col min="13059" max="13059" width="70.85546875" style="1957" customWidth="1"/>
    <col min="13060" max="13312" width="9.140625" style="1957"/>
    <col min="13313" max="13313" width="5.5703125" style="1957" customWidth="1"/>
    <col min="13314" max="13314" width="9.140625" style="1957"/>
    <col min="13315" max="13315" width="70.85546875" style="1957" customWidth="1"/>
    <col min="13316" max="13568" width="9.140625" style="1957"/>
    <col min="13569" max="13569" width="5.5703125" style="1957" customWidth="1"/>
    <col min="13570" max="13570" width="9.140625" style="1957"/>
    <col min="13571" max="13571" width="70.85546875" style="1957" customWidth="1"/>
    <col min="13572" max="13824" width="9.140625" style="1957"/>
    <col min="13825" max="13825" width="5.5703125" style="1957" customWidth="1"/>
    <col min="13826" max="13826" width="9.140625" style="1957"/>
    <col min="13827" max="13827" width="70.85546875" style="1957" customWidth="1"/>
    <col min="13828" max="14080" width="9.140625" style="1957"/>
    <col min="14081" max="14081" width="5.5703125" style="1957" customWidth="1"/>
    <col min="14082" max="14082" width="9.140625" style="1957"/>
    <col min="14083" max="14083" width="70.85546875" style="1957" customWidth="1"/>
    <col min="14084" max="14336" width="9.140625" style="1957"/>
    <col min="14337" max="14337" width="5.5703125" style="1957" customWidth="1"/>
    <col min="14338" max="14338" width="9.140625" style="1957"/>
    <col min="14339" max="14339" width="70.85546875" style="1957" customWidth="1"/>
    <col min="14340" max="14592" width="9.140625" style="1957"/>
    <col min="14593" max="14593" width="5.5703125" style="1957" customWidth="1"/>
    <col min="14594" max="14594" width="9.140625" style="1957"/>
    <col min="14595" max="14595" width="70.85546875" style="1957" customWidth="1"/>
    <col min="14596" max="14848" width="9.140625" style="1957"/>
    <col min="14849" max="14849" width="5.5703125" style="1957" customWidth="1"/>
    <col min="14850" max="14850" width="9.140625" style="1957"/>
    <col min="14851" max="14851" width="70.85546875" style="1957" customWidth="1"/>
    <col min="14852" max="15104" width="9.140625" style="1957"/>
    <col min="15105" max="15105" width="5.5703125" style="1957" customWidth="1"/>
    <col min="15106" max="15106" width="9.140625" style="1957"/>
    <col min="15107" max="15107" width="70.85546875" style="1957" customWidth="1"/>
    <col min="15108" max="15360" width="9.140625" style="1957"/>
    <col min="15361" max="15361" width="5.5703125" style="1957" customWidth="1"/>
    <col min="15362" max="15362" width="9.140625" style="1957"/>
    <col min="15363" max="15363" width="70.85546875" style="1957" customWidth="1"/>
    <col min="15364" max="15616" width="9.140625" style="1957"/>
    <col min="15617" max="15617" width="5.5703125" style="1957" customWidth="1"/>
    <col min="15618" max="15618" width="9.140625" style="1957"/>
    <col min="15619" max="15619" width="70.85546875" style="1957" customWidth="1"/>
    <col min="15620" max="15872" width="9.140625" style="1957"/>
    <col min="15873" max="15873" width="5.5703125" style="1957" customWidth="1"/>
    <col min="15874" max="15874" width="9.140625" style="1957"/>
    <col min="15875" max="15875" width="70.85546875" style="1957" customWidth="1"/>
    <col min="15876" max="16128" width="9.140625" style="1957"/>
    <col min="16129" max="16129" width="5.5703125" style="1957" customWidth="1"/>
    <col min="16130" max="16130" width="9.140625" style="1957"/>
    <col min="16131" max="16131" width="70.85546875" style="1957" customWidth="1"/>
    <col min="16132" max="16384" width="9.140625" style="1957"/>
  </cols>
  <sheetData>
    <row r="1" spans="2:4" x14ac:dyDescent="0.25">
      <c r="B1" s="2081" t="s">
        <v>2095</v>
      </c>
      <c r="C1" s="2081"/>
      <c r="D1" s="2081"/>
    </row>
    <row r="2" spans="2:4" x14ac:dyDescent="0.25">
      <c r="B2" s="2081" t="s">
        <v>1066</v>
      </c>
      <c r="C2" s="2081"/>
      <c r="D2" s="2081"/>
    </row>
    <row r="3" spans="2:4" x14ac:dyDescent="0.25">
      <c r="B3" s="2080" t="s">
        <v>2258</v>
      </c>
      <c r="C3" s="2080"/>
      <c r="D3" s="2080"/>
    </row>
    <row r="7" spans="2:4" x14ac:dyDescent="0.25">
      <c r="D7" s="1958" t="s">
        <v>2192</v>
      </c>
    </row>
    <row r="9" spans="2:4" x14ac:dyDescent="0.25">
      <c r="B9" s="1957" t="s">
        <v>2193</v>
      </c>
      <c r="D9" s="1959" t="s">
        <v>2194</v>
      </c>
    </row>
    <row r="10" spans="2:4" x14ac:dyDescent="0.25">
      <c r="D10" s="1959"/>
    </row>
    <row r="11" spans="2:4" x14ac:dyDescent="0.25">
      <c r="B11" s="1957" t="s">
        <v>2195</v>
      </c>
      <c r="D11" s="1959"/>
    </row>
    <row r="12" spans="2:4" x14ac:dyDescent="0.25">
      <c r="B12" s="1957" t="s">
        <v>2196</v>
      </c>
      <c r="D12" s="1959"/>
    </row>
    <row r="13" spans="2:4" x14ac:dyDescent="0.25">
      <c r="B13" s="1957" t="s">
        <v>2197</v>
      </c>
      <c r="D13" s="1959" t="s">
        <v>2198</v>
      </c>
    </row>
    <row r="14" spans="2:4" x14ac:dyDescent="0.25">
      <c r="D14" s="1959"/>
    </row>
    <row r="15" spans="2:4" x14ac:dyDescent="0.25">
      <c r="B15" s="1960" t="s">
        <v>2199</v>
      </c>
      <c r="D15" s="1959"/>
    </row>
    <row r="16" spans="2:4" x14ac:dyDescent="0.25">
      <c r="D16" s="1959"/>
    </row>
    <row r="17" spans="2:4" x14ac:dyDescent="0.25">
      <c r="B17" s="1957" t="s">
        <v>2200</v>
      </c>
      <c r="D17" s="1959"/>
    </row>
    <row r="18" spans="2:4" x14ac:dyDescent="0.25">
      <c r="B18" s="1957" t="s">
        <v>2201</v>
      </c>
      <c r="D18" s="1959" t="s">
        <v>2202</v>
      </c>
    </row>
    <row r="19" spans="2:4" x14ac:dyDescent="0.25">
      <c r="D19" s="1959"/>
    </row>
    <row r="20" spans="2:4" x14ac:dyDescent="0.25">
      <c r="B20" s="1957" t="s">
        <v>2203</v>
      </c>
      <c r="D20" s="1959"/>
    </row>
    <row r="21" spans="2:4" x14ac:dyDescent="0.25">
      <c r="B21" s="1957" t="s">
        <v>2204</v>
      </c>
      <c r="D21" s="1959" t="s">
        <v>2205</v>
      </c>
    </row>
    <row r="22" spans="2:4" x14ac:dyDescent="0.25">
      <c r="D22" s="1959"/>
    </row>
    <row r="23" spans="2:4" x14ac:dyDescent="0.25">
      <c r="B23" s="1957" t="s">
        <v>2206</v>
      </c>
      <c r="D23" s="1959" t="s">
        <v>2207</v>
      </c>
    </row>
    <row r="24" spans="2:4" x14ac:dyDescent="0.25">
      <c r="D24" s="1959"/>
    </row>
    <row r="25" spans="2:4" x14ac:dyDescent="0.25">
      <c r="B25" s="1957" t="s">
        <v>2208</v>
      </c>
      <c r="D25" s="1959" t="s">
        <v>2209</v>
      </c>
    </row>
    <row r="26" spans="2:4" x14ac:dyDescent="0.25">
      <c r="D26" s="1959"/>
    </row>
    <row r="27" spans="2:4" x14ac:dyDescent="0.25">
      <c r="B27" s="1957" t="s">
        <v>2210</v>
      </c>
      <c r="D27" s="1959" t="s">
        <v>2211</v>
      </c>
    </row>
    <row r="28" spans="2:4" x14ac:dyDescent="0.25">
      <c r="D28" s="1959"/>
    </row>
    <row r="29" spans="2:4" hidden="1" x14ac:dyDescent="0.25">
      <c r="B29" s="1960" t="s">
        <v>2212</v>
      </c>
      <c r="D29" s="1959"/>
    </row>
    <row r="30" spans="2:4" hidden="1" x14ac:dyDescent="0.25">
      <c r="D30" s="1959"/>
    </row>
    <row r="31" spans="2:4" hidden="1" x14ac:dyDescent="0.25">
      <c r="B31" s="1957" t="s">
        <v>2213</v>
      </c>
      <c r="D31" s="1959" t="s">
        <v>2214</v>
      </c>
    </row>
    <row r="32" spans="2:4" hidden="1" x14ac:dyDescent="0.25">
      <c r="D32" s="1959"/>
    </row>
    <row r="33" spans="2:4" hidden="1" x14ac:dyDescent="0.25">
      <c r="B33" s="1957" t="s">
        <v>2215</v>
      </c>
      <c r="D33" s="1959" t="s">
        <v>2216</v>
      </c>
    </row>
    <row r="34" spans="2:4" hidden="1" x14ac:dyDescent="0.25">
      <c r="D34" s="1959"/>
    </row>
    <row r="35" spans="2:4" hidden="1" x14ac:dyDescent="0.25">
      <c r="B35" s="1957" t="s">
        <v>2217</v>
      </c>
      <c r="D35" s="1959"/>
    </row>
    <row r="36" spans="2:4" hidden="1" x14ac:dyDescent="0.25">
      <c r="B36" s="1957" t="s">
        <v>2218</v>
      </c>
      <c r="D36" s="1959" t="s">
        <v>2219</v>
      </c>
    </row>
    <row r="37" spans="2:4" hidden="1" x14ac:dyDescent="0.25">
      <c r="D37" s="1959"/>
    </row>
    <row r="38" spans="2:4" x14ac:dyDescent="0.25">
      <c r="B38" s="1960" t="s">
        <v>2220</v>
      </c>
      <c r="D38" s="1959"/>
    </row>
    <row r="39" spans="2:4" x14ac:dyDescent="0.25">
      <c r="D39" s="1959"/>
    </row>
    <row r="40" spans="2:4" x14ac:dyDescent="0.25">
      <c r="B40" s="1957" t="s">
        <v>2221</v>
      </c>
      <c r="D40" s="1959" t="s">
        <v>2222</v>
      </c>
    </row>
    <row r="41" spans="2:4" x14ac:dyDescent="0.25">
      <c r="D41" s="1959"/>
    </row>
    <row r="42" spans="2:4" x14ac:dyDescent="0.25">
      <c r="B42" s="1957" t="s">
        <v>2223</v>
      </c>
      <c r="D42" s="1959" t="s">
        <v>2224</v>
      </c>
    </row>
    <row r="43" spans="2:4" x14ac:dyDescent="0.25">
      <c r="D43" s="1959"/>
    </row>
    <row r="44" spans="2:4" x14ac:dyDescent="0.25">
      <c r="B44" s="1957" t="s">
        <v>2225</v>
      </c>
      <c r="D44" s="1959" t="s">
        <v>2226</v>
      </c>
    </row>
    <row r="45" spans="2:4" x14ac:dyDescent="0.25">
      <c r="D45" s="1959"/>
    </row>
    <row r="46" spans="2:4" x14ac:dyDescent="0.25">
      <c r="B46" s="1957" t="s">
        <v>2227</v>
      </c>
      <c r="D46" s="1959" t="s">
        <v>2228</v>
      </c>
    </row>
    <row r="47" spans="2:4" x14ac:dyDescent="0.25">
      <c r="D47" s="1959"/>
    </row>
    <row r="50" spans="2:4" x14ac:dyDescent="0.25">
      <c r="B50" s="2081" t="s">
        <v>2095</v>
      </c>
      <c r="C50" s="2081"/>
      <c r="D50" s="2081"/>
    </row>
    <row r="51" spans="2:4" x14ac:dyDescent="0.25">
      <c r="B51" s="2081" t="s">
        <v>2229</v>
      </c>
      <c r="C51" s="2081"/>
      <c r="D51" s="2081"/>
    </row>
    <row r="52" spans="2:4" x14ac:dyDescent="0.25">
      <c r="B52" s="2080" t="s">
        <v>2258</v>
      </c>
      <c r="C52" s="2080"/>
      <c r="D52" s="2080"/>
    </row>
    <row r="53" spans="2:4" x14ac:dyDescent="0.25">
      <c r="B53" s="1957" t="s">
        <v>2230</v>
      </c>
      <c r="D53" s="1959"/>
    </row>
    <row r="54" spans="2:4" x14ac:dyDescent="0.25">
      <c r="D54" s="1959"/>
    </row>
    <row r="55" spans="2:4" x14ac:dyDescent="0.25">
      <c r="D55" s="1959"/>
    </row>
    <row r="56" spans="2:4" x14ac:dyDescent="0.25">
      <c r="D56" s="1961" t="s">
        <v>2192</v>
      </c>
    </row>
    <row r="57" spans="2:4" x14ac:dyDescent="0.25">
      <c r="D57" s="1959"/>
    </row>
    <row r="58" spans="2:4" x14ac:dyDescent="0.25">
      <c r="B58" s="1960" t="s">
        <v>2231</v>
      </c>
      <c r="D58" s="1959"/>
    </row>
    <row r="59" spans="2:4" x14ac:dyDescent="0.25">
      <c r="D59" s="1959"/>
    </row>
    <row r="60" spans="2:4" x14ac:dyDescent="0.25">
      <c r="B60" s="1957" t="s">
        <v>2232</v>
      </c>
      <c r="D60" s="1959" t="s">
        <v>2233</v>
      </c>
    </row>
    <row r="61" spans="2:4" x14ac:dyDescent="0.25">
      <c r="D61" s="1959"/>
    </row>
    <row r="62" spans="2:4" x14ac:dyDescent="0.25">
      <c r="B62" s="1957" t="s">
        <v>2234</v>
      </c>
      <c r="D62" s="1959"/>
    </row>
    <row r="63" spans="2:4" x14ac:dyDescent="0.25">
      <c r="B63" s="1957" t="s">
        <v>2259</v>
      </c>
      <c r="D63" s="1959" t="s">
        <v>2235</v>
      </c>
    </row>
    <row r="64" spans="2:4" x14ac:dyDescent="0.25">
      <c r="D64" s="1959"/>
    </row>
    <row r="65" spans="2:4" x14ac:dyDescent="0.25">
      <c r="B65" s="1960" t="s">
        <v>2236</v>
      </c>
      <c r="D65" s="1959"/>
    </row>
    <row r="66" spans="2:4" x14ac:dyDescent="0.25">
      <c r="D66" s="1959"/>
    </row>
    <row r="67" spans="2:4" x14ac:dyDescent="0.25">
      <c r="B67" s="1957" t="s">
        <v>2237</v>
      </c>
      <c r="D67" s="1959" t="s">
        <v>2238</v>
      </c>
    </row>
    <row r="68" spans="2:4" x14ac:dyDescent="0.25">
      <c r="D68" s="1959"/>
    </row>
    <row r="69" spans="2:4" x14ac:dyDescent="0.25">
      <c r="B69" s="1957" t="s">
        <v>2239</v>
      </c>
      <c r="D69" s="1959" t="s">
        <v>2240</v>
      </c>
    </row>
    <row r="70" spans="2:4" x14ac:dyDescent="0.25">
      <c r="D70" s="1959"/>
    </row>
    <row r="71" spans="2:4" x14ac:dyDescent="0.25">
      <c r="B71" s="1957" t="s">
        <v>2241</v>
      </c>
      <c r="D71" s="1959" t="s">
        <v>2242</v>
      </c>
    </row>
    <row r="72" spans="2:4" x14ac:dyDescent="0.25">
      <c r="D72" s="1959"/>
    </row>
    <row r="73" spans="2:4" x14ac:dyDescent="0.25">
      <c r="B73" s="1957" t="s">
        <v>2243</v>
      </c>
      <c r="D73" s="1959" t="s">
        <v>2244</v>
      </c>
    </row>
    <row r="74" spans="2:4" x14ac:dyDescent="0.25">
      <c r="D74" s="1959"/>
    </row>
    <row r="75" spans="2:4" x14ac:dyDescent="0.25">
      <c r="B75" s="1957" t="s">
        <v>2245</v>
      </c>
      <c r="D75" s="1959" t="s">
        <v>2246</v>
      </c>
    </row>
    <row r="76" spans="2:4" x14ac:dyDescent="0.25">
      <c r="D76" s="1959"/>
    </row>
    <row r="77" spans="2:4" x14ac:dyDescent="0.25">
      <c r="B77" s="1957" t="s">
        <v>2247</v>
      </c>
      <c r="D77" s="1959" t="s">
        <v>2248</v>
      </c>
    </row>
    <row r="78" spans="2:4" x14ac:dyDescent="0.25">
      <c r="D78" s="1959"/>
    </row>
    <row r="79" spans="2:4" x14ac:dyDescent="0.25">
      <c r="B79" s="1957" t="s">
        <v>2249</v>
      </c>
      <c r="D79" s="1959" t="s">
        <v>2250</v>
      </c>
    </row>
    <row r="80" spans="2:4" x14ac:dyDescent="0.25">
      <c r="D80" s="1959"/>
    </row>
    <row r="81" spans="2:4" x14ac:dyDescent="0.25">
      <c r="B81" s="1957" t="s">
        <v>2251</v>
      </c>
      <c r="D81" s="1959" t="s">
        <v>2252</v>
      </c>
    </row>
    <row r="82" spans="2:4" x14ac:dyDescent="0.25">
      <c r="D82" s="1959"/>
    </row>
    <row r="83" spans="2:4" x14ac:dyDescent="0.25">
      <c r="D83" s="1959"/>
    </row>
    <row r="85" spans="2:4" x14ac:dyDescent="0.25">
      <c r="B85" s="1957" t="s">
        <v>2253</v>
      </c>
    </row>
    <row r="86" spans="2:4" x14ac:dyDescent="0.25">
      <c r="B86" s="1957" t="s">
        <v>2254</v>
      </c>
    </row>
    <row r="87" spans="2:4" x14ac:dyDescent="0.25">
      <c r="B87" s="1957" t="s">
        <v>2255</v>
      </c>
    </row>
    <row r="88" spans="2:4" x14ac:dyDescent="0.25">
      <c r="B88" s="1957" t="s">
        <v>2256</v>
      </c>
    </row>
    <row r="89" spans="2:4" x14ac:dyDescent="0.25">
      <c r="B89" s="1957" t="s">
        <v>2257</v>
      </c>
    </row>
  </sheetData>
  <mergeCells count="6">
    <mergeCell ref="B52:D52"/>
    <mergeCell ref="B1:D1"/>
    <mergeCell ref="B2:D2"/>
    <mergeCell ref="B3:D3"/>
    <mergeCell ref="B50:D50"/>
    <mergeCell ref="B51:D51"/>
  </mergeCells>
  <pageMargins left="1" right="0.5" top="0.75" bottom="0.75" header="0.3" footer="0.3"/>
  <pageSetup scale="90" orientation="portrait" r:id="rId1"/>
  <rowBreaks count="1" manualBreakCount="1">
    <brk id="4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L5" sqref="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8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8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84" t="s">
        <v>973</v>
      </c>
      <c r="B3" s="2085"/>
      <c r="C3" s="1559"/>
      <c r="D3" s="1560"/>
      <c r="E3" s="1560"/>
      <c r="F3" s="1560"/>
      <c r="G3" s="1560"/>
      <c r="H3" s="1560"/>
      <c r="I3" s="1560"/>
      <c r="J3" s="1560"/>
      <c r="K3" s="1560"/>
      <c r="L3" s="1560"/>
      <c r="M3" s="1561"/>
      <c r="N3" s="1562"/>
    </row>
    <row r="4" spans="1:14" ht="13.5" customHeight="1" x14ac:dyDescent="0.2">
      <c r="A4" s="463" t="s">
        <v>1651</v>
      </c>
      <c r="B4" s="464"/>
      <c r="C4" s="465">
        <v>2571849</v>
      </c>
      <c r="D4" s="466">
        <v>443475</v>
      </c>
      <c r="E4" s="466">
        <v>748834</v>
      </c>
      <c r="F4" s="466">
        <v>549079</v>
      </c>
      <c r="G4" s="466">
        <v>147908</v>
      </c>
      <c r="H4" s="466">
        <v>36590</v>
      </c>
      <c r="I4" s="466">
        <v>148990</v>
      </c>
      <c r="J4" s="467">
        <v>41466</v>
      </c>
      <c r="K4" s="466">
        <v>4243</v>
      </c>
      <c r="L4" s="466">
        <v>248579</v>
      </c>
      <c r="M4" s="468"/>
      <c r="N4" s="469"/>
    </row>
    <row r="5" spans="1:14" x14ac:dyDescent="0.2">
      <c r="A5" s="463" t="s">
        <v>992</v>
      </c>
      <c r="B5" s="470">
        <v>120</v>
      </c>
      <c r="C5" s="465">
        <v>3953908</v>
      </c>
      <c r="D5" s="466">
        <v>1852868</v>
      </c>
      <c r="E5" s="466">
        <v>111422</v>
      </c>
      <c r="F5" s="466">
        <v>250418</v>
      </c>
      <c r="G5" s="466">
        <v>50647</v>
      </c>
      <c r="H5" s="466"/>
      <c r="I5" s="466">
        <v>1919387</v>
      </c>
      <c r="J5" s="467"/>
      <c r="K5" s="471">
        <v>435619</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771</v>
      </c>
      <c r="D9" s="467"/>
      <c r="E9" s="467"/>
      <c r="F9" s="467">
        <v>72</v>
      </c>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6526528</v>
      </c>
      <c r="D13" s="1737">
        <f t="shared" ref="D13:L13" si="0">SUM(D4:D12)</f>
        <v>2296343</v>
      </c>
      <c r="E13" s="1737">
        <f t="shared" si="0"/>
        <v>860256</v>
      </c>
      <c r="F13" s="1737">
        <f t="shared" si="0"/>
        <v>799569</v>
      </c>
      <c r="G13" s="1737">
        <f t="shared" si="0"/>
        <v>198555</v>
      </c>
      <c r="H13" s="1737">
        <f t="shared" si="0"/>
        <v>36590</v>
      </c>
      <c r="I13" s="1737">
        <f t="shared" si="0"/>
        <v>2068377</v>
      </c>
      <c r="J13" s="1737">
        <f t="shared" si="0"/>
        <v>41466</v>
      </c>
      <c r="K13" s="1737">
        <f t="shared" si="0"/>
        <v>439862</v>
      </c>
      <c r="L13" s="1737">
        <f t="shared" si="0"/>
        <v>248579</v>
      </c>
      <c r="M13" s="468"/>
      <c r="N13" s="469"/>
    </row>
    <row r="14" spans="1:14" ht="18" customHeight="1" thickTop="1" x14ac:dyDescent="0.2">
      <c r="A14" s="2086" t="s">
        <v>147</v>
      </c>
      <c r="B14" s="2087"/>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434100</v>
      </c>
      <c r="N16" s="484"/>
    </row>
    <row r="17" spans="1:14" s="485" customFormat="1" ht="12.75" customHeight="1" x14ac:dyDescent="0.2">
      <c r="A17" s="482" t="s">
        <v>1403</v>
      </c>
      <c r="B17" s="483">
        <v>230</v>
      </c>
      <c r="C17" s="477"/>
      <c r="D17" s="477"/>
      <c r="E17" s="477"/>
      <c r="F17" s="477"/>
      <c r="G17" s="477"/>
      <c r="H17" s="477"/>
      <c r="I17" s="477"/>
      <c r="J17" s="477"/>
      <c r="K17" s="477"/>
      <c r="L17" s="477"/>
      <c r="M17" s="467">
        <v>21096489</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4041921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860256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9807844</v>
      </c>
    </row>
    <row r="23" spans="1:14" ht="13.5" customHeight="1" thickBot="1" x14ac:dyDescent="0.25">
      <c r="A23" s="1736" t="s">
        <v>643</v>
      </c>
      <c r="B23" s="1741"/>
      <c r="C23" s="468"/>
      <c r="D23" s="468"/>
      <c r="E23" s="468"/>
      <c r="F23" s="468"/>
      <c r="G23" s="468"/>
      <c r="H23" s="468"/>
      <c r="I23" s="468"/>
      <c r="J23" s="468"/>
      <c r="K23" s="468"/>
      <c r="L23" s="468"/>
      <c r="M23" s="1688">
        <f>SUM(M15:M22)</f>
        <v>25572510</v>
      </c>
      <c r="N23" s="1688">
        <f>SUM(N21:N22)</f>
        <v>10668100</v>
      </c>
    </row>
    <row r="24" spans="1:14" ht="18" customHeight="1" thickTop="1" x14ac:dyDescent="0.2">
      <c r="A24" s="2088" t="s">
        <v>598</v>
      </c>
      <c r="B24" s="2089"/>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248579</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248579</v>
      </c>
      <c r="M34" s="468"/>
      <c r="N34" s="480"/>
    </row>
    <row r="35" spans="1:14" ht="18" customHeight="1" thickTop="1" x14ac:dyDescent="0.2">
      <c r="A35" s="2090" t="s">
        <v>529</v>
      </c>
      <c r="B35" s="2091"/>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10668100</v>
      </c>
    </row>
    <row r="37" spans="1:14" ht="13.5" thickBot="1" x14ac:dyDescent="0.25">
      <c r="A37" s="1736" t="s">
        <v>653</v>
      </c>
      <c r="B37" s="1741"/>
      <c r="C37" s="477"/>
      <c r="D37" s="477"/>
      <c r="E37" s="477"/>
      <c r="F37" s="477"/>
      <c r="G37" s="477"/>
      <c r="H37" s="477"/>
      <c r="I37" s="477"/>
      <c r="J37" s="477"/>
      <c r="K37" s="477"/>
      <c r="L37" s="480"/>
      <c r="M37" s="468"/>
      <c r="N37" s="1688">
        <f>SUM(N36:N36)</f>
        <v>10668100</v>
      </c>
    </row>
    <row r="38" spans="1:14" s="329" customFormat="1" ht="13.5" customHeight="1" thickTop="1" x14ac:dyDescent="0.2">
      <c r="A38" s="496" t="s">
        <v>420</v>
      </c>
      <c r="B38" s="483">
        <v>714</v>
      </c>
      <c r="C38" s="466">
        <v>174173</v>
      </c>
      <c r="D38" s="466"/>
      <c r="E38" s="466"/>
      <c r="F38" s="466"/>
      <c r="G38" s="466"/>
      <c r="H38" s="466">
        <v>36590</v>
      </c>
      <c r="I38" s="466"/>
      <c r="J38" s="467"/>
      <c r="K38" s="466"/>
      <c r="L38" s="481"/>
      <c r="M38" s="497"/>
      <c r="N38" s="497"/>
    </row>
    <row r="39" spans="1:14" s="329" customFormat="1" ht="13.5" customHeight="1" x14ac:dyDescent="0.2">
      <c r="A39" s="496" t="s">
        <v>342</v>
      </c>
      <c r="B39" s="483">
        <v>730</v>
      </c>
      <c r="C39" s="466">
        <v>6352355</v>
      </c>
      <c r="D39" s="466">
        <v>2296343</v>
      </c>
      <c r="E39" s="466">
        <v>860256</v>
      </c>
      <c r="F39" s="466">
        <v>799569</v>
      </c>
      <c r="G39" s="466">
        <v>198555</v>
      </c>
      <c r="H39" s="466"/>
      <c r="I39" s="466">
        <v>2068377</v>
      </c>
      <c r="J39" s="467">
        <v>41466</v>
      </c>
      <c r="K39" s="466">
        <v>439862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25572510</v>
      </c>
      <c r="N40" s="497"/>
    </row>
    <row r="41" spans="1:14" ht="13.5" customHeight="1" thickBot="1" x14ac:dyDescent="0.25">
      <c r="A41" s="1736" t="s">
        <v>655</v>
      </c>
      <c r="B41" s="1706"/>
      <c r="C41" s="1688">
        <f>(SUM(C34,C37,C38,C39))</f>
        <v>6526528</v>
      </c>
      <c r="D41" s="1688">
        <f t="shared" ref="D41:L41" si="2">SUM(D34,D37,D38:D39)</f>
        <v>2296343</v>
      </c>
      <c r="E41" s="1688">
        <f t="shared" si="2"/>
        <v>860256</v>
      </c>
      <c r="F41" s="1688">
        <f t="shared" si="2"/>
        <v>799569</v>
      </c>
      <c r="G41" s="1688">
        <f t="shared" si="2"/>
        <v>198555</v>
      </c>
      <c r="H41" s="1688">
        <f t="shared" si="2"/>
        <v>36590</v>
      </c>
      <c r="I41" s="1688">
        <f t="shared" si="2"/>
        <v>2068377</v>
      </c>
      <c r="J41" s="1688">
        <f t="shared" si="2"/>
        <v>41466</v>
      </c>
      <c r="K41" s="1688">
        <f t="shared" si="2"/>
        <v>439862</v>
      </c>
      <c r="L41" s="1688">
        <f t="shared" si="2"/>
        <v>248579</v>
      </c>
      <c r="M41" s="1688">
        <f>SUM(M40)</f>
        <v>25572510</v>
      </c>
      <c r="N41" s="1688">
        <f>SUM(N37)</f>
        <v>10668100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orizontalCentered="1" gridLines="1"/>
  <pageMargins left="0.5" right="0.5" top="1.25" bottom="0.5" header="0.75" footer="0.5"/>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2019&amp;R&amp;8Page &amp;P</oddHeader>
    <oddFooter>&amp;L&amp;8&amp;F&amp;CThe accompanying notes are an integral part of these financial statements.</oddFooter>
  </headerFooter>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0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12" t="s">
        <v>1175</v>
      </c>
      <c r="B3" s="2113"/>
      <c r="C3" s="1573"/>
      <c r="D3" s="1574"/>
      <c r="E3" s="1574"/>
      <c r="F3" s="1574"/>
      <c r="G3" s="1574"/>
      <c r="H3" s="1574"/>
      <c r="I3" s="1574"/>
      <c r="J3" s="1574"/>
      <c r="K3" s="1575"/>
      <c r="L3" s="506"/>
    </row>
    <row r="4" spans="1:13" ht="15.75" customHeight="1" x14ac:dyDescent="0.2">
      <c r="A4" s="1928" t="s">
        <v>1499</v>
      </c>
      <c r="B4" s="1929">
        <v>1000</v>
      </c>
      <c r="C4" s="1742">
        <f>'Revenues 9-14'!C109</f>
        <v>5542367</v>
      </c>
      <c r="D4" s="1742">
        <f>'Revenues 9-14'!D109</f>
        <v>1118767</v>
      </c>
      <c r="E4" s="1742">
        <f>'Revenues 9-14'!E109</f>
        <v>1558646</v>
      </c>
      <c r="F4" s="1742">
        <f>'Revenues 9-14'!F109</f>
        <v>475845</v>
      </c>
      <c r="G4" s="1742">
        <f>'Revenues 9-14'!G109</f>
        <v>358538</v>
      </c>
      <c r="H4" s="1742">
        <f>'Revenues 9-14'!H109</f>
        <v>8861</v>
      </c>
      <c r="I4" s="1742">
        <f>'Revenues 9-14'!I109</f>
        <v>108197</v>
      </c>
      <c r="J4" s="1742">
        <f>'Revenues 9-14'!J109</f>
        <v>201316</v>
      </c>
      <c r="K4" s="1742">
        <f>'Revenues 9-14'!K109</f>
        <v>3495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1114318</v>
      </c>
      <c r="D6" s="1743">
        <f>'Revenues 9-14'!D170</f>
        <v>0</v>
      </c>
      <c r="E6" s="1743">
        <f>'Revenues 9-14'!E170</f>
        <v>0</v>
      </c>
      <c r="F6" s="1743">
        <f>'Revenues 9-14'!F170</f>
        <v>363536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401385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7058070</v>
      </c>
      <c r="D8" s="1688">
        <f t="shared" ref="D8:K8" si="0">SUM(D4:D7)</f>
        <v>1118767</v>
      </c>
      <c r="E8" s="1688">
        <f t="shared" si="0"/>
        <v>1558646</v>
      </c>
      <c r="F8" s="1688">
        <f t="shared" si="0"/>
        <v>839381</v>
      </c>
      <c r="G8" s="1688">
        <f t="shared" si="0"/>
        <v>358538</v>
      </c>
      <c r="H8" s="1688">
        <f t="shared" si="0"/>
        <v>8861</v>
      </c>
      <c r="I8" s="1688">
        <f t="shared" si="0"/>
        <v>108197</v>
      </c>
      <c r="J8" s="1688">
        <f t="shared" si="0"/>
        <v>201316</v>
      </c>
      <c r="K8" s="1688">
        <f t="shared" si="0"/>
        <v>3495</v>
      </c>
      <c r="L8" s="347"/>
    </row>
    <row r="9" spans="1:13" ht="15.75" thickTop="1" x14ac:dyDescent="0.2">
      <c r="A9" s="514" t="s">
        <v>1653</v>
      </c>
      <c r="B9" s="515">
        <v>3998</v>
      </c>
      <c r="C9" s="481">
        <v>2622782</v>
      </c>
      <c r="D9" s="516"/>
      <c r="E9" s="481"/>
      <c r="F9" s="481"/>
      <c r="G9" s="517"/>
      <c r="H9" s="481"/>
      <c r="I9" s="509" t="s">
        <v>1169</v>
      </c>
      <c r="J9" s="478"/>
      <c r="K9" s="481"/>
      <c r="L9" s="347"/>
    </row>
    <row r="10" spans="1:13" s="519" customFormat="1" ht="13.5" thickBot="1" x14ac:dyDescent="0.25">
      <c r="A10" s="1736" t="s">
        <v>1173</v>
      </c>
      <c r="B10" s="1709"/>
      <c r="C10" s="1688">
        <f>SUM(C8:C9)</f>
        <v>9680852</v>
      </c>
      <c r="D10" s="1688">
        <f t="shared" ref="D10:K10" si="1">SUM(D8:D9)</f>
        <v>1118767</v>
      </c>
      <c r="E10" s="1688">
        <f t="shared" si="1"/>
        <v>1558646</v>
      </c>
      <c r="F10" s="1688">
        <f t="shared" si="1"/>
        <v>839381</v>
      </c>
      <c r="G10" s="1688">
        <f t="shared" si="1"/>
        <v>358538</v>
      </c>
      <c r="H10" s="1688">
        <f t="shared" si="1"/>
        <v>8861</v>
      </c>
      <c r="I10" s="1688">
        <f t="shared" si="1"/>
        <v>108197</v>
      </c>
      <c r="J10" s="1688">
        <f t="shared" si="1"/>
        <v>201316</v>
      </c>
      <c r="K10" s="1688">
        <f t="shared" si="1"/>
        <v>3495</v>
      </c>
      <c r="L10" s="518"/>
    </row>
    <row r="11" spans="1:13" s="519" customFormat="1" ht="16.7" customHeight="1" thickTop="1" x14ac:dyDescent="0.2">
      <c r="A11" s="2086" t="s">
        <v>1176</v>
      </c>
      <c r="B11" s="2087"/>
      <c r="C11" s="1570"/>
      <c r="D11" s="1571"/>
      <c r="E11" s="1571"/>
      <c r="F11" s="1571"/>
      <c r="G11" s="1571"/>
      <c r="H11" s="1571"/>
      <c r="I11" s="1571"/>
      <c r="J11" s="1571"/>
      <c r="K11" s="1572"/>
      <c r="L11" s="518"/>
    </row>
    <row r="12" spans="1:13" ht="15.75" customHeight="1" x14ac:dyDescent="0.2">
      <c r="A12" s="1576" t="s">
        <v>456</v>
      </c>
      <c r="B12" s="1578">
        <v>1000</v>
      </c>
      <c r="C12" s="1742">
        <f>'Expenditures 15-22'!K33</f>
        <v>4728715</v>
      </c>
      <c r="D12" s="520" t="s">
        <v>1169</v>
      </c>
      <c r="E12" s="468" t="s">
        <v>1169</v>
      </c>
      <c r="F12" s="468" t="s">
        <v>1169</v>
      </c>
      <c r="G12" s="1742">
        <f>'Expenditures 15-22'!K229</f>
        <v>103290</v>
      </c>
      <c r="H12" s="521"/>
      <c r="I12" s="468" t="s">
        <v>1169</v>
      </c>
      <c r="J12" s="468" t="s">
        <v>1169</v>
      </c>
      <c r="K12" s="521" t="s">
        <v>1169</v>
      </c>
      <c r="L12" s="347"/>
    </row>
    <row r="13" spans="1:13" ht="15.75" customHeight="1" x14ac:dyDescent="0.2">
      <c r="A13" s="1576" t="s">
        <v>457</v>
      </c>
      <c r="B13" s="1578">
        <v>2000</v>
      </c>
      <c r="C13" s="1743">
        <f>'Expenditures 15-22'!K74</f>
        <v>1918451</v>
      </c>
      <c r="D13" s="1743">
        <f>'Expenditures 15-22'!K129</f>
        <v>1122448</v>
      </c>
      <c r="E13" s="469" t="s">
        <v>1169</v>
      </c>
      <c r="F13" s="1743">
        <f>'Expenditures 15-22'!K184</f>
        <v>697778</v>
      </c>
      <c r="G13" s="1743">
        <f>'Expenditures 15-22'!K279</f>
        <v>199175</v>
      </c>
      <c r="H13" s="1743">
        <f>'Expenditures 15-22'!K303</f>
        <v>0</v>
      </c>
      <c r="I13" s="468" t="s">
        <v>1169</v>
      </c>
      <c r="J13" s="1743">
        <f>'Expenditures 15-22'!K330</f>
        <v>206260</v>
      </c>
      <c r="K13" s="1747">
        <f>'Expenditures 15-22'!K352</f>
        <v>4032</v>
      </c>
      <c r="L13" s="347"/>
    </row>
    <row r="14" spans="1:13" ht="15.75" customHeight="1" x14ac:dyDescent="0.2">
      <c r="A14" s="1576" t="s">
        <v>449</v>
      </c>
      <c r="B14" s="1578">
        <v>3000</v>
      </c>
      <c r="C14" s="1743">
        <f>'Expenditures 15-22'!K75</f>
        <v>13376</v>
      </c>
      <c r="D14" s="1743">
        <f>'Expenditures 15-22'!K130</f>
        <v>0</v>
      </c>
      <c r="E14" s="520" t="s">
        <v>1169</v>
      </c>
      <c r="F14" s="1743">
        <f>'Expenditures 15-22'!K185</f>
        <v>0</v>
      </c>
      <c r="G14" s="1743">
        <f>'Expenditures 15-22'!K280</f>
        <v>202</v>
      </c>
      <c r="H14" s="512"/>
      <c r="I14" s="468" t="s">
        <v>1169</v>
      </c>
      <c r="J14" s="468" t="s">
        <v>1169</v>
      </c>
      <c r="K14" s="512" t="s">
        <v>1169</v>
      </c>
      <c r="L14" s="347"/>
    </row>
    <row r="15" spans="1:13" ht="15.75" customHeight="1" x14ac:dyDescent="0.2">
      <c r="A15" s="1576" t="s">
        <v>107</v>
      </c>
      <c r="B15" s="1578">
        <v>4000</v>
      </c>
      <c r="C15" s="1743">
        <f>'Expenditures 15-22'!K102</f>
        <v>429610</v>
      </c>
      <c r="D15" s="1743">
        <f>'Expenditures 15-22'!K139</f>
        <v>30512</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1630125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7090152</v>
      </c>
      <c r="D17" s="1688">
        <f t="shared" si="2"/>
        <v>1152960</v>
      </c>
      <c r="E17" s="1688">
        <f t="shared" si="2"/>
        <v>1630125</v>
      </c>
      <c r="F17" s="1688">
        <f t="shared" si="2"/>
        <v>697778</v>
      </c>
      <c r="G17" s="1688">
        <f t="shared" si="2"/>
        <v>302667</v>
      </c>
      <c r="H17" s="1688">
        <f t="shared" si="2"/>
        <v>0</v>
      </c>
      <c r="I17" s="468"/>
      <c r="J17" s="1688">
        <f>SUM(J12:J16)</f>
        <v>206260</v>
      </c>
      <c r="K17" s="1688">
        <f>SUM(K12:K16)</f>
        <v>4032</v>
      </c>
      <c r="L17" s="347"/>
    </row>
    <row r="18" spans="1:12" ht="15" customHeight="1" thickTop="1" x14ac:dyDescent="0.2">
      <c r="A18" s="1744" t="s">
        <v>1654</v>
      </c>
      <c r="B18" s="1745">
        <v>4180</v>
      </c>
      <c r="C18" s="1742">
        <f t="shared" ref="C18:H18" si="3">C9</f>
        <v>2622782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9712934</v>
      </c>
      <c r="D19" s="1688">
        <f t="shared" si="4"/>
        <v>1152960</v>
      </c>
      <c r="E19" s="1688">
        <f t="shared" si="4"/>
        <v>1630125</v>
      </c>
      <c r="F19" s="1688">
        <f t="shared" si="4"/>
        <v>697778</v>
      </c>
      <c r="G19" s="1688">
        <f t="shared" si="4"/>
        <v>302667</v>
      </c>
      <c r="H19" s="1688">
        <f t="shared" si="4"/>
        <v>0</v>
      </c>
      <c r="I19" s="468"/>
      <c r="J19" s="1688">
        <f>SUM(J17:J18)</f>
        <v>206260</v>
      </c>
      <c r="K19" s="1688">
        <f>SUM(K17:K18)</f>
        <v>4032</v>
      </c>
      <c r="L19" s="347"/>
    </row>
    <row r="20" spans="1:12" ht="16.5" thickTop="1" thickBot="1" x14ac:dyDescent="0.25">
      <c r="A20" s="2102" t="s">
        <v>1655</v>
      </c>
      <c r="B20" s="2103"/>
      <c r="C20" s="1746">
        <f>C8-C17</f>
        <v>-32082</v>
      </c>
      <c r="D20" s="1746">
        <f t="shared" ref="D20:K20" si="5">D8-D17</f>
        <v>-34193</v>
      </c>
      <c r="E20" s="1746">
        <f t="shared" si="5"/>
        <v>-71479</v>
      </c>
      <c r="F20" s="1746">
        <f t="shared" si="5"/>
        <v>141603</v>
      </c>
      <c r="G20" s="1746">
        <f t="shared" si="5"/>
        <v>55871</v>
      </c>
      <c r="H20" s="1746">
        <f t="shared" si="5"/>
        <v>8861</v>
      </c>
      <c r="I20" s="1746">
        <f t="shared" si="5"/>
        <v>108197</v>
      </c>
      <c r="J20" s="1746">
        <f t="shared" si="5"/>
        <v>-4944</v>
      </c>
      <c r="K20" s="1746">
        <f t="shared" si="5"/>
        <v>-537</v>
      </c>
      <c r="L20" s="347"/>
    </row>
    <row r="21" spans="1:12" ht="16.7" customHeight="1" thickTop="1" x14ac:dyDescent="0.2">
      <c r="A21" s="2114" t="s">
        <v>595</v>
      </c>
      <c r="B21" s="2115"/>
      <c r="C21" s="1570"/>
      <c r="D21" s="1571"/>
      <c r="E21" s="1571"/>
      <c r="F21" s="1571"/>
      <c r="G21" s="1571"/>
      <c r="H21" s="1571"/>
      <c r="I21" s="1571"/>
      <c r="J21" s="1571"/>
      <c r="K21" s="1572"/>
      <c r="L21" s="524"/>
    </row>
    <row r="22" spans="1:12" ht="15.75" customHeight="1" collapsed="1" x14ac:dyDescent="0.2">
      <c r="A22" s="2110" t="s">
        <v>596</v>
      </c>
      <c r="B22" s="2111"/>
      <c r="C22" s="477"/>
      <c r="D22" s="477"/>
      <c r="E22" s="477"/>
      <c r="F22" s="477"/>
      <c r="G22" s="477"/>
      <c r="H22" s="477"/>
      <c r="I22" s="477"/>
      <c r="J22" s="477"/>
      <c r="K22" s="477"/>
      <c r="L22" s="347"/>
    </row>
    <row r="23" spans="1:12" s="485" customFormat="1" ht="15.75" customHeight="1" x14ac:dyDescent="0.2">
      <c r="A23" s="2106" t="s">
        <v>293</v>
      </c>
      <c r="B23" s="2107"/>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08" t="s">
        <v>981</v>
      </c>
      <c r="B32" s="2109"/>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16" t="s">
        <v>374</v>
      </c>
      <c r="B44" s="2117"/>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10" t="s">
        <v>108</v>
      </c>
      <c r="B45" s="2111"/>
      <c r="C45" s="528"/>
      <c r="D45" s="528"/>
      <c r="E45" s="528"/>
      <c r="F45" s="528"/>
      <c r="G45" s="528"/>
      <c r="H45" s="528"/>
      <c r="I45" s="528"/>
      <c r="J45" s="528"/>
      <c r="K45" s="528"/>
      <c r="L45" s="347"/>
    </row>
    <row r="46" spans="1:12" s="485" customFormat="1" ht="15.75" customHeight="1" x14ac:dyDescent="0.2">
      <c r="A46" s="2118" t="s">
        <v>109</v>
      </c>
      <c r="B46" s="2119"/>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092" t="s">
        <v>440</v>
      </c>
      <c r="B76" s="2093"/>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094" t="s">
        <v>1177</v>
      </c>
      <c r="B77" s="2095"/>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098" t="s">
        <v>597</v>
      </c>
      <c r="B78" s="2099"/>
      <c r="C78" s="1702">
        <f t="shared" ref="C78:K78" si="9">C20+C77</f>
        <v>-32082</v>
      </c>
      <c r="D78" s="1702">
        <f t="shared" si="9"/>
        <v>-34193</v>
      </c>
      <c r="E78" s="1702">
        <f t="shared" si="9"/>
        <v>-71479</v>
      </c>
      <c r="F78" s="1702">
        <f t="shared" si="9"/>
        <v>141603</v>
      </c>
      <c r="G78" s="1702">
        <f t="shared" si="9"/>
        <v>55871</v>
      </c>
      <c r="H78" s="1702">
        <f t="shared" si="9"/>
        <v>8861</v>
      </c>
      <c r="I78" s="1702">
        <f t="shared" si="9"/>
        <v>108197</v>
      </c>
      <c r="J78" s="1702">
        <f t="shared" si="9"/>
        <v>-4944</v>
      </c>
      <c r="K78" s="1702">
        <f t="shared" si="9"/>
        <v>-537</v>
      </c>
      <c r="L78" s="533"/>
    </row>
    <row r="79" spans="1:12" ht="13.5" thickTop="1" x14ac:dyDescent="0.2">
      <c r="A79" s="1494" t="s">
        <v>1949</v>
      </c>
      <c r="B79" s="534"/>
      <c r="C79" s="478">
        <v>6558610</v>
      </c>
      <c r="D79" s="535">
        <v>2330536</v>
      </c>
      <c r="E79" s="535">
        <v>931735</v>
      </c>
      <c r="F79" s="535">
        <v>657966</v>
      </c>
      <c r="G79" s="535">
        <v>142684</v>
      </c>
      <c r="H79" s="535">
        <v>27729</v>
      </c>
      <c r="I79" s="535">
        <v>1960180</v>
      </c>
      <c r="J79" s="535">
        <v>46410</v>
      </c>
      <c r="K79" s="535">
        <v>440399</v>
      </c>
      <c r="L79" s="347"/>
    </row>
    <row r="80" spans="1:12" x14ac:dyDescent="0.2">
      <c r="A80" s="2104" t="s">
        <v>1795</v>
      </c>
      <c r="B80" s="2105"/>
      <c r="C80" s="467"/>
      <c r="D80" s="467"/>
      <c r="E80" s="467"/>
      <c r="F80" s="467"/>
      <c r="G80" s="467"/>
      <c r="H80" s="467"/>
      <c r="I80" s="467"/>
      <c r="J80" s="467"/>
      <c r="K80" s="467"/>
      <c r="L80" s="347"/>
    </row>
    <row r="81" spans="1:12" ht="13.5" thickBot="1" x14ac:dyDescent="0.25">
      <c r="A81" s="2096" t="s">
        <v>1950</v>
      </c>
      <c r="B81" s="2097"/>
      <c r="C81" s="1688">
        <f>(SUM(C78:C80))</f>
        <v>6526528</v>
      </c>
      <c r="D81" s="1688">
        <f>SUM(D78:D80)</f>
        <v>2296343</v>
      </c>
      <c r="E81" s="1688">
        <f t="shared" ref="E81:K81" si="10">SUM(E78:E80)</f>
        <v>860256</v>
      </c>
      <c r="F81" s="1688">
        <f t="shared" si="10"/>
        <v>799569</v>
      </c>
      <c r="G81" s="1688">
        <f t="shared" si="10"/>
        <v>198555</v>
      </c>
      <c r="H81" s="1688">
        <f t="shared" si="10"/>
        <v>36590</v>
      </c>
      <c r="I81" s="1688">
        <f t="shared" si="10"/>
        <v>2068377</v>
      </c>
      <c r="J81" s="1688">
        <f t="shared" si="10"/>
        <v>41466</v>
      </c>
      <c r="K81" s="1688">
        <f t="shared" si="10"/>
        <v>439862</v>
      </c>
      <c r="L81" s="347"/>
    </row>
    <row r="82" spans="1:12" ht="0.75" customHeight="1" thickTop="1" thickBot="1" x14ac:dyDescent="0.25">
      <c r="A82" s="536" t="s">
        <v>343</v>
      </c>
      <c r="B82" s="537"/>
      <c r="C82" s="538">
        <f>(C81-C79)</f>
        <v>-32082</v>
      </c>
      <c r="D82" s="538">
        <f t="shared" ref="D82:K82" si="11">(D81-D79)</f>
        <v>-34193</v>
      </c>
      <c r="E82" s="538">
        <f t="shared" si="11"/>
        <v>-71479</v>
      </c>
      <c r="F82" s="538">
        <f t="shared" si="11"/>
        <v>141603</v>
      </c>
      <c r="G82" s="538">
        <f t="shared" si="11"/>
        <v>55871</v>
      </c>
      <c r="H82" s="538">
        <f t="shared" si="11"/>
        <v>8861</v>
      </c>
      <c r="I82" s="538">
        <f t="shared" si="11"/>
        <v>108197</v>
      </c>
      <c r="J82" s="538">
        <f t="shared" si="11"/>
        <v>-4944</v>
      </c>
      <c r="K82" s="538">
        <f t="shared" si="11"/>
        <v>-537</v>
      </c>
    </row>
    <row r="83" spans="1:12" ht="14.25" hidden="1" thickTop="1" thickBot="1" x14ac:dyDescent="0.25">
      <c r="A83" s="539" t="s">
        <v>344</v>
      </c>
      <c r="B83" s="464"/>
      <c r="C83" s="540">
        <f>C82/C81</f>
        <v>-4.91563048530551E-3</v>
      </c>
      <c r="D83" s="540">
        <f t="shared" ref="D83:K83" si="12">D82/D81</f>
        <v>-1.4890197152603073E-2</v>
      </c>
      <c r="E83" s="540">
        <f t="shared" si="12"/>
        <v>-8.3090382397797868E-2</v>
      </c>
      <c r="F83" s="540">
        <f t="shared" si="12"/>
        <v>0.17709916217362104</v>
      </c>
      <c r="G83" s="540">
        <f t="shared" si="12"/>
        <v>0.28138802850595551</v>
      </c>
      <c r="H83" s="540">
        <f t="shared" si="12"/>
        <v>0.24216999180103854</v>
      </c>
      <c r="I83" s="540">
        <f t="shared" si="12"/>
        <v>5.2310096273551682E-2</v>
      </c>
      <c r="J83" s="540">
        <f t="shared" si="12"/>
        <v>-0.11923021270438432</v>
      </c>
      <c r="K83" s="540">
        <f t="shared" si="12"/>
        <v>-1.2208374444712205E-3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orizontalCentered="1"/>
  <pageMargins left="0.5" right="0.5" top="1.25" bottom="0.5" header="0.5" footer="0.5"/>
  <pageSetup scale="68"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&amp;L&amp;8&amp;F&amp;CThe accompanying notes are an integral part of these financial statements.</oddFooter>
  </headerFooter>
  <rowBreaks count="1" manualBreakCount="1">
    <brk id="4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00" t="s">
        <v>1802</v>
      </c>
      <c r="B1" s="452"/>
      <c r="C1" s="453" t="s">
        <v>425</v>
      </c>
      <c r="D1" s="453" t="s">
        <v>426</v>
      </c>
      <c r="E1" s="453" t="s">
        <v>427</v>
      </c>
      <c r="F1" s="453" t="s">
        <v>428</v>
      </c>
      <c r="G1" s="453" t="s">
        <v>429</v>
      </c>
      <c r="H1" s="453" t="s">
        <v>430</v>
      </c>
      <c r="I1" s="453" t="s">
        <v>431</v>
      </c>
      <c r="J1" s="453" t="s">
        <v>432</v>
      </c>
      <c r="K1" s="453" t="s">
        <v>756</v>
      </c>
    </row>
    <row r="2" spans="1:12" ht="36" x14ac:dyDescent="0.2">
      <c r="A2" s="210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4826593</v>
      </c>
      <c r="D5" s="481">
        <v>923970</v>
      </c>
      <c r="E5" s="466">
        <v>1551036</v>
      </c>
      <c r="F5" s="548">
        <v>379732</v>
      </c>
      <c r="G5" s="466">
        <v>171849</v>
      </c>
      <c r="H5" s="466"/>
      <c r="I5" s="466">
        <v>61992</v>
      </c>
      <c r="J5" s="467">
        <v>197823</v>
      </c>
      <c r="K5" s="466">
        <v>1627</v>
      </c>
    </row>
    <row r="6" spans="1:12" ht="15" x14ac:dyDescent="0.2">
      <c r="A6" s="463" t="s">
        <v>1662</v>
      </c>
      <c r="B6" s="470">
        <v>1130</v>
      </c>
      <c r="C6" s="466">
        <v>100237</v>
      </c>
      <c r="D6" s="466"/>
      <c r="E6" s="475"/>
      <c r="F6" s="475"/>
      <c r="G6" s="468"/>
      <c r="H6" s="468"/>
      <c r="I6" s="468"/>
      <c r="J6" s="468"/>
      <c r="K6" s="468"/>
    </row>
    <row r="7" spans="1:12" x14ac:dyDescent="0.2">
      <c r="A7" s="463" t="s">
        <v>110</v>
      </c>
      <c r="B7" s="549">
        <v>1140</v>
      </c>
      <c r="C7" s="466">
        <v>76400</v>
      </c>
      <c r="D7" s="466"/>
      <c r="E7" s="468"/>
      <c r="F7" s="467"/>
      <c r="G7" s="467"/>
      <c r="H7" s="467"/>
      <c r="I7" s="468"/>
      <c r="J7" s="468"/>
      <c r="K7" s="468"/>
    </row>
    <row r="8" spans="1:12" x14ac:dyDescent="0.2">
      <c r="A8" s="463" t="s">
        <v>413</v>
      </c>
      <c r="B8" s="470">
        <v>1150</v>
      </c>
      <c r="C8" s="475"/>
      <c r="D8" s="475"/>
      <c r="E8" s="477"/>
      <c r="F8" s="477"/>
      <c r="G8" s="481">
        <v>181977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5003230</v>
      </c>
      <c r="D12" s="1707">
        <f t="shared" si="0"/>
        <v>923970</v>
      </c>
      <c r="E12" s="1707">
        <f t="shared" si="0"/>
        <v>1551036</v>
      </c>
      <c r="F12" s="1707">
        <f t="shared" si="0"/>
        <v>379732</v>
      </c>
      <c r="G12" s="1707">
        <f t="shared" si="0"/>
        <v>353826</v>
      </c>
      <c r="H12" s="1707">
        <f t="shared" si="0"/>
        <v>0</v>
      </c>
      <c r="I12" s="1707">
        <f t="shared" si="0"/>
        <v>61992</v>
      </c>
      <c r="J12" s="1707">
        <f t="shared" si="0"/>
        <v>197823</v>
      </c>
      <c r="K12" s="1688">
        <f t="shared" si="0"/>
        <v>1627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74052</v>
      </c>
      <c r="D16" s="466"/>
      <c r="E16" s="466"/>
      <c r="F16" s="466"/>
      <c r="G16" s="466">
        <v>3500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74052</v>
      </c>
      <c r="D18" s="1710">
        <f t="shared" ref="D18:K18" si="1">SUM(D14:D17)</f>
        <v>0</v>
      </c>
      <c r="E18" s="1710">
        <f t="shared" si="1"/>
        <v>0</v>
      </c>
      <c r="F18" s="1710">
        <f t="shared" si="1"/>
        <v>0</v>
      </c>
      <c r="G18" s="1710">
        <f t="shared" si="1"/>
        <v>3500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3500</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3500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v>85</v>
      </c>
      <c r="G44" s="468"/>
      <c r="H44" s="468"/>
      <c r="I44" s="468"/>
      <c r="J44" s="468"/>
      <c r="K44" s="468"/>
    </row>
    <row r="45" spans="1:11" ht="12.75" customHeight="1" x14ac:dyDescent="0.2">
      <c r="A45" s="463" t="s">
        <v>240</v>
      </c>
      <c r="B45" s="470">
        <v>1415</v>
      </c>
      <c r="C45" s="468"/>
      <c r="D45" s="468"/>
      <c r="E45" s="468"/>
      <c r="F45" s="466">
        <v>1527</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1612</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131565</v>
      </c>
      <c r="D65" s="466">
        <v>32605</v>
      </c>
      <c r="E65" s="466">
        <v>7610</v>
      </c>
      <c r="F65" s="467">
        <v>4501</v>
      </c>
      <c r="G65" s="466">
        <v>1212</v>
      </c>
      <c r="H65" s="466">
        <v>282</v>
      </c>
      <c r="I65" s="466">
        <v>46205</v>
      </c>
      <c r="J65" s="467">
        <v>3493</v>
      </c>
      <c r="K65" s="466">
        <v>1868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131565</v>
      </c>
      <c r="D67" s="1688">
        <f t="shared" ref="D67:K67" si="2">SUM(D65:D66)</f>
        <v>32605</v>
      </c>
      <c r="E67" s="1688">
        <f t="shared" si="2"/>
        <v>7610</v>
      </c>
      <c r="F67" s="1688">
        <f t="shared" si="2"/>
        <v>4501</v>
      </c>
      <c r="G67" s="1688">
        <f t="shared" si="2"/>
        <v>1212</v>
      </c>
      <c r="H67" s="1688">
        <f t="shared" si="2"/>
        <v>282</v>
      </c>
      <c r="I67" s="1688">
        <f t="shared" si="2"/>
        <v>46205</v>
      </c>
      <c r="J67" s="1688">
        <f t="shared" si="2"/>
        <v>3493</v>
      </c>
      <c r="K67" s="1688">
        <f t="shared" si="2"/>
        <v>1868</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136886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1439</v>
      </c>
      <c r="D71" s="468"/>
      <c r="E71" s="468"/>
      <c r="F71" s="468"/>
      <c r="G71" s="468"/>
      <c r="H71" s="468"/>
      <c r="I71" s="468"/>
      <c r="J71" s="468"/>
      <c r="K71" s="468"/>
    </row>
    <row r="72" spans="1:11" ht="12.75" customHeight="1" x14ac:dyDescent="0.2">
      <c r="A72" s="463" t="s">
        <v>24</v>
      </c>
      <c r="B72" s="470">
        <v>1614</v>
      </c>
      <c r="C72" s="551">
        <v>486</v>
      </c>
      <c r="D72" s="468"/>
      <c r="E72" s="468"/>
      <c r="F72" s="468"/>
      <c r="G72" s="468"/>
      <c r="H72" s="468"/>
      <c r="I72" s="468"/>
      <c r="J72" s="468"/>
      <c r="K72" s="468"/>
    </row>
    <row r="73" spans="1:11" ht="12.75" customHeight="1" x14ac:dyDescent="0.2">
      <c r="A73" s="463" t="s">
        <v>998</v>
      </c>
      <c r="B73" s="470">
        <v>1620</v>
      </c>
      <c r="C73" s="551">
        <v>5585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144396</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26166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23999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50165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68279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68279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95</v>
      </c>
      <c r="D95" s="551">
        <v>3045</v>
      </c>
      <c r="E95" s="521"/>
      <c r="F95" s="521"/>
      <c r="G95" s="521"/>
      <c r="H95" s="521"/>
      <c r="I95" s="521"/>
      <c r="J95" s="521"/>
      <c r="K95" s="521"/>
    </row>
    <row r="96" spans="1:11" ht="12.75" customHeight="1" x14ac:dyDescent="0.2">
      <c r="A96" s="463" t="s">
        <v>391</v>
      </c>
      <c r="B96" s="470">
        <v>1920</v>
      </c>
      <c r="C96" s="551">
        <v>420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32887</v>
      </c>
      <c r="D99" s="466"/>
      <c r="E99" s="466"/>
      <c r="F99" s="466"/>
      <c r="G99" s="466"/>
      <c r="H99" s="466"/>
      <c r="I99" s="468"/>
      <c r="J99" s="467"/>
      <c r="K99" s="466"/>
    </row>
    <row r="100" spans="1:12" ht="12.75" customHeight="1" x14ac:dyDescent="0.2">
      <c r="A100" s="463" t="s">
        <v>245</v>
      </c>
      <c r="B100" s="470">
        <v>1960</v>
      </c>
      <c r="C100" s="489"/>
      <c r="D100" s="489">
        <v>58104</v>
      </c>
      <c r="E100" s="489"/>
      <c r="F100" s="489"/>
      <c r="G100" s="489"/>
      <c r="H100" s="489"/>
      <c r="I100" s="467"/>
      <c r="J100" s="489"/>
      <c r="K100" s="467"/>
    </row>
    <row r="101" spans="1:12" ht="12.75" customHeight="1" x14ac:dyDescent="0.2">
      <c r="A101" s="463" t="s">
        <v>246</v>
      </c>
      <c r="B101" s="470">
        <v>1970</v>
      </c>
      <c r="C101" s="489">
        <v>7025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8579</v>
      </c>
      <c r="I103" s="468"/>
      <c r="J103" s="510"/>
      <c r="K103" s="510"/>
    </row>
    <row r="104" spans="1:12" ht="12.75" customHeight="1" x14ac:dyDescent="0.2">
      <c r="A104" s="463" t="s">
        <v>830</v>
      </c>
      <c r="B104" s="470">
        <v>1991</v>
      </c>
      <c r="C104" s="489">
        <v>6574</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20179</v>
      </c>
      <c r="D107" s="466">
        <v>101043</v>
      </c>
      <c r="E107" s="466"/>
      <c r="F107" s="466">
        <v>90000</v>
      </c>
      <c r="G107" s="466"/>
      <c r="H107" s="466"/>
      <c r="I107" s="466"/>
      <c r="J107" s="467"/>
      <c r="K107" s="466"/>
    </row>
    <row r="108" spans="1:12" ht="12.75" customHeight="1" thickBot="1" x14ac:dyDescent="0.25">
      <c r="A108" s="1708" t="s">
        <v>487</v>
      </c>
      <c r="B108" s="1712"/>
      <c r="C108" s="1707">
        <f>SUM(C95:C107)</f>
        <v>67180</v>
      </c>
      <c r="D108" s="1707">
        <f t="shared" ref="D108:K108" si="3">SUM(D95:D107)</f>
        <v>162192</v>
      </c>
      <c r="E108" s="1707">
        <f t="shared" si="3"/>
        <v>0</v>
      </c>
      <c r="F108" s="1707">
        <f t="shared" si="3"/>
        <v>90000</v>
      </c>
      <c r="G108" s="1707">
        <f t="shared" si="3"/>
        <v>0</v>
      </c>
      <c r="H108" s="1707">
        <f t="shared" si="3"/>
        <v>8579</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5542367</v>
      </c>
      <c r="D109" s="1715">
        <f t="shared" si="4"/>
        <v>1118767</v>
      </c>
      <c r="E109" s="1715">
        <f t="shared" si="4"/>
        <v>1558646</v>
      </c>
      <c r="F109" s="1715">
        <f t="shared" si="4"/>
        <v>475845</v>
      </c>
      <c r="G109" s="1715">
        <f t="shared" si="4"/>
        <v>358538</v>
      </c>
      <c r="H109" s="1715">
        <f t="shared" si="4"/>
        <v>8861</v>
      </c>
      <c r="I109" s="1715">
        <f t="shared" si="4"/>
        <v>108197</v>
      </c>
      <c r="J109" s="1715">
        <f t="shared" si="4"/>
        <v>201316</v>
      </c>
      <c r="K109" s="1702">
        <f t="shared" si="4"/>
        <v>3495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765612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765612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25486</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4095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29581</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7186</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5830</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v>750</v>
      </c>
      <c r="D140" s="466"/>
      <c r="E140" s="561"/>
      <c r="F140" s="477"/>
      <c r="G140" s="467"/>
      <c r="H140" s="468"/>
      <c r="I140" s="468"/>
      <c r="J140" s="468"/>
      <c r="K140" s="468"/>
    </row>
    <row r="141" spans="1:11" ht="12.75" customHeight="1" thickBot="1" x14ac:dyDescent="0.25">
      <c r="A141" s="1708" t="s">
        <v>603</v>
      </c>
      <c r="B141" s="1720"/>
      <c r="C141" s="1707">
        <f>SUM(C134:C140)</f>
        <v>13766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2709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11555</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162403</v>
      </c>
      <c r="G152" s="467"/>
      <c r="H152" s="468"/>
      <c r="I152" s="468"/>
      <c r="J152" s="468"/>
      <c r="K152" s="468"/>
    </row>
    <row r="153" spans="1:11" ht="12.75" customHeight="1" x14ac:dyDescent="0.2">
      <c r="A153" s="463" t="s">
        <v>1057</v>
      </c>
      <c r="B153" s="562">
        <v>3510</v>
      </c>
      <c r="C153" s="551"/>
      <c r="D153" s="466"/>
      <c r="E153" s="561"/>
      <c r="F153" s="466">
        <v>172429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334832</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283700</v>
      </c>
      <c r="D159" s="578"/>
      <c r="E159" s="561"/>
      <c r="F159" s="576">
        <v>28704</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7395</v>
      </c>
      <c r="D168" s="580"/>
      <c r="E168" s="580"/>
      <c r="F168" s="580"/>
      <c r="G168" s="581"/>
      <c r="H168" s="582"/>
      <c r="I168" s="581"/>
      <c r="J168" s="581"/>
      <c r="K168" s="582"/>
    </row>
    <row r="169" spans="1:11" ht="12.75" customHeight="1" thickTop="1" thickBot="1" x14ac:dyDescent="0.25">
      <c r="A169" s="2120" t="s">
        <v>398</v>
      </c>
      <c r="B169" s="2121"/>
      <c r="C169" s="1722">
        <f t="shared" ref="C169:K169" si="6">SUM(C132,C141,C145,C146:C150,C155,C156:C167,C168)</f>
        <v>348706</v>
      </c>
      <c r="D169" s="1722">
        <f t="shared" si="6"/>
        <v>0</v>
      </c>
      <c r="E169" s="1722">
        <f t="shared" si="6"/>
        <v>0</v>
      </c>
      <c r="F169" s="1722">
        <f t="shared" si="6"/>
        <v>363536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1114318</v>
      </c>
      <c r="D170" s="1715">
        <f t="shared" si="7"/>
        <v>0</v>
      </c>
      <c r="E170" s="1715">
        <f t="shared" si="7"/>
        <v>0</v>
      </c>
      <c r="F170" s="1715">
        <f t="shared" si="7"/>
        <v>363536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22" t="s">
        <v>1492</v>
      </c>
      <c r="B172" s="2123"/>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26" t="s">
        <v>1665</v>
      </c>
      <c r="B175" s="2127"/>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30" t="s">
        <v>1664</v>
      </c>
      <c r="B176" s="2131"/>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28" t="s">
        <v>785</v>
      </c>
      <c r="B181" s="2129"/>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24" t="s">
        <v>1803</v>
      </c>
      <c r="B182" s="2125"/>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118152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35758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153910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118465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118465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17725</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17725</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74168</v>
      </c>
      <c r="D213" s="466"/>
      <c r="E213" s="468"/>
      <c r="F213" s="466"/>
      <c r="G213" s="466"/>
      <c r="H213" s="468"/>
      <c r="I213" s="468"/>
      <c r="J213" s="468"/>
      <c r="K213" s="468"/>
    </row>
    <row r="214" spans="1:11" ht="12.75" customHeight="1" x14ac:dyDescent="0.2">
      <c r="A214" s="463" t="s">
        <v>1054</v>
      </c>
      <c r="B214" s="470">
        <v>4625</v>
      </c>
      <c r="C214" s="551">
        <v>3486</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77654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21126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2823</v>
      </c>
      <c r="D263" s="576"/>
      <c r="E263" s="468"/>
      <c r="F263" s="576"/>
      <c r="G263" s="576"/>
      <c r="H263" s="468"/>
      <c r="I263" s="468"/>
      <c r="J263" s="468"/>
      <c r="K263" s="468"/>
    </row>
    <row r="264" spans="1:11" ht="12.75" customHeight="1" thickTop="1" thickBot="1" x14ac:dyDescent="0.25">
      <c r="A264" s="463" t="s">
        <v>377</v>
      </c>
      <c r="B264" s="470">
        <v>4992</v>
      </c>
      <c r="C264" s="575">
        <v>9682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401385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401385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7058070</v>
      </c>
      <c r="D268" s="1715">
        <f t="shared" si="12"/>
        <v>1118767</v>
      </c>
      <c r="E268" s="1715">
        <f t="shared" si="12"/>
        <v>1558646</v>
      </c>
      <c r="F268" s="1715">
        <f t="shared" si="12"/>
        <v>839381</v>
      </c>
      <c r="G268" s="1715">
        <f t="shared" si="12"/>
        <v>358538</v>
      </c>
      <c r="H268" s="1715">
        <f t="shared" si="12"/>
        <v>8861</v>
      </c>
      <c r="I268" s="1715">
        <f t="shared" si="12"/>
        <v>108197</v>
      </c>
      <c r="J268" s="1715">
        <f t="shared" si="12"/>
        <v>201316</v>
      </c>
      <c r="K268" s="1702">
        <f t="shared" si="12"/>
        <v>3495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orizontalCentered="1" gridLines="1"/>
  <pageMargins left="0.5" right="0.5" top="1" bottom="0.5" header="0.75" footer="0.35"/>
  <pageSetup scale="65" firstPageNumber="9" orientation="landscape" useFirstPageNumber="1" r:id="rId1"/>
  <headerFooter alignWithMargins="0">
    <oddHeader>&amp;L&amp;8Page &amp;P&amp;C&amp;"Arial,Bold"&amp;9STATEMENT OF REVENUES RECEIVED/REVENUES
FOR THE YEAR ENDING JUNE 30, 2019&amp;R&amp;8Page &amp;P</oddHeader>
    <oddFooter>&amp;L&amp;8&amp;F&amp;CThe accompanying notes are an integral part of these financial statements.</oddFooter>
  </headerFooter>
  <rowBreaks count="2" manualBreakCount="2">
    <brk id="145" max="16383" man="1"/>
    <brk id="18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1" activePane="bottomLeft" state="frozen"/>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00"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3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38" t="s">
        <v>297</v>
      </c>
      <c r="B3" s="213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2697285</v>
      </c>
      <c r="D5" s="466">
        <v>586788</v>
      </c>
      <c r="E5" s="466">
        <v>21124</v>
      </c>
      <c r="F5" s="466">
        <v>166379</v>
      </c>
      <c r="G5" s="466">
        <v>2382</v>
      </c>
      <c r="H5" s="466">
        <v>5804</v>
      </c>
      <c r="I5" s="467"/>
      <c r="J5" s="467"/>
      <c r="K5" s="1671">
        <f>SUM(C5:J5)</f>
        <v>3479762</v>
      </c>
      <c r="L5" s="466">
        <v>3513816</v>
      </c>
    </row>
    <row r="6" spans="1:14" x14ac:dyDescent="0.2">
      <c r="A6" s="1504" t="s">
        <v>1433</v>
      </c>
      <c r="B6" s="614" t="s">
        <v>1431</v>
      </c>
      <c r="C6" s="477"/>
      <c r="D6" s="477"/>
      <c r="E6" s="466"/>
      <c r="F6" s="477"/>
      <c r="G6" s="477"/>
      <c r="H6" s="477"/>
      <c r="I6" s="477"/>
      <c r="J6" s="477"/>
      <c r="K6" s="1671">
        <f>SUM(C6,E6)</f>
        <v>0</v>
      </c>
      <c r="L6" s="466">
        <v>19850</v>
      </c>
    </row>
    <row r="7" spans="1:14" x14ac:dyDescent="0.2">
      <c r="A7" s="1504" t="s">
        <v>163</v>
      </c>
      <c r="B7" s="614" t="s">
        <v>967</v>
      </c>
      <c r="C7" s="467">
        <v>139725</v>
      </c>
      <c r="D7" s="467">
        <v>42945</v>
      </c>
      <c r="E7" s="467">
        <v>3191</v>
      </c>
      <c r="F7" s="467">
        <v>1019</v>
      </c>
      <c r="G7" s="467"/>
      <c r="H7" s="467"/>
      <c r="I7" s="467"/>
      <c r="J7" s="467"/>
      <c r="K7" s="1671">
        <f t="shared" ref="K7:K32" si="0">SUM(C7:J7)</f>
        <v>186880</v>
      </c>
      <c r="L7" s="466">
        <v>198665</v>
      </c>
    </row>
    <row r="8" spans="1:14" x14ac:dyDescent="0.2">
      <c r="A8" s="1504" t="s">
        <v>164</v>
      </c>
      <c r="B8" s="614">
        <v>1200</v>
      </c>
      <c r="C8" s="466">
        <v>582090</v>
      </c>
      <c r="D8" s="466">
        <v>99148</v>
      </c>
      <c r="E8" s="466"/>
      <c r="F8" s="466">
        <v>967</v>
      </c>
      <c r="G8" s="466"/>
      <c r="H8" s="466"/>
      <c r="I8" s="467"/>
      <c r="J8" s="467"/>
      <c r="K8" s="1671">
        <f t="shared" si="0"/>
        <v>682205</v>
      </c>
      <c r="L8" s="466">
        <v>742545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78074</v>
      </c>
      <c r="D10" s="466">
        <v>13467</v>
      </c>
      <c r="E10" s="466">
        <v>6140</v>
      </c>
      <c r="F10" s="466">
        <v>11513</v>
      </c>
      <c r="G10" s="466"/>
      <c r="H10" s="466"/>
      <c r="I10" s="467"/>
      <c r="J10" s="467"/>
      <c r="K10" s="1671">
        <f t="shared" si="0"/>
        <v>109194</v>
      </c>
      <c r="L10" s="466">
        <v>109975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v>4024</v>
      </c>
      <c r="G13" s="466">
        <v>780</v>
      </c>
      <c r="H13" s="466"/>
      <c r="I13" s="467"/>
      <c r="J13" s="467"/>
      <c r="K13" s="1671">
        <f t="shared" si="0"/>
        <v>4804</v>
      </c>
      <c r="L13" s="466">
        <v>3980</v>
      </c>
    </row>
    <row r="14" spans="1:14" x14ac:dyDescent="0.2">
      <c r="A14" s="1504" t="s">
        <v>963</v>
      </c>
      <c r="B14" s="614">
        <v>1500</v>
      </c>
      <c r="C14" s="466">
        <v>153055</v>
      </c>
      <c r="D14" s="466">
        <v>19144</v>
      </c>
      <c r="E14" s="466">
        <v>68652</v>
      </c>
      <c r="F14" s="466">
        <v>12265</v>
      </c>
      <c r="G14" s="466">
        <v>6420</v>
      </c>
      <c r="H14" s="466">
        <v>6334</v>
      </c>
      <c r="I14" s="467"/>
      <c r="J14" s="467"/>
      <c r="K14" s="1671">
        <f t="shared" si="0"/>
        <v>265870</v>
      </c>
      <c r="L14" s="466">
        <v>270767</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3650229</v>
      </c>
      <c r="D33" s="1670">
        <f t="shared" ref="D33:L33" si="1">SUM(D5:D32)</f>
        <v>761492</v>
      </c>
      <c r="E33" s="1670">
        <f t="shared" si="1"/>
        <v>99107</v>
      </c>
      <c r="F33" s="1670">
        <f t="shared" si="1"/>
        <v>196167</v>
      </c>
      <c r="G33" s="1670">
        <f t="shared" si="1"/>
        <v>9582</v>
      </c>
      <c r="H33" s="1670">
        <f t="shared" si="1"/>
        <v>12138</v>
      </c>
      <c r="I33" s="1670">
        <f t="shared" si="1"/>
        <v>0</v>
      </c>
      <c r="J33" s="1670">
        <f t="shared" si="1"/>
        <v>0</v>
      </c>
      <c r="K33" s="1670">
        <f t="shared" si="1"/>
        <v>4728715</v>
      </c>
      <c r="L33" s="1670">
        <f t="shared" si="1"/>
        <v>4859598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v>2130</v>
      </c>
      <c r="G36" s="481"/>
      <c r="H36" s="481"/>
      <c r="I36" s="467"/>
      <c r="J36" s="467"/>
      <c r="K36" s="1671">
        <f t="shared" ref="K36:K41" si="2">SUM(C36:J36)</f>
        <v>2130</v>
      </c>
      <c r="L36" s="466"/>
    </row>
    <row r="37" spans="1:14" x14ac:dyDescent="0.2">
      <c r="A37" s="1504" t="s">
        <v>1090</v>
      </c>
      <c r="B37" s="614">
        <v>2120</v>
      </c>
      <c r="C37" s="466">
        <v>65085</v>
      </c>
      <c r="D37" s="466">
        <v>13884</v>
      </c>
      <c r="E37" s="466">
        <v>2870</v>
      </c>
      <c r="F37" s="466">
        <v>1771</v>
      </c>
      <c r="G37" s="466"/>
      <c r="H37" s="466"/>
      <c r="I37" s="467"/>
      <c r="J37" s="467"/>
      <c r="K37" s="1671">
        <f t="shared" si="2"/>
        <v>83610</v>
      </c>
      <c r="L37" s="466">
        <v>83052</v>
      </c>
    </row>
    <row r="38" spans="1:14" x14ac:dyDescent="0.2">
      <c r="A38" s="1504" t="s">
        <v>198</v>
      </c>
      <c r="B38" s="614">
        <v>2130</v>
      </c>
      <c r="C38" s="466">
        <v>71516</v>
      </c>
      <c r="D38" s="466">
        <v>4021</v>
      </c>
      <c r="E38" s="466">
        <v>2859</v>
      </c>
      <c r="F38" s="466">
        <v>1483</v>
      </c>
      <c r="G38" s="466">
        <v>1777</v>
      </c>
      <c r="H38" s="466"/>
      <c r="I38" s="467"/>
      <c r="J38" s="467"/>
      <c r="K38" s="1671">
        <f t="shared" si="2"/>
        <v>81656</v>
      </c>
      <c r="L38" s="466">
        <v>83332</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136601</v>
      </c>
      <c r="D42" s="1670">
        <f t="shared" ref="D42:L42" si="3">SUM(D36:D41)</f>
        <v>17905</v>
      </c>
      <c r="E42" s="1670">
        <f t="shared" si="3"/>
        <v>5729</v>
      </c>
      <c r="F42" s="1670">
        <f t="shared" si="3"/>
        <v>5384</v>
      </c>
      <c r="G42" s="1670">
        <f t="shared" si="3"/>
        <v>1777</v>
      </c>
      <c r="H42" s="1670">
        <f t="shared" si="3"/>
        <v>0</v>
      </c>
      <c r="I42" s="1670">
        <f t="shared" si="3"/>
        <v>0</v>
      </c>
      <c r="J42" s="1670">
        <f t="shared" si="3"/>
        <v>0</v>
      </c>
      <c r="K42" s="1670">
        <f t="shared" si="3"/>
        <v>167396</v>
      </c>
      <c r="L42" s="1670">
        <f t="shared" si="3"/>
        <v>166384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21026</v>
      </c>
      <c r="F44" s="481"/>
      <c r="G44" s="481"/>
      <c r="H44" s="481"/>
      <c r="I44" s="467"/>
      <c r="J44" s="467"/>
      <c r="K44" s="1672">
        <f>SUM(C44:J44)</f>
        <v>21026</v>
      </c>
      <c r="L44" s="481">
        <v>40838</v>
      </c>
    </row>
    <row r="45" spans="1:14" x14ac:dyDescent="0.2">
      <c r="A45" s="1504" t="s">
        <v>815</v>
      </c>
      <c r="B45" s="614">
        <v>2220</v>
      </c>
      <c r="C45" s="466">
        <v>147537</v>
      </c>
      <c r="D45" s="466">
        <v>19205</v>
      </c>
      <c r="E45" s="466">
        <v>131304</v>
      </c>
      <c r="F45" s="466">
        <v>161486</v>
      </c>
      <c r="G45" s="466"/>
      <c r="H45" s="466">
        <v>2250</v>
      </c>
      <c r="I45" s="467"/>
      <c r="J45" s="467"/>
      <c r="K45" s="1672">
        <f>SUM(C45:J45)</f>
        <v>461782</v>
      </c>
      <c r="L45" s="466">
        <v>448884</v>
      </c>
    </row>
    <row r="46" spans="1:14" x14ac:dyDescent="0.2">
      <c r="A46" s="1504" t="s">
        <v>816</v>
      </c>
      <c r="B46" s="614">
        <v>2230</v>
      </c>
      <c r="C46" s="466"/>
      <c r="D46" s="466"/>
      <c r="E46" s="466">
        <v>12482</v>
      </c>
      <c r="F46" s="466"/>
      <c r="G46" s="466"/>
      <c r="H46" s="466"/>
      <c r="I46" s="467"/>
      <c r="J46" s="467"/>
      <c r="K46" s="1672">
        <f>SUM(C46:J46)</f>
        <v>12482</v>
      </c>
      <c r="L46" s="466">
        <v>1760</v>
      </c>
    </row>
    <row r="47" spans="1:14" ht="12.75" customHeight="1" thickBot="1" x14ac:dyDescent="0.25">
      <c r="A47" s="1668" t="s">
        <v>561</v>
      </c>
      <c r="B47" s="1669" t="s">
        <v>32</v>
      </c>
      <c r="C47" s="1670">
        <f>SUM(C44:C46)</f>
        <v>147537</v>
      </c>
      <c r="D47" s="1670">
        <f t="shared" ref="D47:K47" si="4">SUM(D44:D46)</f>
        <v>19205</v>
      </c>
      <c r="E47" s="1670">
        <f t="shared" si="4"/>
        <v>164812</v>
      </c>
      <c r="F47" s="1670">
        <f t="shared" si="4"/>
        <v>161486</v>
      </c>
      <c r="G47" s="1670">
        <f t="shared" si="4"/>
        <v>0</v>
      </c>
      <c r="H47" s="1670">
        <f t="shared" si="4"/>
        <v>2250</v>
      </c>
      <c r="I47" s="1670">
        <f t="shared" si="4"/>
        <v>0</v>
      </c>
      <c r="J47" s="1670">
        <f t="shared" si="4"/>
        <v>0</v>
      </c>
      <c r="K47" s="1670">
        <f t="shared" si="4"/>
        <v>495290</v>
      </c>
      <c r="L47" s="1670">
        <f>SUM(L44:L46)</f>
        <v>491482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33390</v>
      </c>
      <c r="D49" s="481">
        <v>7441</v>
      </c>
      <c r="E49" s="481">
        <v>21285</v>
      </c>
      <c r="F49" s="481">
        <v>602</v>
      </c>
      <c r="G49" s="481"/>
      <c r="H49" s="481">
        <v>10952</v>
      </c>
      <c r="I49" s="467"/>
      <c r="J49" s="467"/>
      <c r="K49" s="1672">
        <f>SUM(C49:J49)</f>
        <v>73670</v>
      </c>
      <c r="L49" s="481">
        <v>75702</v>
      </c>
    </row>
    <row r="50" spans="1:14" x14ac:dyDescent="0.2">
      <c r="A50" s="1504" t="s">
        <v>818</v>
      </c>
      <c r="B50" s="614">
        <v>2320</v>
      </c>
      <c r="C50" s="466">
        <v>170080</v>
      </c>
      <c r="D50" s="466">
        <v>31663</v>
      </c>
      <c r="E50" s="466">
        <v>4293</v>
      </c>
      <c r="F50" s="466">
        <v>572</v>
      </c>
      <c r="G50" s="466"/>
      <c r="H50" s="466">
        <v>1491</v>
      </c>
      <c r="I50" s="467"/>
      <c r="J50" s="467"/>
      <c r="K50" s="1672">
        <f>SUM(C50:J50)</f>
        <v>208099</v>
      </c>
      <c r="L50" s="466">
        <v>209281</v>
      </c>
    </row>
    <row r="51" spans="1:14" x14ac:dyDescent="0.2">
      <c r="A51" s="1504" t="s">
        <v>42</v>
      </c>
      <c r="B51" s="614">
        <v>2330</v>
      </c>
      <c r="C51" s="466">
        <v>1250</v>
      </c>
      <c r="D51" s="466">
        <v>173</v>
      </c>
      <c r="E51" s="466">
        <v>420</v>
      </c>
      <c r="F51" s="466"/>
      <c r="G51" s="466"/>
      <c r="H51" s="466"/>
      <c r="I51" s="467"/>
      <c r="J51" s="467"/>
      <c r="K51" s="1672">
        <f>SUM(C51:J51)</f>
        <v>1843</v>
      </c>
      <c r="L51" s="466">
        <v>5550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204720</v>
      </c>
      <c r="D53" s="1670">
        <f t="shared" ref="D53:L53" si="5">SUM(D49:D52)</f>
        <v>39277</v>
      </c>
      <c r="E53" s="1670">
        <f t="shared" si="5"/>
        <v>25998</v>
      </c>
      <c r="F53" s="1670">
        <f t="shared" si="5"/>
        <v>1174</v>
      </c>
      <c r="G53" s="1670">
        <f t="shared" si="5"/>
        <v>0</v>
      </c>
      <c r="H53" s="1670">
        <f t="shared" si="5"/>
        <v>12443</v>
      </c>
      <c r="I53" s="1670">
        <f t="shared" si="5"/>
        <v>0</v>
      </c>
      <c r="J53" s="1670">
        <f t="shared" si="5"/>
        <v>0</v>
      </c>
      <c r="K53" s="1670">
        <f t="shared" si="5"/>
        <v>283612</v>
      </c>
      <c r="L53" s="1670">
        <f t="shared" si="5"/>
        <v>290533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331237</v>
      </c>
      <c r="D55" s="481">
        <v>75591</v>
      </c>
      <c r="E55" s="481">
        <v>20064</v>
      </c>
      <c r="F55" s="481">
        <v>5471</v>
      </c>
      <c r="G55" s="481">
        <v>1409</v>
      </c>
      <c r="H55" s="481">
        <v>2355</v>
      </c>
      <c r="I55" s="467"/>
      <c r="J55" s="467"/>
      <c r="K55" s="1672">
        <f>SUM(C55:J55)</f>
        <v>436127</v>
      </c>
      <c r="L55" s="481">
        <v>457738</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331237</v>
      </c>
      <c r="D57" s="1674">
        <f t="shared" ref="D57:K57" si="6">SUM(D55:D56)</f>
        <v>75591</v>
      </c>
      <c r="E57" s="1674">
        <f t="shared" si="6"/>
        <v>20064</v>
      </c>
      <c r="F57" s="1674">
        <f t="shared" si="6"/>
        <v>5471</v>
      </c>
      <c r="G57" s="1674">
        <f t="shared" si="6"/>
        <v>1409</v>
      </c>
      <c r="H57" s="1674">
        <f t="shared" si="6"/>
        <v>2355</v>
      </c>
      <c r="I57" s="1674">
        <f t="shared" si="6"/>
        <v>0</v>
      </c>
      <c r="J57" s="1674">
        <f t="shared" si="6"/>
        <v>0</v>
      </c>
      <c r="K57" s="1674">
        <f t="shared" si="6"/>
        <v>436127</v>
      </c>
      <c r="L57" s="1670">
        <f>SUM(L55:L56)</f>
        <v>457738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122614</v>
      </c>
      <c r="D60" s="466">
        <v>27643</v>
      </c>
      <c r="E60" s="466">
        <v>5887</v>
      </c>
      <c r="F60" s="466">
        <v>949</v>
      </c>
      <c r="G60" s="466"/>
      <c r="H60" s="466"/>
      <c r="I60" s="467"/>
      <c r="J60" s="467"/>
      <c r="K60" s="1672">
        <f t="shared" si="7"/>
        <v>157093</v>
      </c>
      <c r="L60" s="466">
        <v>161610</v>
      </c>
      <c r="M60" s="609"/>
      <c r="N60" s="609"/>
    </row>
    <row r="61" spans="1:14" s="343" customFormat="1" x14ac:dyDescent="0.2">
      <c r="A61" s="1504" t="s">
        <v>197</v>
      </c>
      <c r="B61" s="614">
        <v>2540</v>
      </c>
      <c r="C61" s="466"/>
      <c r="D61" s="466"/>
      <c r="E61" s="466"/>
      <c r="F61" s="466">
        <v>11</v>
      </c>
      <c r="G61" s="466"/>
      <c r="H61" s="466"/>
      <c r="I61" s="467"/>
      <c r="J61" s="467"/>
      <c r="K61" s="1672">
        <f t="shared" si="7"/>
        <v>11</v>
      </c>
      <c r="L61" s="466">
        <v>883</v>
      </c>
      <c r="M61" s="609"/>
      <c r="N61" s="609"/>
    </row>
    <row r="62" spans="1:14" s="343" customFormat="1" x14ac:dyDescent="0.2">
      <c r="A62" s="1504" t="s">
        <v>953</v>
      </c>
      <c r="B62" s="614">
        <v>2550</v>
      </c>
      <c r="C62" s="466">
        <v>10488</v>
      </c>
      <c r="D62" s="466">
        <v>1791</v>
      </c>
      <c r="E62" s="466">
        <v>16289</v>
      </c>
      <c r="F62" s="466">
        <v>35</v>
      </c>
      <c r="G62" s="466"/>
      <c r="H62" s="466"/>
      <c r="I62" s="467"/>
      <c r="J62" s="467"/>
      <c r="K62" s="1672">
        <f t="shared" si="7"/>
        <v>28603</v>
      </c>
      <c r="L62" s="466">
        <v>31355</v>
      </c>
      <c r="M62" s="609"/>
      <c r="N62" s="609"/>
    </row>
    <row r="63" spans="1:14" s="609" customFormat="1" x14ac:dyDescent="0.2">
      <c r="A63" s="1504" t="s">
        <v>100</v>
      </c>
      <c r="B63" s="614">
        <v>2560</v>
      </c>
      <c r="C63" s="466">
        <v>103940</v>
      </c>
      <c r="D63" s="466">
        <v>12957</v>
      </c>
      <c r="E63" s="466">
        <v>8264</v>
      </c>
      <c r="F63" s="466">
        <v>220136</v>
      </c>
      <c r="G63" s="466">
        <v>3347</v>
      </c>
      <c r="H63" s="466">
        <v>1475</v>
      </c>
      <c r="I63" s="467"/>
      <c r="J63" s="467"/>
      <c r="K63" s="1672">
        <f t="shared" si="7"/>
        <v>350119</v>
      </c>
      <c r="L63" s="466">
        <v>394361</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237042</v>
      </c>
      <c r="D65" s="1670">
        <f t="shared" ref="D65:L65" si="8">SUM(D59:D64)</f>
        <v>42391</v>
      </c>
      <c r="E65" s="1670">
        <f t="shared" si="8"/>
        <v>30440</v>
      </c>
      <c r="F65" s="1670">
        <f t="shared" si="8"/>
        <v>221131</v>
      </c>
      <c r="G65" s="1670">
        <f t="shared" si="8"/>
        <v>3347</v>
      </c>
      <c r="H65" s="1670">
        <f t="shared" si="8"/>
        <v>1475</v>
      </c>
      <c r="I65" s="1670">
        <f t="shared" si="8"/>
        <v>0</v>
      </c>
      <c r="J65" s="1670">
        <f t="shared" si="8"/>
        <v>0</v>
      </c>
      <c r="K65" s="1670">
        <f t="shared" si="8"/>
        <v>535826</v>
      </c>
      <c r="L65" s="1670">
        <f t="shared" si="8"/>
        <v>588209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200</v>
      </c>
      <c r="G73" s="573"/>
      <c r="H73" s="573"/>
      <c r="I73" s="531"/>
      <c r="J73" s="531"/>
      <c r="K73" s="1670">
        <f>SUM(C73:J73)</f>
        <v>200</v>
      </c>
      <c r="L73" s="576">
        <v>200</v>
      </c>
      <c r="M73" s="609"/>
      <c r="N73" s="609"/>
    </row>
    <row r="74" spans="1:14" ht="12.75" customHeight="1" thickTop="1" thickBot="1" x14ac:dyDescent="0.25">
      <c r="A74" s="1668" t="s">
        <v>811</v>
      </c>
      <c r="B74" s="1676">
        <v>2000</v>
      </c>
      <c r="C74" s="1677">
        <f>SUM(C42,C47,C53,C57,C65,C72,C73)</f>
        <v>1057137</v>
      </c>
      <c r="D74" s="1677">
        <f t="shared" ref="D74:K74" si="10">SUM(D42,D47,D53,D57,D65,D72,D73)</f>
        <v>194369</v>
      </c>
      <c r="E74" s="1677">
        <f t="shared" si="10"/>
        <v>247043</v>
      </c>
      <c r="F74" s="1677">
        <f t="shared" si="10"/>
        <v>394846</v>
      </c>
      <c r="G74" s="1677">
        <f t="shared" si="10"/>
        <v>6533</v>
      </c>
      <c r="H74" s="1677">
        <f t="shared" si="10"/>
        <v>18523</v>
      </c>
      <c r="I74" s="1677">
        <f t="shared" si="10"/>
        <v>0</v>
      </c>
      <c r="J74" s="1677">
        <f t="shared" si="10"/>
        <v>0</v>
      </c>
      <c r="K74" s="1677">
        <f t="shared" si="10"/>
        <v>1918451</v>
      </c>
      <c r="L74" s="1677">
        <f>SUM(L42,L47,L53,L57,L65,L72,L73)</f>
        <v>1994546</v>
      </c>
    </row>
    <row r="75" spans="1:14" s="259" customFormat="1" ht="15.75" customHeight="1" thickTop="1" thickBot="1" x14ac:dyDescent="0.25">
      <c r="A75" s="1610" t="s">
        <v>47</v>
      </c>
      <c r="B75" s="1611" t="s">
        <v>575</v>
      </c>
      <c r="C75" s="573">
        <v>9767</v>
      </c>
      <c r="D75" s="573">
        <v>1474</v>
      </c>
      <c r="E75" s="573">
        <v>797</v>
      </c>
      <c r="F75" s="573">
        <v>1338</v>
      </c>
      <c r="G75" s="573"/>
      <c r="H75" s="573"/>
      <c r="I75" s="531"/>
      <c r="J75" s="531"/>
      <c r="K75" s="1670">
        <f>SUM(C75:J75)</f>
        <v>13376</v>
      </c>
      <c r="L75" s="576">
        <v>31875</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374710</v>
      </c>
      <c r="I79" s="477"/>
      <c r="J79" s="477"/>
      <c r="K79" s="1671">
        <f t="shared" si="11"/>
        <v>374710</v>
      </c>
      <c r="L79" s="466">
        <v>371000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54900</v>
      </c>
      <c r="I81" s="477"/>
      <c r="J81" s="477"/>
      <c r="K81" s="1671">
        <f t="shared" si="11"/>
        <v>54900</v>
      </c>
      <c r="L81" s="466">
        <v>55000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429610</v>
      </c>
      <c r="I84" s="477"/>
      <c r="J84" s="477"/>
      <c r="K84" s="1670">
        <f>SUM(K78:K83)</f>
        <v>429610</v>
      </c>
      <c r="L84" s="1670">
        <f>SUM(L78:L83)</f>
        <v>426000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429610</v>
      </c>
      <c r="I102" s="477"/>
      <c r="J102" s="477"/>
      <c r="K102" s="1677">
        <f>SUM(K84,K92,K100,K101)</f>
        <v>429610</v>
      </c>
      <c r="L102" s="1677">
        <f>SUM(L84,L92,L100,L101)</f>
        <v>426000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4717133</v>
      </c>
      <c r="D114" s="1670">
        <f t="shared" ref="D114:K114" si="13">SUM(D33,D74,D75,D102,D112,D113)</f>
        <v>957335</v>
      </c>
      <c r="E114" s="1670">
        <f t="shared" si="13"/>
        <v>346947</v>
      </c>
      <c r="F114" s="1670">
        <f t="shared" si="13"/>
        <v>592351</v>
      </c>
      <c r="G114" s="1670">
        <f t="shared" si="13"/>
        <v>16115</v>
      </c>
      <c r="H114" s="1670">
        <f>SUM(H33,H74,H75,H102,H112,H113)</f>
        <v>460271</v>
      </c>
      <c r="I114" s="1670">
        <f t="shared" si="13"/>
        <v>0</v>
      </c>
      <c r="J114" s="1670">
        <f t="shared" si="13"/>
        <v>0</v>
      </c>
      <c r="K114" s="1670">
        <f t="shared" si="13"/>
        <v>7090152</v>
      </c>
      <c r="L114" s="1670">
        <f>SUM(L33,L74,L75,L102,L112,L113)</f>
        <v>7312019</v>
      </c>
    </row>
    <row r="115" spans="1:14" ht="13.5" thickTop="1" x14ac:dyDescent="0.2">
      <c r="A115" s="2157" t="s">
        <v>996</v>
      </c>
      <c r="B115" s="2158"/>
      <c r="C115" s="618"/>
      <c r="D115" s="618"/>
      <c r="E115" s="618"/>
      <c r="F115" s="618"/>
      <c r="G115" s="618"/>
      <c r="H115" s="618"/>
      <c r="I115" s="618"/>
      <c r="J115" s="618"/>
      <c r="K115" s="1684">
        <f>'Revenues 9-14'!C268-'Expenditures 15-22'!K114</f>
        <v>-32082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35" t="s">
        <v>296</v>
      </c>
      <c r="B117" s="213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377890</v>
      </c>
      <c r="D124" s="466">
        <v>71185</v>
      </c>
      <c r="E124" s="466">
        <v>282044</v>
      </c>
      <c r="F124" s="466">
        <v>269487</v>
      </c>
      <c r="G124" s="466">
        <v>121842</v>
      </c>
      <c r="H124" s="466"/>
      <c r="I124" s="467"/>
      <c r="J124" s="467"/>
      <c r="K124" s="1670">
        <f>SUM(C124:J124)</f>
        <v>1122448</v>
      </c>
      <c r="L124" s="466">
        <v>1144855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377890</v>
      </c>
      <c r="D127" s="1670">
        <f t="shared" ref="D127:L127" si="14">SUM(D122:D126)</f>
        <v>71185</v>
      </c>
      <c r="E127" s="1670">
        <f t="shared" si="14"/>
        <v>282044</v>
      </c>
      <c r="F127" s="1670">
        <f t="shared" si="14"/>
        <v>269487</v>
      </c>
      <c r="G127" s="1670">
        <f t="shared" si="14"/>
        <v>121842</v>
      </c>
      <c r="H127" s="1670">
        <f t="shared" si="14"/>
        <v>0</v>
      </c>
      <c r="I127" s="1670">
        <f t="shared" si="14"/>
        <v>0</v>
      </c>
      <c r="J127" s="1670">
        <f t="shared" si="14"/>
        <v>0</v>
      </c>
      <c r="K127" s="1670">
        <f t="shared" si="14"/>
        <v>1122448</v>
      </c>
      <c r="L127" s="1670">
        <f t="shared" si="14"/>
        <v>1144855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377890</v>
      </c>
      <c r="D129" s="1677">
        <f t="shared" ref="D129:L129" si="15">SUM(D120,D127,D128)</f>
        <v>71185</v>
      </c>
      <c r="E129" s="1677">
        <f t="shared" si="15"/>
        <v>282044</v>
      </c>
      <c r="F129" s="1677">
        <f t="shared" si="15"/>
        <v>269487</v>
      </c>
      <c r="G129" s="1677">
        <f t="shared" si="15"/>
        <v>121842</v>
      </c>
      <c r="H129" s="1677">
        <f t="shared" si="15"/>
        <v>0</v>
      </c>
      <c r="I129" s="1677">
        <f t="shared" si="15"/>
        <v>0</v>
      </c>
      <c r="J129" s="1677">
        <f t="shared" si="15"/>
        <v>0</v>
      </c>
      <c r="K129" s="1677">
        <f t="shared" si="15"/>
        <v>1122448</v>
      </c>
      <c r="L129" s="1677">
        <f t="shared" si="15"/>
        <v>1144855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v>30512</v>
      </c>
      <c r="I135" s="477"/>
      <c r="J135" s="616"/>
      <c r="K135" s="1672">
        <f>SUM(E135,H135)</f>
        <v>30512</v>
      </c>
      <c r="L135" s="466">
        <v>30515</v>
      </c>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30512</v>
      </c>
      <c r="I137" s="477"/>
      <c r="J137" s="616"/>
      <c r="K137" s="1670">
        <f>SUM(K133:K136)</f>
        <v>30512</v>
      </c>
      <c r="L137" s="1670">
        <f>SUM(L133:L136)</f>
        <v>30515</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30512</v>
      </c>
      <c r="I139" s="477"/>
      <c r="J139" s="616"/>
      <c r="K139" s="1672">
        <f>SUM(K137,K138)</f>
        <v>30512</v>
      </c>
      <c r="L139" s="1679">
        <f>SUM(L137,L138)</f>
        <v>30515</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47" t="s">
        <v>620</v>
      </c>
      <c r="B151" s="2129"/>
      <c r="C151" s="1670">
        <f>SUM(C129,C130,C139,C149,C150)</f>
        <v>377890</v>
      </c>
      <c r="D151" s="1670">
        <f t="shared" ref="D151:K151" si="16">SUM(D129,D130,D139,D149,D150)</f>
        <v>71185</v>
      </c>
      <c r="E151" s="1670">
        <f t="shared" si="16"/>
        <v>282044</v>
      </c>
      <c r="F151" s="1670">
        <f t="shared" si="16"/>
        <v>269487</v>
      </c>
      <c r="G151" s="1670">
        <f t="shared" si="16"/>
        <v>121842</v>
      </c>
      <c r="H151" s="1670">
        <f t="shared" si="16"/>
        <v>30512</v>
      </c>
      <c r="I151" s="1670">
        <f t="shared" si="16"/>
        <v>0</v>
      </c>
      <c r="J151" s="1670">
        <f t="shared" si="16"/>
        <v>0</v>
      </c>
      <c r="K151" s="1670">
        <f t="shared" si="16"/>
        <v>1152960</v>
      </c>
      <c r="L151" s="1670">
        <f>SUM(L129,L130,L139,L149,L150)</f>
        <v>1175370</v>
      </c>
    </row>
    <row r="152" spans="1:14" ht="12.75" customHeight="1" thickTop="1" x14ac:dyDescent="0.2">
      <c r="A152" s="2150" t="s">
        <v>1178</v>
      </c>
      <c r="B152" s="2151"/>
      <c r="C152" s="618"/>
      <c r="D152" s="618"/>
      <c r="E152" s="618"/>
      <c r="F152" s="618"/>
      <c r="G152" s="618"/>
      <c r="H152" s="618"/>
      <c r="I152" s="618"/>
      <c r="J152" s="616"/>
      <c r="K152" s="1684">
        <f>'Revenues 9-14'!D268-'Expenditures 15-22'!K151</f>
        <v>-34193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35" t="s">
        <v>621</v>
      </c>
      <c r="B154" s="213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355054</v>
      </c>
      <c r="I169" s="616"/>
      <c r="J169" s="616"/>
      <c r="K169" s="1671">
        <f>SUM(C169:H169)</f>
        <v>355054</v>
      </c>
      <c r="L169" s="656">
        <v>355055</v>
      </c>
    </row>
    <row r="170" spans="1:14" ht="33.75" customHeight="1" x14ac:dyDescent="0.2">
      <c r="A170" s="669" t="s">
        <v>1670</v>
      </c>
      <c r="B170" s="671" t="s">
        <v>31</v>
      </c>
      <c r="C170" s="616"/>
      <c r="D170" s="616"/>
      <c r="E170" s="616"/>
      <c r="F170" s="616"/>
      <c r="G170" s="616"/>
      <c r="H170" s="569">
        <v>1275071</v>
      </c>
      <c r="I170" s="616"/>
      <c r="J170" s="616"/>
      <c r="K170" s="1671">
        <f>SUM(C170:J170)</f>
        <v>1275071</v>
      </c>
      <c r="L170" s="569">
        <v>1275070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1630125</v>
      </c>
      <c r="I172" s="638"/>
      <c r="J172" s="616"/>
      <c r="K172" s="1677">
        <f>SUM(K168,K169,K170,K171)</f>
        <v>1630125</v>
      </c>
      <c r="L172" s="1677">
        <f>SUM(L168,L169,L170,L171)</f>
        <v>1630125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1630125</v>
      </c>
      <c r="I174" s="638"/>
      <c r="J174" s="616"/>
      <c r="K174" s="1677">
        <f>SUM(K160,K172,K173)</f>
        <v>1630125</v>
      </c>
      <c r="L174" s="1677">
        <f>SUM(L160,L172,L173)</f>
        <v>1630125</v>
      </c>
    </row>
    <row r="175" spans="1:14" ht="13.5" thickTop="1" x14ac:dyDescent="0.2">
      <c r="A175" s="2157" t="s">
        <v>996</v>
      </c>
      <c r="B175" s="2158"/>
      <c r="C175" s="616"/>
      <c r="D175" s="616"/>
      <c r="E175" s="616"/>
      <c r="F175" s="616"/>
      <c r="G175" s="616"/>
      <c r="H175" s="618"/>
      <c r="I175" s="616"/>
      <c r="J175" s="616"/>
      <c r="K175" s="1684">
        <f>'Revenues 9-14'!E268-'Expenditures 15-22'!K174</f>
        <v>-71479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343041</v>
      </c>
      <c r="D182" s="466">
        <v>32723</v>
      </c>
      <c r="E182" s="466">
        <v>44481</v>
      </c>
      <c r="F182" s="466">
        <v>101600</v>
      </c>
      <c r="G182" s="466">
        <v>175933</v>
      </c>
      <c r="H182" s="466"/>
      <c r="I182" s="467"/>
      <c r="J182" s="467"/>
      <c r="K182" s="1671">
        <f>SUM(C182:J182)</f>
        <v>697778</v>
      </c>
      <c r="L182" s="466">
        <v>728245</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343041</v>
      </c>
      <c r="D184" s="1677">
        <f t="shared" ref="D184:J184" si="17">SUM(D180,D182,D183)</f>
        <v>32723</v>
      </c>
      <c r="E184" s="1677">
        <f t="shared" si="17"/>
        <v>44481</v>
      </c>
      <c r="F184" s="1677">
        <f t="shared" si="17"/>
        <v>101600</v>
      </c>
      <c r="G184" s="1677">
        <f t="shared" si="17"/>
        <v>175933</v>
      </c>
      <c r="H184" s="1677">
        <f t="shared" si="17"/>
        <v>0</v>
      </c>
      <c r="I184" s="1677">
        <f t="shared" si="17"/>
        <v>0</v>
      </c>
      <c r="J184" s="1677">
        <f t="shared" si="17"/>
        <v>0</v>
      </c>
      <c r="K184" s="1677">
        <f>SUM(K180,K182,K183)</f>
        <v>697778</v>
      </c>
      <c r="L184" s="1677">
        <f>SUM(L180, L182:L183)</f>
        <v>728245</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343041</v>
      </c>
      <c r="D210" s="1670">
        <f>SUM(D184,D185)</f>
        <v>32723</v>
      </c>
      <c r="E210" s="1670">
        <f>SUM(E184,E185,E196)</f>
        <v>44481</v>
      </c>
      <c r="F210" s="1670">
        <f>SUM(F184,F185)</f>
        <v>101600</v>
      </c>
      <c r="G210" s="1670">
        <f>SUM(G184,G185)</f>
        <v>175933</v>
      </c>
      <c r="H210" s="1670">
        <f>SUM(H184,H185,H196,H208,H209)</f>
        <v>0</v>
      </c>
      <c r="I210" s="1670">
        <f>SUM(I184,I185)</f>
        <v>0</v>
      </c>
      <c r="J210" s="1670">
        <f>SUM(J184,J185)</f>
        <v>0</v>
      </c>
      <c r="K210" s="1671">
        <f>SUM(K184,K185,K196,K208,K209)</f>
        <v>697778</v>
      </c>
      <c r="L210" s="1670">
        <f>SUM(L184,L185,L196,L208,L209)</f>
        <v>728245</v>
      </c>
    </row>
    <row r="211" spans="1:14" ht="13.5" thickTop="1" x14ac:dyDescent="0.2">
      <c r="A211" s="2157" t="s">
        <v>996</v>
      </c>
      <c r="B211" s="2158"/>
      <c r="C211" s="618"/>
      <c r="D211" s="618"/>
      <c r="E211" s="618"/>
      <c r="F211" s="618"/>
      <c r="G211" s="618"/>
      <c r="H211" s="618"/>
      <c r="I211" s="616"/>
      <c r="J211" s="616"/>
      <c r="K211" s="1684">
        <f>'Revenues 9-14'!F268-'Expenditures 15-22'!K210</f>
        <v>141603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52" t="s">
        <v>965</v>
      </c>
      <c r="B213" s="215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47725</v>
      </c>
      <c r="E215" s="616"/>
      <c r="F215" s="616"/>
      <c r="G215" s="616"/>
      <c r="H215" s="616"/>
      <c r="I215" s="616"/>
      <c r="J215" s="616"/>
      <c r="K215" s="1671">
        <f>D215</f>
        <v>47725</v>
      </c>
      <c r="L215" s="466">
        <v>53990</v>
      </c>
    </row>
    <row r="216" spans="1:14" x14ac:dyDescent="0.2">
      <c r="A216" s="1504" t="s">
        <v>163</v>
      </c>
      <c r="B216" s="614" t="s">
        <v>967</v>
      </c>
      <c r="C216" s="616"/>
      <c r="D216" s="467">
        <v>366</v>
      </c>
      <c r="E216" s="616"/>
      <c r="F216" s="616"/>
      <c r="G216" s="616"/>
      <c r="H216" s="616"/>
      <c r="I216" s="616"/>
      <c r="J216" s="616"/>
      <c r="K216" s="1671">
        <f t="shared" ref="K216:K228" si="19">D216</f>
        <v>366</v>
      </c>
      <c r="L216" s="466"/>
    </row>
    <row r="217" spans="1:14" x14ac:dyDescent="0.2">
      <c r="A217" s="1504" t="s">
        <v>164</v>
      </c>
      <c r="B217" s="614">
        <v>1200</v>
      </c>
      <c r="C217" s="616"/>
      <c r="D217" s="466">
        <v>41824</v>
      </c>
      <c r="E217" s="616"/>
      <c r="F217" s="616"/>
      <c r="G217" s="616"/>
      <c r="H217" s="616"/>
      <c r="I217" s="616"/>
      <c r="J217" s="616"/>
      <c r="K217" s="1671">
        <f t="shared" si="19"/>
        <v>41824</v>
      </c>
      <c r="L217" s="466">
        <v>38055</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6896</v>
      </c>
      <c r="E219" s="616"/>
      <c r="F219" s="616"/>
      <c r="G219" s="616"/>
      <c r="H219" s="616"/>
      <c r="I219" s="616"/>
      <c r="J219" s="616"/>
      <c r="K219" s="1671">
        <f t="shared" si="19"/>
        <v>6896</v>
      </c>
      <c r="L219" s="466">
        <v>7370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6479</v>
      </c>
      <c r="E223" s="616"/>
      <c r="F223" s="616"/>
      <c r="G223" s="616"/>
      <c r="H223" s="616"/>
      <c r="I223" s="616"/>
      <c r="J223" s="616"/>
      <c r="K223" s="1671">
        <f t="shared" si="19"/>
        <v>6479</v>
      </c>
      <c r="L223" s="466">
        <v>5580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103290</v>
      </c>
      <c r="E229" s="616"/>
      <c r="F229" s="616"/>
      <c r="G229" s="616"/>
      <c r="H229" s="616"/>
      <c r="I229" s="616"/>
      <c r="J229" s="616"/>
      <c r="K229" s="1670">
        <f>SUM(K215:K228)</f>
        <v>103290</v>
      </c>
      <c r="L229" s="1670">
        <f>SUM(L215:L228)</f>
        <v>104995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926</v>
      </c>
      <c r="E233" s="616"/>
      <c r="F233" s="616"/>
      <c r="G233" s="616"/>
      <c r="H233" s="616"/>
      <c r="I233" s="616"/>
      <c r="J233" s="616"/>
      <c r="K233" s="1671">
        <f t="shared" si="20"/>
        <v>926</v>
      </c>
      <c r="L233" s="466">
        <v>915</v>
      </c>
    </row>
    <row r="234" spans="1:12" x14ac:dyDescent="0.2">
      <c r="A234" s="1504" t="s">
        <v>198</v>
      </c>
      <c r="B234" s="614">
        <v>2130</v>
      </c>
      <c r="C234" s="616"/>
      <c r="D234" s="466">
        <v>11547</v>
      </c>
      <c r="E234" s="616"/>
      <c r="F234" s="616"/>
      <c r="G234" s="616"/>
      <c r="H234" s="616"/>
      <c r="I234" s="616"/>
      <c r="J234" s="616"/>
      <c r="K234" s="1671">
        <f t="shared" si="20"/>
        <v>11547</v>
      </c>
      <c r="L234" s="466">
        <v>12820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12473</v>
      </c>
      <c r="E238" s="616"/>
      <c r="F238" s="616"/>
      <c r="G238" s="616"/>
      <c r="H238" s="616"/>
      <c r="I238" s="616"/>
      <c r="J238" s="616"/>
      <c r="K238" s="1670">
        <f>SUM(K232:K237)</f>
        <v>12473</v>
      </c>
      <c r="L238" s="1670">
        <f>SUM(L232:L237)</f>
        <v>13735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16140</v>
      </c>
      <c r="E241" s="616"/>
      <c r="F241" s="616"/>
      <c r="G241" s="616"/>
      <c r="H241" s="616"/>
      <c r="I241" s="616"/>
      <c r="J241" s="616"/>
      <c r="K241" s="1672">
        <f>D241</f>
        <v>16140</v>
      </c>
      <c r="L241" s="466">
        <v>13735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16140</v>
      </c>
      <c r="E243" s="616"/>
      <c r="F243" s="616"/>
      <c r="G243" s="616"/>
      <c r="H243" s="616"/>
      <c r="I243" s="616"/>
      <c r="J243" s="616"/>
      <c r="K243" s="1670">
        <f>SUM(K240:K242)</f>
        <v>16140</v>
      </c>
      <c r="L243" s="1670">
        <f>SUM(L240:L242)</f>
        <v>13735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566</v>
      </c>
      <c r="E245" s="616"/>
      <c r="F245" s="616"/>
      <c r="G245" s="616"/>
      <c r="H245" s="616"/>
      <c r="I245" s="616"/>
      <c r="J245" s="616"/>
      <c r="K245" s="1672">
        <f>D245</f>
        <v>566</v>
      </c>
      <c r="L245" s="481">
        <v>280</v>
      </c>
    </row>
    <row r="246" spans="1:12" x14ac:dyDescent="0.2">
      <c r="A246" s="1504" t="s">
        <v>818</v>
      </c>
      <c r="B246" s="614">
        <v>2320</v>
      </c>
      <c r="C246" s="616"/>
      <c r="D246" s="466">
        <v>7208</v>
      </c>
      <c r="E246" s="616"/>
      <c r="F246" s="616"/>
      <c r="G246" s="616"/>
      <c r="H246" s="616"/>
      <c r="I246" s="616"/>
      <c r="J246" s="616"/>
      <c r="K246" s="1672">
        <f t="shared" ref="K246:K256" si="21">D246</f>
        <v>7208</v>
      </c>
      <c r="L246" s="466">
        <v>7350</v>
      </c>
    </row>
    <row r="247" spans="1:12" x14ac:dyDescent="0.2">
      <c r="A247" s="1504" t="s">
        <v>819</v>
      </c>
      <c r="B247" s="614">
        <v>2330</v>
      </c>
      <c r="C247" s="616"/>
      <c r="D247" s="466">
        <v>17</v>
      </c>
      <c r="E247" s="616"/>
      <c r="F247" s="616"/>
      <c r="G247" s="616"/>
      <c r="H247" s="616"/>
      <c r="I247" s="616"/>
      <c r="J247" s="616"/>
      <c r="K247" s="1672">
        <f t="shared" si="21"/>
        <v>17</v>
      </c>
      <c r="L247" s="466">
        <v>35</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7791</v>
      </c>
      <c r="E257" s="616"/>
      <c r="F257" s="616"/>
      <c r="G257" s="616"/>
      <c r="H257" s="616"/>
      <c r="I257" s="616"/>
      <c r="J257" s="616"/>
      <c r="K257" s="1670">
        <f>SUM(K245:K256)</f>
        <v>7791</v>
      </c>
      <c r="L257" s="1670">
        <f>SUM(L245:L256)</f>
        <v>7665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17154</v>
      </c>
      <c r="E259" s="616"/>
      <c r="F259" s="616"/>
      <c r="G259" s="616"/>
      <c r="H259" s="616"/>
      <c r="I259" s="616"/>
      <c r="J259" s="616"/>
      <c r="K259" s="1672">
        <f>D259</f>
        <v>17154</v>
      </c>
      <c r="L259" s="481">
        <v>17285</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17154</v>
      </c>
      <c r="E261" s="616"/>
      <c r="F261" s="616"/>
      <c r="G261" s="616"/>
      <c r="H261" s="616"/>
      <c r="I261" s="616"/>
      <c r="J261" s="616"/>
      <c r="K261" s="1670">
        <f>SUM(K259:K260)</f>
        <v>17154</v>
      </c>
      <c r="L261" s="1670">
        <f>SUM(L259:L260)</f>
        <v>17285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20419</v>
      </c>
      <c r="E264" s="616"/>
      <c r="F264" s="616"/>
      <c r="G264" s="616"/>
      <c r="H264" s="616"/>
      <c r="I264" s="616"/>
      <c r="J264" s="616"/>
      <c r="K264" s="1672">
        <f t="shared" ref="K264:K269" si="22">D264</f>
        <v>20419</v>
      </c>
      <c r="L264" s="466">
        <v>21065</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62452</v>
      </c>
      <c r="E266" s="616"/>
      <c r="F266" s="616"/>
      <c r="G266" s="616"/>
      <c r="H266" s="616"/>
      <c r="I266" s="616"/>
      <c r="J266" s="616"/>
      <c r="K266" s="1672">
        <f t="shared" si="22"/>
        <v>62452</v>
      </c>
      <c r="L266" s="466">
        <v>64900</v>
      </c>
    </row>
    <row r="267" spans="1:14" x14ac:dyDescent="0.2">
      <c r="A267" s="1504" t="s">
        <v>953</v>
      </c>
      <c r="B267" s="614">
        <v>2550</v>
      </c>
      <c r="C267" s="616"/>
      <c r="D267" s="466">
        <v>45597</v>
      </c>
      <c r="E267" s="616"/>
      <c r="F267" s="616"/>
      <c r="G267" s="616"/>
      <c r="H267" s="616"/>
      <c r="I267" s="616"/>
      <c r="J267" s="616"/>
      <c r="K267" s="1672">
        <f t="shared" si="22"/>
        <v>45597</v>
      </c>
      <c r="L267" s="466">
        <v>51060</v>
      </c>
    </row>
    <row r="268" spans="1:14" x14ac:dyDescent="0.2">
      <c r="A268" s="1504" t="s">
        <v>100</v>
      </c>
      <c r="B268" s="614">
        <v>2560</v>
      </c>
      <c r="C268" s="616"/>
      <c r="D268" s="466">
        <v>17149</v>
      </c>
      <c r="E268" s="616"/>
      <c r="F268" s="616"/>
      <c r="G268" s="616"/>
      <c r="H268" s="616"/>
      <c r="I268" s="616"/>
      <c r="J268" s="616"/>
      <c r="K268" s="1672">
        <f t="shared" si="22"/>
        <v>17149</v>
      </c>
      <c r="L268" s="466">
        <v>19670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145617</v>
      </c>
      <c r="E270" s="616"/>
      <c r="F270" s="616"/>
      <c r="G270" s="616"/>
      <c r="H270" s="616"/>
      <c r="I270" s="616"/>
      <c r="J270" s="616"/>
      <c r="K270" s="1670">
        <f>SUM(K263:K269)</f>
        <v>145617</v>
      </c>
      <c r="L270" s="1670">
        <f>SUM(L263:L269)</f>
        <v>156695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199175</v>
      </c>
      <c r="E279" s="616"/>
      <c r="F279" s="616"/>
      <c r="G279" s="616"/>
      <c r="H279" s="616"/>
      <c r="I279" s="616"/>
      <c r="J279" s="616"/>
      <c r="K279" s="1677">
        <f>SUM(K238,K243,K257,K261,K270,K277,K278)</f>
        <v>199175</v>
      </c>
      <c r="L279" s="1677">
        <f>SUM(L238,L243,L257,L261,L270,L277,L278)</f>
        <v>209115</v>
      </c>
    </row>
    <row r="280" spans="1:12" ht="15.75" customHeight="1" thickTop="1" thickBot="1" x14ac:dyDescent="0.25">
      <c r="A280" s="1624" t="s">
        <v>875</v>
      </c>
      <c r="B280" s="1613">
        <v>3000</v>
      </c>
      <c r="C280" s="616"/>
      <c r="D280" s="576">
        <v>202</v>
      </c>
      <c r="E280" s="616"/>
      <c r="F280" s="616"/>
      <c r="G280" s="616"/>
      <c r="H280" s="616"/>
      <c r="I280" s="616"/>
      <c r="J280" s="616"/>
      <c r="K280" s="1679">
        <f>D280</f>
        <v>202</v>
      </c>
      <c r="L280" s="576">
        <v>25</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48" t="s">
        <v>505</v>
      </c>
      <c r="B295" s="2149"/>
      <c r="C295" s="616"/>
      <c r="D295" s="1670">
        <f>SUM(D229,D279,D280,D285)</f>
        <v>302667</v>
      </c>
      <c r="E295" s="616"/>
      <c r="F295" s="616"/>
      <c r="G295" s="616"/>
      <c r="H295" s="1670">
        <f>H293</f>
        <v>0</v>
      </c>
      <c r="I295" s="616"/>
      <c r="J295" s="616"/>
      <c r="K295" s="1670">
        <f>SUM(K229,K279,K280,K285,K293,K294)</f>
        <v>302667</v>
      </c>
      <c r="L295" s="1670">
        <f>SUM(L229,L279,L280,L285,L293,L294)</f>
        <v>314135</v>
      </c>
    </row>
    <row r="296" spans="1:14" ht="13.5" thickTop="1" x14ac:dyDescent="0.2">
      <c r="A296" s="2157" t="s">
        <v>996</v>
      </c>
      <c r="B296" s="2158"/>
      <c r="C296" s="616"/>
      <c r="D296" s="618"/>
      <c r="E296" s="616"/>
      <c r="F296" s="616"/>
      <c r="G296" s="616"/>
      <c r="H296" s="687"/>
      <c r="I296" s="616"/>
      <c r="J296" s="616"/>
      <c r="K296" s="1684">
        <f>'Revenues 9-14'!G268-'Expenditures 15-22'!K295</f>
        <v>55871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40" t="s">
        <v>143</v>
      </c>
      <c r="B298" s="213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45" t="s">
        <v>277</v>
      </c>
      <c r="B312" s="2146"/>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41" t="s">
        <v>996</v>
      </c>
      <c r="B313" s="2142"/>
      <c r="C313" s="626"/>
      <c r="D313" s="626"/>
      <c r="E313" s="626"/>
      <c r="F313" s="626"/>
      <c r="G313" s="626"/>
      <c r="H313" s="626"/>
      <c r="I313" s="626"/>
      <c r="J313" s="626"/>
      <c r="K313" s="1685">
        <f>'Revenues 9-14'!H268-'Expenditures 15-22'!K312</f>
        <v>8861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54" t="s">
        <v>149</v>
      </c>
      <c r="B315" s="215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56" t="s">
        <v>898</v>
      </c>
      <c r="B317" s="215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63422</v>
      </c>
      <c r="F320" s="467"/>
      <c r="G320" s="467"/>
      <c r="H320" s="467"/>
      <c r="I320" s="467"/>
      <c r="J320" s="467"/>
      <c r="K320" s="1671">
        <f t="shared" ref="K320:K327" si="24">SUM(C320:J320)</f>
        <v>63422</v>
      </c>
      <c r="L320" s="467">
        <v>63425</v>
      </c>
      <c r="M320" s="665"/>
      <c r="N320" s="665"/>
    </row>
    <row r="321" spans="1:14" s="674" customFormat="1" x14ac:dyDescent="0.2">
      <c r="A321" s="1519" t="s">
        <v>300</v>
      </c>
      <c r="B321" s="697" t="s">
        <v>283</v>
      </c>
      <c r="C321" s="467"/>
      <c r="D321" s="467"/>
      <c r="E321" s="467">
        <v>16417</v>
      </c>
      <c r="F321" s="467"/>
      <c r="G321" s="467"/>
      <c r="H321" s="467"/>
      <c r="I321" s="467"/>
      <c r="J321" s="467"/>
      <c r="K321" s="1671">
        <f t="shared" si="24"/>
        <v>16417</v>
      </c>
      <c r="L321" s="467">
        <v>21525</v>
      </c>
      <c r="M321" s="665"/>
      <c r="N321" s="665"/>
    </row>
    <row r="322" spans="1:14" s="674" customFormat="1" x14ac:dyDescent="0.2">
      <c r="A322" s="1519" t="s">
        <v>238</v>
      </c>
      <c r="B322" s="697" t="s">
        <v>284</v>
      </c>
      <c r="C322" s="467"/>
      <c r="D322" s="467"/>
      <c r="E322" s="467">
        <v>66131</v>
      </c>
      <c r="F322" s="467"/>
      <c r="G322" s="467"/>
      <c r="H322" s="467"/>
      <c r="I322" s="467"/>
      <c r="J322" s="467"/>
      <c r="K322" s="1671">
        <f t="shared" si="24"/>
        <v>66131</v>
      </c>
      <c r="L322" s="467">
        <v>66130</v>
      </c>
      <c r="M322" s="665"/>
      <c r="N322" s="665"/>
    </row>
    <row r="323" spans="1:14" s="674" customFormat="1" x14ac:dyDescent="0.2">
      <c r="A323" s="1519" t="s">
        <v>702</v>
      </c>
      <c r="B323" s="697" t="s">
        <v>285</v>
      </c>
      <c r="C323" s="467"/>
      <c r="D323" s="467"/>
      <c r="E323" s="467">
        <v>10123</v>
      </c>
      <c r="F323" s="467"/>
      <c r="G323" s="467"/>
      <c r="H323" s="467"/>
      <c r="I323" s="467"/>
      <c r="J323" s="467"/>
      <c r="K323" s="1671">
        <f t="shared" si="24"/>
        <v>10123</v>
      </c>
      <c r="L323" s="467">
        <v>10175</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50167</v>
      </c>
      <c r="F327" s="467"/>
      <c r="G327" s="467"/>
      <c r="H327" s="467"/>
      <c r="I327" s="467"/>
      <c r="J327" s="467"/>
      <c r="K327" s="1671">
        <f t="shared" si="24"/>
        <v>50167</v>
      </c>
      <c r="L327" s="467">
        <v>48000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206260</v>
      </c>
      <c r="F330" s="1670">
        <f t="shared" si="25"/>
        <v>0</v>
      </c>
      <c r="G330" s="1670">
        <f t="shared" si="25"/>
        <v>0</v>
      </c>
      <c r="H330" s="1670">
        <f t="shared" si="25"/>
        <v>0</v>
      </c>
      <c r="I330" s="1670">
        <f t="shared" si="25"/>
        <v>0</v>
      </c>
      <c r="J330" s="1670">
        <f t="shared" si="25"/>
        <v>0</v>
      </c>
      <c r="K330" s="1670">
        <f>SUM(K319:K329)</f>
        <v>206260</v>
      </c>
      <c r="L330" s="1670">
        <f>SUM(L319:L329)</f>
        <v>209255</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206260</v>
      </c>
      <c r="F342" s="1670">
        <f>SUM(F330)</f>
        <v>0</v>
      </c>
      <c r="G342" s="1670">
        <f>SUM(G330)</f>
        <v>0</v>
      </c>
      <c r="H342" s="1670">
        <f>SUM(H330,H334,H340)</f>
        <v>0</v>
      </c>
      <c r="I342" s="1670">
        <f>SUM(I330)</f>
        <v>0</v>
      </c>
      <c r="J342" s="1670">
        <f>SUM(J330)</f>
        <v>0</v>
      </c>
      <c r="K342" s="1670">
        <f>SUM(K330,K334,K340)</f>
        <v>206260</v>
      </c>
      <c r="L342" s="1677">
        <f>SUM(L330,L340,L341)</f>
        <v>209255</v>
      </c>
    </row>
    <row r="343" spans="1:14" ht="12.75" customHeight="1" thickTop="1" x14ac:dyDescent="0.2">
      <c r="A343" s="2143" t="s">
        <v>996</v>
      </c>
      <c r="B343" s="2144"/>
      <c r="C343" s="616"/>
      <c r="D343" s="616"/>
      <c r="E343" s="616"/>
      <c r="F343" s="616"/>
      <c r="G343" s="616"/>
      <c r="H343" s="616"/>
      <c r="I343" s="616"/>
      <c r="J343" s="616"/>
      <c r="K343" s="1684">
        <f>'Revenues 9-14'!J268-'Expenditures 15-22'!K342</f>
        <v>-4944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33" t="s">
        <v>966</v>
      </c>
      <c r="B345" s="213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4032</v>
      </c>
      <c r="F349" s="466"/>
      <c r="G349" s="466"/>
      <c r="H349" s="466"/>
      <c r="I349" s="467"/>
      <c r="J349" s="467"/>
      <c r="K349" s="1671">
        <f>SUM(C349:J349)</f>
        <v>4032</v>
      </c>
      <c r="L349" s="466">
        <v>4035</v>
      </c>
    </row>
    <row r="350" spans="1:14" ht="12.75" customHeight="1" thickBot="1" x14ac:dyDescent="0.25">
      <c r="A350" s="1668" t="s">
        <v>719</v>
      </c>
      <c r="B350" s="1669" t="s">
        <v>35</v>
      </c>
      <c r="C350" s="1670">
        <f>SUM(C348:C349)</f>
        <v>0</v>
      </c>
      <c r="D350" s="1670">
        <f t="shared" ref="D350:L350" si="26">SUM(D348:D349)</f>
        <v>0</v>
      </c>
      <c r="E350" s="1670">
        <f t="shared" si="26"/>
        <v>4032</v>
      </c>
      <c r="F350" s="1670">
        <f t="shared" si="26"/>
        <v>0</v>
      </c>
      <c r="G350" s="1670">
        <f t="shared" si="26"/>
        <v>0</v>
      </c>
      <c r="H350" s="1670">
        <f t="shared" si="26"/>
        <v>0</v>
      </c>
      <c r="I350" s="1670">
        <f t="shared" si="26"/>
        <v>0</v>
      </c>
      <c r="J350" s="1670">
        <f t="shared" si="26"/>
        <v>0</v>
      </c>
      <c r="K350" s="1670">
        <f t="shared" si="26"/>
        <v>4032</v>
      </c>
      <c r="L350" s="1670">
        <f t="shared" si="26"/>
        <v>4035</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4032</v>
      </c>
      <c r="F352" s="1670">
        <f t="shared" si="27"/>
        <v>0</v>
      </c>
      <c r="G352" s="1670">
        <f t="shared" si="27"/>
        <v>0</v>
      </c>
      <c r="H352" s="1670">
        <f t="shared" si="27"/>
        <v>0</v>
      </c>
      <c r="I352" s="1670">
        <f t="shared" si="27"/>
        <v>0</v>
      </c>
      <c r="J352" s="1670">
        <f t="shared" si="27"/>
        <v>0</v>
      </c>
      <c r="K352" s="1670">
        <f t="shared" si="27"/>
        <v>4032</v>
      </c>
      <c r="L352" s="1670">
        <f t="shared" si="27"/>
        <v>4035</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4032</v>
      </c>
      <c r="F367" s="1670">
        <f t="shared" si="28"/>
        <v>0</v>
      </c>
      <c r="G367" s="1670">
        <f t="shared" si="28"/>
        <v>0</v>
      </c>
      <c r="H367" s="1670">
        <f t="shared" si="28"/>
        <v>0</v>
      </c>
      <c r="I367" s="1670">
        <f t="shared" si="28"/>
        <v>0</v>
      </c>
      <c r="J367" s="1670">
        <f t="shared" si="28"/>
        <v>0</v>
      </c>
      <c r="K367" s="1670">
        <f t="shared" si="28"/>
        <v>4032</v>
      </c>
      <c r="L367" s="1670">
        <f t="shared" si="28"/>
        <v>4035</v>
      </c>
    </row>
    <row r="368" spans="1:14" ht="13.5" thickTop="1" x14ac:dyDescent="0.2">
      <c r="A368" s="2157" t="s">
        <v>996</v>
      </c>
      <c r="B368" s="2158"/>
      <c r="C368" s="654"/>
      <c r="D368" s="654"/>
      <c r="E368" s="626"/>
      <c r="F368" s="626"/>
      <c r="G368" s="626"/>
      <c r="H368" s="626"/>
      <c r="I368" s="626"/>
      <c r="J368" s="623"/>
      <c r="K368" s="1671">
        <f>'Revenues 9-14'!K268-'Expenditures 15-22'!K367</f>
        <v>-537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orizontalCentered="1" gridLines="1"/>
  <pageMargins left="0.5" right="0.5" top="1" bottom="0.4" header="0.75" footer="0.35"/>
  <pageSetup scale="68"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1" sqref="E1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59" t="s">
        <v>1802</v>
      </c>
      <c r="B2" s="1528" t="s">
        <v>1951</v>
      </c>
      <c r="C2" s="714" t="s">
        <v>1952</v>
      </c>
      <c r="D2" s="714" t="s">
        <v>1953</v>
      </c>
      <c r="E2" s="714" t="s">
        <v>1954</v>
      </c>
      <c r="F2" s="714" t="s">
        <v>1955</v>
      </c>
    </row>
    <row r="3" spans="1:6" ht="12" customHeight="1" x14ac:dyDescent="0.2">
      <c r="A3" s="2160"/>
      <c r="B3" s="1525"/>
      <c r="C3" s="1526"/>
      <c r="D3" s="1527" t="s">
        <v>256</v>
      </c>
      <c r="E3" s="1526"/>
      <c r="F3" s="1527" t="s">
        <v>257</v>
      </c>
    </row>
    <row r="4" spans="1:6" ht="13.7" customHeight="1" x14ac:dyDescent="0.2">
      <c r="A4" s="715" t="s">
        <v>1155</v>
      </c>
      <c r="B4" s="1749">
        <f>'Revenues 9-14'!C5</f>
        <v>4826593</v>
      </c>
      <c r="C4" s="1524">
        <v>2488726</v>
      </c>
      <c r="D4" s="1752">
        <f>B4-C4</f>
        <v>2337867</v>
      </c>
      <c r="E4" s="1524">
        <v>5224520</v>
      </c>
      <c r="F4" s="1752">
        <f>E4-C4</f>
        <v>2735794</v>
      </c>
    </row>
    <row r="5" spans="1:6" ht="13.7" customHeight="1" x14ac:dyDescent="0.2">
      <c r="A5" s="715" t="s">
        <v>870</v>
      </c>
      <c r="B5" s="1750">
        <f>'Revenues 9-14'!D5</f>
        <v>923970</v>
      </c>
      <c r="C5" s="585">
        <v>438343</v>
      </c>
      <c r="D5" s="1753">
        <f t="shared" ref="D5:D18" si="0">B5-C5</f>
        <v>485627</v>
      </c>
      <c r="E5" s="585">
        <v>920208</v>
      </c>
      <c r="F5" s="1753">
        <f>E5-C5</f>
        <v>481865</v>
      </c>
    </row>
    <row r="6" spans="1:6" ht="13.7" customHeight="1" x14ac:dyDescent="0.2">
      <c r="A6" s="715" t="s">
        <v>411</v>
      </c>
      <c r="B6" s="1750">
        <f>'Revenues 9-14'!E5</f>
        <v>1551036</v>
      </c>
      <c r="C6" s="585">
        <v>775012</v>
      </c>
      <c r="D6" s="1753">
        <f t="shared" si="0"/>
        <v>776024</v>
      </c>
      <c r="E6" s="585">
        <v>1626973</v>
      </c>
      <c r="F6" s="1753">
        <f t="shared" ref="F6:F18" si="1">E6-C6</f>
        <v>851961</v>
      </c>
    </row>
    <row r="7" spans="1:6" ht="13.7" customHeight="1" x14ac:dyDescent="0.2">
      <c r="A7" s="715" t="s">
        <v>155</v>
      </c>
      <c r="B7" s="1750">
        <f>'Revenues 9-14'!F5</f>
        <v>379732</v>
      </c>
      <c r="C7" s="585">
        <v>192922</v>
      </c>
      <c r="D7" s="1753">
        <f t="shared" si="0"/>
        <v>186810</v>
      </c>
      <c r="E7" s="585">
        <v>405000</v>
      </c>
      <c r="F7" s="1753">
        <f t="shared" si="1"/>
        <v>212078</v>
      </c>
    </row>
    <row r="8" spans="1:6" ht="13.7" customHeight="1" x14ac:dyDescent="0.2">
      <c r="A8" s="715" t="s">
        <v>1179</v>
      </c>
      <c r="B8" s="1750">
        <f>'Revenues 9-14'!G5</f>
        <v>171849</v>
      </c>
      <c r="C8" s="585">
        <v>87741</v>
      </c>
      <c r="D8" s="1753">
        <f t="shared" si="0"/>
        <v>84108</v>
      </c>
      <c r="E8" s="585">
        <v>184197</v>
      </c>
      <c r="F8" s="1753">
        <f t="shared" si="1"/>
        <v>96456</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61992</v>
      </c>
      <c r="C10" s="585">
        <v>32013</v>
      </c>
      <c r="D10" s="1753">
        <f t="shared" si="0"/>
        <v>29979</v>
      </c>
      <c r="E10" s="585">
        <v>67210</v>
      </c>
      <c r="F10" s="1753">
        <f t="shared" si="1"/>
        <v>35197</v>
      </c>
    </row>
    <row r="11" spans="1:6" x14ac:dyDescent="0.2">
      <c r="A11" s="715" t="s">
        <v>409</v>
      </c>
      <c r="B11" s="1750">
        <f>'Revenues 9-14'!J5</f>
        <v>197823</v>
      </c>
      <c r="C11" s="585">
        <v>101674</v>
      </c>
      <c r="D11" s="1753">
        <f t="shared" si="0"/>
        <v>96149</v>
      </c>
      <c r="E11" s="585">
        <v>213443</v>
      </c>
      <c r="F11" s="1753">
        <f t="shared" si="1"/>
        <v>111769</v>
      </c>
    </row>
    <row r="12" spans="1:6" ht="13.7" customHeight="1" x14ac:dyDescent="0.2">
      <c r="A12" s="715" t="s">
        <v>157</v>
      </c>
      <c r="B12" s="1750">
        <f>'Revenues 9-14'!K5</f>
        <v>1627</v>
      </c>
      <c r="C12" s="585">
        <v>738</v>
      </c>
      <c r="D12" s="1753">
        <f t="shared" si="0"/>
        <v>889</v>
      </c>
      <c r="E12" s="585">
        <v>1550</v>
      </c>
      <c r="F12" s="1753">
        <f t="shared" si="1"/>
        <v>812</v>
      </c>
    </row>
    <row r="13" spans="1:6" ht="13.7" customHeight="1" x14ac:dyDescent="0.2">
      <c r="A13" s="715" t="s">
        <v>936</v>
      </c>
      <c r="B13" s="1750">
        <f>SUM('Revenues 9-14'!C6:D6)</f>
        <v>100237</v>
      </c>
      <c r="C13" s="585">
        <v>49175</v>
      </c>
      <c r="D13" s="1753">
        <f t="shared" si="0"/>
        <v>51062</v>
      </c>
      <c r="E13" s="585">
        <v>103235</v>
      </c>
      <c r="F13" s="1753">
        <f t="shared" si="1"/>
        <v>54060</v>
      </c>
    </row>
    <row r="14" spans="1:6" ht="13.7" customHeight="1" x14ac:dyDescent="0.2">
      <c r="A14" s="715" t="s">
        <v>410</v>
      </c>
      <c r="B14" s="1750">
        <f>SUM('Revenues 9-14'!C7:D7,'Revenues 9-14'!F7:H7)</f>
        <v>76400</v>
      </c>
      <c r="C14" s="585">
        <v>39394</v>
      </c>
      <c r="D14" s="1753">
        <f t="shared" si="0"/>
        <v>37006</v>
      </c>
      <c r="E14" s="585">
        <v>82704</v>
      </c>
      <c r="F14" s="1753">
        <f t="shared" si="1"/>
        <v>43310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181977</v>
      </c>
      <c r="C16" s="585">
        <v>93000</v>
      </c>
      <c r="D16" s="1753">
        <f t="shared" si="0"/>
        <v>88977</v>
      </c>
      <c r="E16" s="585">
        <v>195237</v>
      </c>
      <c r="F16" s="1753">
        <f t="shared" si="1"/>
        <v>102237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8473236</v>
      </c>
      <c r="C19" s="1751">
        <f>SUM(C4:C18)</f>
        <v>4298738</v>
      </c>
      <c r="D19" s="1751">
        <f>SUM(D4:D18)</f>
        <v>4174498</v>
      </c>
      <c r="E19" s="1751">
        <f>SUM(E4:E18)</f>
        <v>9024277</v>
      </c>
      <c r="F19" s="1751">
        <f>SUM(F4:F18)</f>
        <v>4725539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orizontalCentered="1" gridLinesSet="0"/>
  <pageMargins left="0.5" right="0.5" top="1.25" bottom="0.5" header="0.75" footer="0.5"/>
  <pageSetup scale="85" firstPageNumber="23" orientation="landscape" useFirstPageNumber="1" r:id="rId1"/>
  <headerFooter alignWithMargins="0">
    <oddHeader>&amp;L&amp;8Page &amp;P&amp;R&amp;8Page &amp;P</oddHeader>
    <oddFooter>&amp;L&amp;8&amp;F&amp;CReference should be made to the accountant's report regarding this information.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5" colorId="8" zoomScale="110" zoomScaleNormal="110" workbookViewId="0">
      <selection activeCell="A47" sqref="A4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5" t="s">
        <v>629</v>
      </c>
      <c r="B1" s="2166"/>
      <c r="C1" s="721"/>
    </row>
    <row r="2" spans="1:7" ht="33.75" x14ac:dyDescent="0.2">
      <c r="A2" s="2174" t="s">
        <v>1802</v>
      </c>
      <c r="B2" s="2175"/>
      <c r="C2" s="1884" t="s">
        <v>1956</v>
      </c>
      <c r="D2" s="723" t="s">
        <v>1957</v>
      </c>
      <c r="E2" s="723" t="s">
        <v>1958</v>
      </c>
      <c r="F2" s="1884" t="s">
        <v>1959</v>
      </c>
    </row>
    <row r="3" spans="1:7" ht="15.75" customHeight="1" x14ac:dyDescent="0.2">
      <c r="A3" s="2178" t="s">
        <v>1114</v>
      </c>
      <c r="B3" s="2179"/>
      <c r="C3" s="2167"/>
      <c r="D3" s="2168"/>
      <c r="E3" s="2168"/>
      <c r="F3" s="2169"/>
    </row>
    <row r="4" spans="1:7" ht="12.75" customHeight="1" thickBot="1" x14ac:dyDescent="0.25">
      <c r="A4" s="2176" t="s">
        <v>630</v>
      </c>
      <c r="B4" s="2177"/>
      <c r="C4" s="581"/>
      <c r="D4" s="581"/>
      <c r="E4" s="581"/>
      <c r="F4" s="1755">
        <f>SUM(C4+D4)-E4</f>
        <v>0</v>
      </c>
    </row>
    <row r="5" spans="1:7" ht="15.75" customHeight="1" thickTop="1" x14ac:dyDescent="0.2">
      <c r="A5" s="2161" t="s">
        <v>1110</v>
      </c>
      <c r="B5" s="2162"/>
      <c r="C5" s="2170"/>
      <c r="D5" s="2171"/>
      <c r="E5" s="2171"/>
      <c r="F5" s="217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63" t="s">
        <v>631</v>
      </c>
      <c r="B15" s="2164"/>
      <c r="C15" s="1755">
        <f>SUM(C6:C14)</f>
        <v>0</v>
      </c>
      <c r="D15" s="1755">
        <f>SUM(D6:D14)</f>
        <v>0</v>
      </c>
      <c r="E15" s="1755">
        <f>SUM(E6:E14)</f>
        <v>0</v>
      </c>
      <c r="F15" s="1755">
        <f>SUM(F6:F14)</f>
        <v>0</v>
      </c>
      <c r="G15" s="552"/>
    </row>
    <row r="16" spans="1:7" s="202" customFormat="1" ht="15.75" customHeight="1" thickTop="1" x14ac:dyDescent="0.2">
      <c r="A16" s="2173" t="s">
        <v>1111</v>
      </c>
      <c r="B16" s="2162"/>
      <c r="C16" s="2170"/>
      <c r="D16" s="2171"/>
      <c r="E16" s="2171"/>
      <c r="F16" s="2172"/>
    </row>
    <row r="17" spans="1:11" ht="12.75" customHeight="1" thickBot="1" x14ac:dyDescent="0.25">
      <c r="A17" s="2186" t="s">
        <v>64</v>
      </c>
      <c r="B17" s="2187"/>
      <c r="C17" s="726"/>
      <c r="D17" s="585"/>
      <c r="E17" s="726"/>
      <c r="F17" s="1755">
        <f>SUM(C17+D17)-E17</f>
        <v>0</v>
      </c>
    </row>
    <row r="18" spans="1:11" ht="12.75" customHeight="1" thickTop="1" thickBot="1" x14ac:dyDescent="0.25">
      <c r="A18" s="2186" t="s">
        <v>6</v>
      </c>
      <c r="B18" s="2187"/>
      <c r="C18" s="726"/>
      <c r="D18" s="585"/>
      <c r="E18" s="726"/>
      <c r="F18" s="1755">
        <f>SUM(C18+D18)-E18</f>
        <v>0</v>
      </c>
    </row>
    <row r="19" spans="1:11" ht="12.75" customHeight="1" thickTop="1" thickBot="1" x14ac:dyDescent="0.25">
      <c r="A19" s="2186" t="s">
        <v>388</v>
      </c>
      <c r="B19" s="2187"/>
      <c r="C19" s="726"/>
      <c r="D19" s="585"/>
      <c r="E19" s="726"/>
      <c r="F19" s="1755">
        <f>SUM(C19+D19)-E19</f>
        <v>0</v>
      </c>
    </row>
    <row r="20" spans="1:11" ht="12.75" customHeight="1" thickTop="1" thickBot="1" x14ac:dyDescent="0.25">
      <c r="A20" s="2186" t="s">
        <v>448</v>
      </c>
      <c r="B20" s="2187"/>
      <c r="C20" s="726"/>
      <c r="D20" s="585"/>
      <c r="E20" s="726"/>
      <c r="F20" s="1755">
        <f>SUM(C20+D20)-E20</f>
        <v>0</v>
      </c>
    </row>
    <row r="21" spans="1:11" ht="14.25" thickTop="1" thickBot="1" x14ac:dyDescent="0.25">
      <c r="A21" s="2163" t="s">
        <v>632</v>
      </c>
      <c r="B21" s="2164"/>
      <c r="C21" s="1755">
        <f>SUM(C17:C20)</f>
        <v>0</v>
      </c>
      <c r="D21" s="1755">
        <f>SUM(D17:D20)</f>
        <v>0</v>
      </c>
      <c r="E21" s="1755">
        <f>SUM(E17:E20)</f>
        <v>0</v>
      </c>
      <c r="F21" s="1755">
        <f>SUM(F17:F20)</f>
        <v>0</v>
      </c>
      <c r="G21" s="552"/>
    </row>
    <row r="22" spans="1:11" ht="15.75" customHeight="1" thickTop="1" x14ac:dyDescent="0.2">
      <c r="A22" s="2188" t="s">
        <v>1112</v>
      </c>
      <c r="B22" s="2162"/>
      <c r="C22" s="2170"/>
      <c r="D22" s="2171"/>
      <c r="E22" s="2171"/>
      <c r="F22" s="2172"/>
    </row>
    <row r="23" spans="1:11" ht="13.5" thickBot="1" x14ac:dyDescent="0.25">
      <c r="A23" s="2176" t="s">
        <v>633</v>
      </c>
      <c r="B23" s="2177"/>
      <c r="C23" s="581"/>
      <c r="D23" s="581"/>
      <c r="E23" s="581"/>
      <c r="F23" s="1755">
        <f>SUM(C23+D23)-E23</f>
        <v>0</v>
      </c>
      <c r="G23" s="552"/>
    </row>
    <row r="24" spans="1:11" ht="15.75" customHeight="1" thickTop="1" x14ac:dyDescent="0.2">
      <c r="A24" s="2188" t="s">
        <v>1113</v>
      </c>
      <c r="B24" s="2162"/>
      <c r="C24" s="2170"/>
      <c r="D24" s="2171"/>
      <c r="E24" s="2171"/>
      <c r="F24" s="2172"/>
    </row>
    <row r="25" spans="1:11" ht="13.5" thickBot="1" x14ac:dyDescent="0.25">
      <c r="A25" s="2176" t="s">
        <v>634</v>
      </c>
      <c r="B25" s="2177"/>
      <c r="C25" s="581"/>
      <c r="D25" s="581"/>
      <c r="E25" s="581"/>
      <c r="F25" s="1755">
        <f>SUM(C25+D25)-E25</f>
        <v>0</v>
      </c>
      <c r="G25" s="552"/>
    </row>
    <row r="26" spans="1:11" ht="15.75" customHeight="1" thickTop="1" x14ac:dyDescent="0.2">
      <c r="A26" s="2161" t="s">
        <v>657</v>
      </c>
      <c r="B26" s="2162"/>
      <c r="C26" s="727"/>
      <c r="D26" s="727"/>
      <c r="E26" s="727"/>
      <c r="F26" s="728"/>
    </row>
    <row r="27" spans="1:11" ht="13.5" thickBot="1" x14ac:dyDescent="0.25">
      <c r="A27" s="2163" t="s">
        <v>1070</v>
      </c>
      <c r="B27" s="2164"/>
      <c r="C27" s="585"/>
      <c r="D27" s="585"/>
      <c r="E27" s="585"/>
      <c r="F27" s="1755">
        <f>SUM(C27+D27)-E27</f>
        <v>0</v>
      </c>
      <c r="G27" s="552"/>
    </row>
    <row r="28" spans="1:11" ht="7.5" customHeight="1" thickTop="1" x14ac:dyDescent="0.2">
      <c r="A28" s="593"/>
    </row>
    <row r="29" spans="1:11" ht="23.25" customHeight="1" x14ac:dyDescent="0.2">
      <c r="A29" s="2189" t="s">
        <v>582</v>
      </c>
      <c r="B29" s="2166"/>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2081</v>
      </c>
      <c r="B31" s="733">
        <v>39331</v>
      </c>
      <c r="C31" s="734">
        <v>9540000</v>
      </c>
      <c r="D31" s="735">
        <v>6</v>
      </c>
      <c r="E31" s="734">
        <v>2615000</v>
      </c>
      <c r="F31" s="734"/>
      <c r="G31" s="734"/>
      <c r="H31" s="734">
        <v>825000</v>
      </c>
      <c r="I31" s="1756">
        <f>((E31+F31)-H31)+G31</f>
        <v>1790000</v>
      </c>
      <c r="J31" s="734">
        <v>1645658</v>
      </c>
      <c r="K31" s="736"/>
    </row>
    <row r="32" spans="1:11" ht="12" customHeight="1" x14ac:dyDescent="0.2">
      <c r="A32" s="732" t="s">
        <v>2082</v>
      </c>
      <c r="B32" s="733">
        <v>41172</v>
      </c>
      <c r="C32" s="734">
        <v>8415000</v>
      </c>
      <c r="D32" s="735">
        <v>3</v>
      </c>
      <c r="E32" s="734">
        <v>8415000</v>
      </c>
      <c r="F32" s="734"/>
      <c r="G32" s="734"/>
      <c r="H32" s="734">
        <v>225000</v>
      </c>
      <c r="I32" s="1756">
        <f>((E32+F32)-H32)+G32</f>
        <v>8190000</v>
      </c>
      <c r="J32" s="734">
        <v>7529573</v>
      </c>
      <c r="K32" s="736"/>
    </row>
    <row r="33" spans="1:11" ht="12" customHeight="1" x14ac:dyDescent="0.2">
      <c r="A33" s="732" t="s">
        <v>2083</v>
      </c>
      <c r="B33" s="733">
        <v>42180</v>
      </c>
      <c r="C33" s="734">
        <v>445134</v>
      </c>
      <c r="D33" s="735">
        <v>1</v>
      </c>
      <c r="E33" s="734">
        <v>225071</v>
      </c>
      <c r="F33" s="734"/>
      <c r="G33" s="734"/>
      <c r="H33" s="734">
        <v>225071</v>
      </c>
      <c r="I33" s="1756">
        <f t="shared" ref="I33:I48" si="1">((E33+F33)-H33)+G33</f>
        <v>0</v>
      </c>
      <c r="J33" s="734"/>
      <c r="K33" s="736"/>
    </row>
    <row r="34" spans="1:11" ht="12" customHeight="1" x14ac:dyDescent="0.2">
      <c r="A34" s="732" t="s">
        <v>2084</v>
      </c>
      <c r="B34" s="733">
        <v>43160</v>
      </c>
      <c r="C34" s="734">
        <v>688100</v>
      </c>
      <c r="D34" s="735">
        <v>1</v>
      </c>
      <c r="E34" s="734">
        <v>688100</v>
      </c>
      <c r="F34" s="734"/>
      <c r="G34" s="734"/>
      <c r="H34" s="734"/>
      <c r="I34" s="1756">
        <f t="shared" si="1"/>
        <v>688100</v>
      </c>
      <c r="J34" s="734">
        <v>632613</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19088234</v>
      </c>
      <c r="D49" s="745"/>
      <c r="E49" s="1756">
        <f t="shared" ref="E49:J49" si="2">SUM(E31:E48)</f>
        <v>11943171</v>
      </c>
      <c r="F49" s="1756">
        <f t="shared" si="2"/>
        <v>0</v>
      </c>
      <c r="G49" s="1756">
        <f t="shared" si="2"/>
        <v>0</v>
      </c>
      <c r="H49" s="1756">
        <f t="shared" si="2"/>
        <v>1275071</v>
      </c>
      <c r="I49" s="1756">
        <f t="shared" si="2"/>
        <v>10668100</v>
      </c>
      <c r="J49" s="1756">
        <f t="shared" si="2"/>
        <v>9807844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0" t="s">
        <v>584</v>
      </c>
      <c r="C52" s="2181"/>
      <c r="D52" s="2181"/>
      <c r="E52" s="749" t="s">
        <v>845</v>
      </c>
      <c r="F52" s="2182"/>
      <c r="G52" s="2183"/>
      <c r="H52" s="736"/>
      <c r="I52" s="736"/>
      <c r="J52" s="746"/>
    </row>
    <row r="53" spans="1:11" ht="11.25" customHeight="1" x14ac:dyDescent="0.2">
      <c r="A53" s="750" t="s">
        <v>913</v>
      </c>
      <c r="B53" s="751" t="s">
        <v>951</v>
      </c>
      <c r="C53" s="746"/>
      <c r="D53" s="737"/>
      <c r="E53" s="749" t="s">
        <v>497</v>
      </c>
      <c r="F53" s="2184"/>
      <c r="G53" s="2185"/>
      <c r="H53" s="736"/>
      <c r="I53" s="736"/>
      <c r="J53" s="746"/>
    </row>
    <row r="54" spans="1:11" ht="11.25" customHeight="1" x14ac:dyDescent="0.2">
      <c r="A54" s="752" t="s">
        <v>914</v>
      </c>
      <c r="B54" s="747" t="s">
        <v>952</v>
      </c>
      <c r="C54" s="746"/>
      <c r="D54" s="737"/>
      <c r="E54" s="749" t="s">
        <v>498</v>
      </c>
      <c r="F54" s="2184"/>
      <c r="G54" s="218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5" right="0.5" top="0.75" bottom="0.25" header="0.5" footer="0.25"/>
  <pageSetup scale="68" firstPageNumber="24" fitToHeight="0" orientation="landscape" useFirstPageNumber="1" r:id="rId1"/>
  <headerFooter alignWithMargins="0">
    <oddHeader>&amp;L&amp;8Page &amp;P&amp;R&amp;8Page &amp;P</oddHeader>
    <oddFooter>&amp;L&amp;8&amp;F&amp;CReference should be made to the accountant's report regarding this information.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F1" colorId="8" zoomScale="110" zoomScaleNormal="110" workbookViewId="0">
      <selection activeCell="K14" sqref="K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856</v>
      </c>
      <c r="B1" s="2215"/>
      <c r="C1" s="2215"/>
      <c r="D1" s="2215"/>
      <c r="E1" s="2215"/>
      <c r="F1" s="2215"/>
      <c r="G1" s="2216"/>
      <c r="H1" s="1530"/>
      <c r="I1" s="760"/>
      <c r="J1" s="433"/>
    </row>
    <row r="2" spans="1:11" ht="26.25" x14ac:dyDescent="0.2">
      <c r="A2" s="2193" t="s">
        <v>1677</v>
      </c>
      <c r="B2" s="2194"/>
      <c r="C2" s="2194"/>
      <c r="D2" s="2194"/>
      <c r="E2" s="2195"/>
      <c r="F2" s="761" t="s">
        <v>904</v>
      </c>
      <c r="G2" s="762" t="s">
        <v>1674</v>
      </c>
      <c r="H2" s="762" t="s">
        <v>410</v>
      </c>
      <c r="I2" s="762" t="s">
        <v>1158</v>
      </c>
      <c r="J2" s="762" t="s">
        <v>1812</v>
      </c>
      <c r="K2" s="762" t="s">
        <v>138</v>
      </c>
    </row>
    <row r="3" spans="1:11" x14ac:dyDescent="0.2">
      <c r="A3" s="2196" t="s">
        <v>1964</v>
      </c>
      <c r="B3" s="2197"/>
      <c r="C3" s="2197"/>
      <c r="D3" s="2197"/>
      <c r="E3" s="2198"/>
      <c r="F3" s="763"/>
      <c r="G3" s="764"/>
      <c r="H3" s="764"/>
      <c r="I3" s="764"/>
      <c r="J3" s="765">
        <v>27729</v>
      </c>
      <c r="K3" s="765"/>
    </row>
    <row r="4" spans="1:11" x14ac:dyDescent="0.2">
      <c r="A4" s="2199" t="s">
        <v>369</v>
      </c>
      <c r="B4" s="2200"/>
      <c r="C4" s="2200"/>
      <c r="D4" s="2200"/>
      <c r="E4" s="2181"/>
      <c r="F4" s="766"/>
      <c r="G4" s="767"/>
      <c r="H4" s="768"/>
      <c r="I4" s="767"/>
      <c r="J4" s="769"/>
      <c r="K4" s="769"/>
    </row>
    <row r="5" spans="1:11" x14ac:dyDescent="0.2">
      <c r="A5" s="2217" t="s">
        <v>1069</v>
      </c>
      <c r="B5" s="2190"/>
      <c r="C5" s="2190"/>
      <c r="D5" s="2190"/>
      <c r="E5" s="2218"/>
      <c r="F5" s="770" t="s">
        <v>848</v>
      </c>
      <c r="G5" s="771"/>
      <c r="H5" s="764">
        <v>76400</v>
      </c>
      <c r="I5" s="772"/>
      <c r="J5" s="773"/>
      <c r="K5" s="773"/>
    </row>
    <row r="6" spans="1:11" x14ac:dyDescent="0.2">
      <c r="A6" s="774" t="s">
        <v>720</v>
      </c>
      <c r="B6" s="775"/>
      <c r="C6" s="775"/>
      <c r="D6" s="775"/>
      <c r="E6" s="776"/>
      <c r="F6" s="777" t="s">
        <v>849</v>
      </c>
      <c r="G6" s="764"/>
      <c r="H6" s="764"/>
      <c r="I6" s="764"/>
      <c r="J6" s="765">
        <v>282</v>
      </c>
      <c r="K6" s="765"/>
    </row>
    <row r="7" spans="1:11" x14ac:dyDescent="0.2">
      <c r="A7" s="778" t="s">
        <v>246</v>
      </c>
      <c r="B7" s="779"/>
      <c r="C7" s="779"/>
      <c r="D7" s="779"/>
      <c r="E7" s="780"/>
      <c r="F7" s="770" t="s">
        <v>850</v>
      </c>
      <c r="G7" s="767"/>
      <c r="H7" s="767"/>
      <c r="I7" s="767"/>
      <c r="J7" s="781"/>
      <c r="K7" s="765">
        <v>7025</v>
      </c>
    </row>
    <row r="8" spans="1:11" x14ac:dyDescent="0.2">
      <c r="A8" s="778" t="s">
        <v>345</v>
      </c>
      <c r="B8" s="779"/>
      <c r="C8" s="779"/>
      <c r="D8" s="779"/>
      <c r="E8" s="780"/>
      <c r="F8" s="770" t="s">
        <v>851</v>
      </c>
      <c r="G8" s="782"/>
      <c r="H8" s="782"/>
      <c r="I8" s="782"/>
      <c r="J8" s="765">
        <v>8579</v>
      </c>
      <c r="K8" s="769"/>
    </row>
    <row r="9" spans="1:11" x14ac:dyDescent="0.2">
      <c r="A9" s="778" t="s">
        <v>138</v>
      </c>
      <c r="B9" s="779"/>
      <c r="C9" s="779"/>
      <c r="D9" s="779"/>
      <c r="E9" s="780"/>
      <c r="F9" s="777" t="s">
        <v>853</v>
      </c>
      <c r="G9" s="782"/>
      <c r="H9" s="771"/>
      <c r="I9" s="771"/>
      <c r="J9" s="781"/>
      <c r="K9" s="765">
        <v>11555</v>
      </c>
    </row>
    <row r="10" spans="1:11" x14ac:dyDescent="0.2">
      <c r="A10" s="2217" t="s">
        <v>1813</v>
      </c>
      <c r="B10" s="2190"/>
      <c r="C10" s="2190"/>
      <c r="D10" s="2190"/>
      <c r="E10" s="2219"/>
      <c r="F10" s="783" t="s">
        <v>862</v>
      </c>
      <c r="G10" s="782"/>
      <c r="H10" s="784"/>
      <c r="I10" s="764"/>
      <c r="J10" s="765"/>
      <c r="K10" s="765"/>
    </row>
    <row r="11" spans="1:11" x14ac:dyDescent="0.2">
      <c r="A11" s="2217" t="s">
        <v>160</v>
      </c>
      <c r="B11" s="2190"/>
      <c r="C11" s="2190"/>
      <c r="D11" s="2190"/>
      <c r="E11" s="2218"/>
      <c r="F11" s="770" t="s">
        <v>852</v>
      </c>
      <c r="G11" s="771"/>
      <c r="H11" s="764"/>
      <c r="I11" s="764"/>
      <c r="J11" s="765"/>
      <c r="K11" s="773"/>
    </row>
    <row r="12" spans="1:11" ht="13.5" thickBot="1" x14ac:dyDescent="0.25">
      <c r="A12" s="2207" t="s">
        <v>905</v>
      </c>
      <c r="B12" s="2208"/>
      <c r="C12" s="2208"/>
      <c r="D12" s="2208"/>
      <c r="E12" s="2209"/>
      <c r="F12" s="1757"/>
      <c r="G12" s="1758">
        <f>SUM(G5:G11)</f>
        <v>0</v>
      </c>
      <c r="H12" s="1758">
        <f>SUM(H5:H11)</f>
        <v>76400</v>
      </c>
      <c r="I12" s="1758">
        <f>SUM(I5:I11)</f>
        <v>0</v>
      </c>
      <c r="J12" s="1758">
        <f>SUM(J5:J11)</f>
        <v>8861</v>
      </c>
      <c r="K12" s="1758">
        <f>SUM(K5:K11)</f>
        <v>18580</v>
      </c>
    </row>
    <row r="13" spans="1:11" ht="13.5" thickTop="1" x14ac:dyDescent="0.2">
      <c r="A13" s="2201" t="s">
        <v>370</v>
      </c>
      <c r="B13" s="2202"/>
      <c r="C13" s="2202"/>
      <c r="D13" s="2202"/>
      <c r="E13" s="2203"/>
      <c r="F13" s="785"/>
      <c r="G13" s="786"/>
      <c r="H13" s="787"/>
      <c r="I13" s="788"/>
      <c r="J13" s="788"/>
      <c r="K13" s="788"/>
    </row>
    <row r="14" spans="1:11" x14ac:dyDescent="0.2">
      <c r="A14" s="2223" t="s">
        <v>456</v>
      </c>
      <c r="B14" s="2223"/>
      <c r="C14" s="2223"/>
      <c r="D14" s="2223"/>
      <c r="E14" s="2224"/>
      <c r="F14" s="789" t="s">
        <v>854</v>
      </c>
      <c r="G14" s="782"/>
      <c r="H14" s="764">
        <v>76400</v>
      </c>
      <c r="I14" s="771"/>
      <c r="J14" s="773"/>
      <c r="K14" s="765">
        <v>18580</v>
      </c>
    </row>
    <row r="15" spans="1:11" x14ac:dyDescent="0.2">
      <c r="A15" s="2190" t="s">
        <v>4</v>
      </c>
      <c r="B15" s="2190"/>
      <c r="C15" s="2190"/>
      <c r="D15" s="2190"/>
      <c r="E15" s="2218"/>
      <c r="F15" s="789" t="s">
        <v>855</v>
      </c>
      <c r="G15" s="771"/>
      <c r="H15" s="764"/>
      <c r="I15" s="764"/>
      <c r="J15" s="765"/>
      <c r="K15" s="765"/>
    </row>
    <row r="16" spans="1:11" x14ac:dyDescent="0.2">
      <c r="A16" s="2190" t="s">
        <v>298</v>
      </c>
      <c r="B16" s="2190"/>
      <c r="C16" s="2190"/>
      <c r="D16" s="2190"/>
      <c r="E16" s="2218"/>
      <c r="F16" s="789" t="s">
        <v>923</v>
      </c>
      <c r="G16" s="772"/>
      <c r="H16" s="767"/>
      <c r="I16" s="767"/>
      <c r="J16" s="769"/>
      <c r="K16" s="769"/>
    </row>
    <row r="17" spans="1:11" x14ac:dyDescent="0.2">
      <c r="A17" s="2212" t="s">
        <v>935</v>
      </c>
      <c r="B17" s="2212"/>
      <c r="C17" s="2212"/>
      <c r="D17" s="2212"/>
      <c r="E17" s="2213"/>
      <c r="F17" s="790"/>
      <c r="G17" s="791"/>
      <c r="H17" s="792"/>
      <c r="I17" s="792"/>
      <c r="J17" s="793"/>
      <c r="K17" s="794"/>
    </row>
    <row r="18" spans="1:11" x14ac:dyDescent="0.2">
      <c r="A18" s="2204" t="s">
        <v>368</v>
      </c>
      <c r="B18" s="2205"/>
      <c r="C18" s="2205"/>
      <c r="D18" s="2205"/>
      <c r="E18" s="2206"/>
      <c r="F18" s="789" t="s">
        <v>932</v>
      </c>
      <c r="G18" s="782"/>
      <c r="H18" s="782"/>
      <c r="I18" s="782"/>
      <c r="J18" s="765"/>
      <c r="K18" s="795"/>
    </row>
    <row r="19" spans="1:11" ht="21.75" customHeight="1" x14ac:dyDescent="0.2">
      <c r="A19" s="2225" t="s">
        <v>1809</v>
      </c>
      <c r="B19" s="2225"/>
      <c r="C19" s="2225"/>
      <c r="D19" s="2225"/>
      <c r="E19" s="2226"/>
      <c r="F19" s="789" t="s">
        <v>933</v>
      </c>
      <c r="G19" s="782"/>
      <c r="H19" s="782"/>
      <c r="I19" s="782"/>
      <c r="J19" s="765"/>
      <c r="K19" s="795"/>
    </row>
    <row r="20" spans="1:11" x14ac:dyDescent="0.2">
      <c r="A20" s="2204" t="s">
        <v>1814</v>
      </c>
      <c r="B20" s="2205"/>
      <c r="C20" s="2205"/>
      <c r="D20" s="2205"/>
      <c r="E20" s="2206"/>
      <c r="F20" s="789" t="s">
        <v>934</v>
      </c>
      <c r="G20" s="782"/>
      <c r="H20" s="782"/>
      <c r="I20" s="782"/>
      <c r="J20" s="765"/>
      <c r="K20" s="795"/>
    </row>
    <row r="21" spans="1:11" ht="13.5" thickBot="1" x14ac:dyDescent="0.25">
      <c r="A21" s="2210" t="s">
        <v>638</v>
      </c>
      <c r="B21" s="2210"/>
      <c r="C21" s="2210"/>
      <c r="D21" s="2210"/>
      <c r="E21" s="2210"/>
      <c r="F21" s="1759"/>
      <c r="G21" s="792"/>
      <c r="H21" s="796"/>
      <c r="I21" s="796"/>
      <c r="J21" s="1760">
        <f>SUM(J18:J20)</f>
        <v>0</v>
      </c>
      <c r="K21" s="793"/>
    </row>
    <row r="22" spans="1:11" ht="13.5" thickTop="1" x14ac:dyDescent="0.2">
      <c r="A22" s="2190" t="s">
        <v>1815</v>
      </c>
      <c r="B22" s="2190"/>
      <c r="C22" s="2190"/>
      <c r="D22" s="2190"/>
      <c r="E22" s="2218"/>
      <c r="F22" s="789" t="s">
        <v>862</v>
      </c>
      <c r="G22" s="782"/>
      <c r="H22" s="764"/>
      <c r="I22" s="764"/>
      <c r="J22" s="797"/>
      <c r="K22" s="765"/>
    </row>
    <row r="23" spans="1:11" ht="13.5" thickBot="1" x14ac:dyDescent="0.25">
      <c r="A23" s="2211" t="s">
        <v>906</v>
      </c>
      <c r="B23" s="2210"/>
      <c r="C23" s="2210"/>
      <c r="D23" s="2210"/>
      <c r="E23" s="2210"/>
      <c r="F23" s="1761"/>
      <c r="G23" s="1758">
        <f>SUM(G14:G16,G21,G22)</f>
        <v>0</v>
      </c>
      <c r="H23" s="1758">
        <f>SUM(H14:H16,H21,H22)</f>
        <v>76400</v>
      </c>
      <c r="I23" s="1758">
        <f>SUM(I14:I16,I21,I22)</f>
        <v>0</v>
      </c>
      <c r="J23" s="1758">
        <f>SUM(J14:J16,J21,J22)</f>
        <v>0</v>
      </c>
      <c r="K23" s="1758">
        <f>SUM(K14:K16,K21,K22)</f>
        <v>18580</v>
      </c>
    </row>
    <row r="24" spans="1:11" ht="14.25" thickTop="1" thickBot="1" x14ac:dyDescent="0.25">
      <c r="A24" s="2211" t="s">
        <v>1965</v>
      </c>
      <c r="B24" s="2210"/>
      <c r="C24" s="2210"/>
      <c r="D24" s="2210"/>
      <c r="E24" s="2210"/>
      <c r="F24" s="1762"/>
      <c r="G24" s="1763">
        <f>SUM(G3,G12)-G23</f>
        <v>0</v>
      </c>
      <c r="H24" s="1763">
        <f>SUM(H3,H12)-H23</f>
        <v>0</v>
      </c>
      <c r="I24" s="1763">
        <f>SUM(I3,I12)-I23</f>
        <v>0</v>
      </c>
      <c r="J24" s="1763">
        <f>SUM(J3,J12)-J23</f>
        <v>36590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36590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90" t="s">
        <v>541</v>
      </c>
      <c r="B41" s="2191"/>
      <c r="C41" s="2191"/>
      <c r="D41" s="2191"/>
      <c r="E41" s="2191"/>
      <c r="F41" s="219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orizontalCentered="1"/>
  <pageMargins left="0.5" right="0.5" top="1.25" bottom="0.5" header="0.75" footer="0.5"/>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&amp;L&amp;8&amp;F&amp;CReference should be made to the accountant's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27" t="s">
        <v>1679</v>
      </c>
      <c r="B5" s="2228"/>
      <c r="C5" s="2228"/>
      <c r="D5" s="2228"/>
      <c r="E5" s="2228"/>
      <c r="F5" s="2228"/>
      <c r="G5" s="222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32" t="s">
        <v>1977</v>
      </c>
      <c r="B11" s="2233"/>
      <c r="C11" s="2233"/>
      <c r="D11" s="2234"/>
      <c r="E11" s="977">
        <v>10560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4822423</v>
      </c>
      <c r="F19" s="1799"/>
      <c r="G19" s="1801">
        <f>'Expenditures 15-22'!K33-SUM('Expenditures 15-22'!G33,'Expenditures 15-22'!I33)+'Expenditures 15-22'!D229</f>
        <v>4822423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178092</v>
      </c>
      <c r="F21" s="1802"/>
      <c r="G21" s="1805">
        <f>'Expenditures 15-22'!K42-SUM('Expenditures 15-22'!G42,'Expenditures 15-22'!I42)+'Expenditures 15-22'!K120-SUM('Expenditures 15-22'!G120,'Expenditures 15-22'!I120)+'Expenditures 15-22'!K180-SUM('Expenditures 15-22'!G180,'Expenditures 15-22'!I180)+'Expenditures 15-22'!D238</f>
        <v>178092</v>
      </c>
      <c r="H21" s="987"/>
      <c r="I21" s="162"/>
    </row>
    <row r="22" spans="1:9" s="668" customFormat="1" ht="12" customHeight="1" x14ac:dyDescent="0.2">
      <c r="A22" s="994" t="s">
        <v>564</v>
      </c>
      <c r="B22" s="995"/>
      <c r="C22" s="993">
        <v>2200</v>
      </c>
      <c r="D22" s="1802"/>
      <c r="E22" s="1804">
        <f>'Expenditures 15-22'!K47-SUM('Expenditures 15-22'!G47,'Expenditures 15-22'!I47)+'Expenditures 15-22'!D243</f>
        <v>511430</v>
      </c>
      <c r="F22" s="1802"/>
      <c r="G22" s="1805">
        <f>'Expenditures 15-22'!K47-SUM('Expenditures 15-22'!G47,'Expenditures 15-22'!I47)+'Expenditures 15-22'!D243</f>
        <v>511430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497663</v>
      </c>
      <c r="F23" s="1802"/>
      <c r="G23" s="1804">
        <f>'Expenditures 15-22'!K53-SUM('Expenditures 15-22'!G53,'Expenditures 15-22'!I53)+'Expenditures 15-22'!D257+'Expenditures 15-22'!K330-SUM('Expenditures 15-22'!G330,'Expenditures 15-22'!I330)</f>
        <v>497663</v>
      </c>
      <c r="H23" s="987"/>
      <c r="I23" s="162"/>
    </row>
    <row r="24" spans="1:9" s="668" customFormat="1" ht="12" customHeight="1" x14ac:dyDescent="0.2">
      <c r="A24" s="994" t="s">
        <v>566</v>
      </c>
      <c r="B24" s="995"/>
      <c r="C24" s="993">
        <v>2400</v>
      </c>
      <c r="D24" s="1802"/>
      <c r="E24" s="1804">
        <f>'Expenditures 15-22'!K57-SUM('Expenditures 15-22'!G57,'Expenditures 15-22'!I57)+'Expenditures 15-22'!D261</f>
        <v>451872</v>
      </c>
      <c r="F24" s="1802"/>
      <c r="G24" s="1805">
        <f>'Expenditures 15-22'!K57-SUM('Expenditures 15-22'!G57,'Expenditures 15-22'!I57)+'Expenditures 15-22'!D261</f>
        <v>451872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177512</v>
      </c>
      <c r="E27" s="1804">
        <f>E8</f>
        <v>0</v>
      </c>
      <c r="F27" s="1804">
        <f>'Expenditures 15-22'!K60-SUM('Expenditures 15-22'!G60,'Expenditures 15-22'!I60)+'Expenditures 15-22'!D264-E8</f>
        <v>177512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1063069</v>
      </c>
      <c r="F28" s="1806">
        <f>'Expenditures 15-22'!K61-SUM('Expenditures 15-22'!G61,'Expenditures 15-22'!I61)+'Expenditures 15-22'!K124-SUM('Expenditures 15-22'!G124,'Expenditures 15-22'!I124)+'Expenditures 15-22'!D266-E9</f>
        <v>1063069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596045</v>
      </c>
      <c r="F29" s="1802"/>
      <c r="G29" s="1805">
        <f>'Expenditures 15-22'!K62-SUM('Expenditures 15-22'!G62,'Expenditures 15-22'!I62)+'Expenditures 15-22'!K125-SUM('Expenditures 15-22'!G125,'Expenditures 15-22'!I125)+'Expenditures 15-22'!K182-SUM('Expenditures 15-22'!G182,'Expenditures 15-22'!I182)+'Expenditures 15-22'!D267</f>
        <v>596045</v>
      </c>
      <c r="H29" s="985"/>
    </row>
    <row r="30" spans="1:9" ht="12" customHeight="1" x14ac:dyDescent="0.2">
      <c r="A30" s="994" t="s">
        <v>100</v>
      </c>
      <c r="B30" s="997"/>
      <c r="C30" s="993">
        <v>2560</v>
      </c>
      <c r="D30" s="1802"/>
      <c r="E30" s="1804">
        <f>'Expenditures 15-22'!K63-SUM('Expenditures 15-22'!G63,'Expenditures 15-22'!I63)+'Expenditures 15-22'!D268-E10</f>
        <v>363921</v>
      </c>
      <c r="F30" s="1802"/>
      <c r="G30" s="1804">
        <f>'Expenditures 15-22'!K63-SUM('Expenditures 15-22'!G63,'Expenditures 15-22'!I63)+'Expenditures 15-22'!D268-E10</f>
        <v>363921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200</v>
      </c>
      <c r="F38" s="1802"/>
      <c r="G38" s="1804">
        <f>'Expenditures 15-22'!K73-SUM('Expenditures 15-22'!G73,'Expenditures 15-22'!I73)+'Expenditures 15-22'!K128-SUM('Expenditures 15-22'!G128,'Expenditures 15-22'!I128)+'Expenditures 15-22'!K183-SUM('Expenditures 15-22'!G183,'Expenditures 15-22'!I183)+'Expenditures 15-22'!D278</f>
        <v>200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13578</v>
      </c>
      <c r="F39" s="1802"/>
      <c r="G39" s="1804">
        <f>'Expenditures 15-22'!K75-SUM('Expenditures 15-22'!G75,'Expenditures 15-22'!I75)+'Expenditures 15-22'!K130-SUM('Expenditures 15-22'!G130,'Expenditures 15-22'!I130)+'Expenditures 15-22'!K185-SUM('Expenditures 15-22'!G185,'Expenditures 15-22'!I185)+'Expenditures 15-22'!D280</f>
        <v>13578</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177512</v>
      </c>
      <c r="E41" s="1806">
        <f>SUM(E19:E40)</f>
        <v>8498293</v>
      </c>
      <c r="F41" s="1806">
        <f>SUM(F19:F39)</f>
        <v>1240581</v>
      </c>
      <c r="G41" s="1806">
        <f>SUM(G19:G40)</f>
        <v>7435224</v>
      </c>
    </row>
    <row r="42" spans="1:7" x14ac:dyDescent="0.2">
      <c r="A42" s="987"/>
      <c r="B42" s="162"/>
      <c r="C42" s="1001"/>
      <c r="D42" s="2230" t="s">
        <v>522</v>
      </c>
      <c r="E42" s="2231"/>
      <c r="F42" s="1002" t="s">
        <v>523</v>
      </c>
      <c r="G42" s="1003"/>
    </row>
    <row r="43" spans="1:7" ht="12" customHeight="1" x14ac:dyDescent="0.2">
      <c r="A43" s="987"/>
      <c r="B43" s="162"/>
      <c r="C43" s="1001"/>
      <c r="D43" s="1807" t="s">
        <v>473</v>
      </c>
      <c r="E43" s="1808">
        <f>D41</f>
        <v>177512</v>
      </c>
      <c r="F43" s="1807" t="s">
        <v>473</v>
      </c>
      <c r="G43" s="1808">
        <f>F41</f>
        <v>1240581</v>
      </c>
    </row>
    <row r="44" spans="1:7" ht="12" customHeight="1" x14ac:dyDescent="0.2">
      <c r="A44" s="987"/>
      <c r="B44" s="162"/>
      <c r="C44" s="1001"/>
      <c r="D44" s="1807" t="s">
        <v>474</v>
      </c>
      <c r="E44" s="1808">
        <f>E41</f>
        <v>8498293</v>
      </c>
      <c r="F44" s="1807" t="s">
        <v>474</v>
      </c>
      <c r="G44" s="1808">
        <f>G41</f>
        <v>7435224</v>
      </c>
    </row>
    <row r="45" spans="1:7" ht="12" customHeight="1" x14ac:dyDescent="0.2">
      <c r="A45" s="987"/>
      <c r="B45" s="162"/>
      <c r="C45" s="162"/>
      <c r="D45" s="1809" t="s">
        <v>1006</v>
      </c>
      <c r="E45" s="1810">
        <f>(E43/E44)</f>
        <v>2.0887959499631278E-2</v>
      </c>
      <c r="F45" s="1809" t="s">
        <v>1006</v>
      </c>
      <c r="G45" s="1810">
        <f>(G43/G44)</f>
        <v>0.1668518661979787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pageMargins left="0.5" right="0.5" top="1.25" bottom="0.5" header="0.75" footer="0.5"/>
  <pageSetup scale="75" firstPageNumber="30" orientation="landscape" useFirstPageNumber="1" r:id="rId1"/>
  <headerFooter alignWithMargins="0">
    <oddHeader>&amp;L&amp;8Page &amp;P&amp;C&amp;"Arial,Bold"
ESTIMATED INDIRECT COST DATA&amp;R&amp;8Page &amp;P</oddHeader>
    <oddFooter>&amp;L&amp;8&amp;F&amp;CReference should be made to the accountant's report regarding this information.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7" t="s">
        <v>1909</v>
      </c>
      <c r="B1" s="2238"/>
      <c r="C1" s="2239"/>
      <c r="D1" s="826"/>
      <c r="E1" s="827"/>
      <c r="F1" s="827"/>
      <c r="G1" s="828"/>
      <c r="H1" s="829"/>
      <c r="I1" s="830"/>
      <c r="J1" s="2235"/>
      <c r="K1" s="2236"/>
      <c r="L1" s="2236"/>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434100</v>
      </c>
      <c r="D5" s="841"/>
      <c r="E5" s="841"/>
      <c r="F5" s="1760">
        <f>(C5+D5)-E5</f>
        <v>434100</v>
      </c>
      <c r="G5" s="837"/>
      <c r="H5" s="842"/>
      <c r="I5" s="842"/>
      <c r="J5" s="842"/>
      <c r="K5" s="793"/>
      <c r="L5" s="1769">
        <f>F5-K5</f>
        <v>434100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19920344</v>
      </c>
      <c r="D8" s="844"/>
      <c r="E8" s="844"/>
      <c r="F8" s="1760">
        <f>(C8+D8)-E8</f>
        <v>19920344</v>
      </c>
      <c r="G8" s="843">
        <v>50</v>
      </c>
      <c r="H8" s="765">
        <v>6163201</v>
      </c>
      <c r="I8" s="765">
        <v>398407</v>
      </c>
      <c r="J8" s="765"/>
      <c r="K8" s="1769">
        <f>(H8+I8)-J8</f>
        <v>6561608</v>
      </c>
      <c r="L8" s="1769">
        <f>F8-K8</f>
        <v>13358736</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1176145</v>
      </c>
      <c r="D10" s="846"/>
      <c r="E10" s="846"/>
      <c r="F10" s="1764">
        <f>(C10+D10)-E10</f>
        <v>1176145</v>
      </c>
      <c r="G10" s="843">
        <v>20</v>
      </c>
      <c r="H10" s="847">
        <v>774110</v>
      </c>
      <c r="I10" s="847">
        <v>59884</v>
      </c>
      <c r="J10" s="847"/>
      <c r="K10" s="1769">
        <f>(H10+I10)-J10</f>
        <v>833994</v>
      </c>
      <c r="L10" s="1769">
        <f>F10-K10</f>
        <v>342151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2027344</v>
      </c>
      <c r="D12" s="844">
        <v>58541</v>
      </c>
      <c r="E12" s="844"/>
      <c r="F12" s="1760">
        <f>(C12+D12)-E12</f>
        <v>2085885</v>
      </c>
      <c r="G12" s="843">
        <v>10</v>
      </c>
      <c r="H12" s="765">
        <v>1751656</v>
      </c>
      <c r="I12" s="765">
        <v>60362</v>
      </c>
      <c r="J12" s="765"/>
      <c r="K12" s="1769">
        <f>(H12+I12)-J12</f>
        <v>1812018</v>
      </c>
      <c r="L12" s="1769">
        <f>F12-K12</f>
        <v>273867</v>
      </c>
    </row>
    <row r="13" spans="1:14" ht="14.25" thickTop="1" thickBot="1" x14ac:dyDescent="0.25">
      <c r="A13" s="848" t="s">
        <v>1122</v>
      </c>
      <c r="B13" s="840">
        <v>252</v>
      </c>
      <c r="C13" s="844">
        <v>2089264</v>
      </c>
      <c r="D13" s="844">
        <v>172823</v>
      </c>
      <c r="E13" s="844">
        <v>306051</v>
      </c>
      <c r="F13" s="1760">
        <f>(C13+D13)-E13</f>
        <v>1956036</v>
      </c>
      <c r="G13" s="843">
        <v>5</v>
      </c>
      <c r="H13" s="765">
        <v>1561581</v>
      </c>
      <c r="I13" s="765">
        <v>199031</v>
      </c>
      <c r="J13" s="765">
        <v>306051</v>
      </c>
      <c r="K13" s="1769">
        <f>(H13+I13)-J13</f>
        <v>1454561</v>
      </c>
      <c r="L13" s="1769">
        <f>F13-K13</f>
        <v>501475</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25647197</v>
      </c>
      <c r="D16" s="1760">
        <f>SUM(D3,D5:D6,D8:D10,D12:D15)</f>
        <v>231364</v>
      </c>
      <c r="E16" s="1760">
        <f>SUM(E3,E5:E6,E8:E10,E12:E15)</f>
        <v>306051</v>
      </c>
      <c r="F16" s="1760">
        <f>SUM(F3,F5:F6,F8:F10,F12:F15)</f>
        <v>25572510</v>
      </c>
      <c r="G16" s="843"/>
      <c r="H16" s="1760">
        <f>SUM(H3,H6,H8:H10,H12:H14,)</f>
        <v>10250548</v>
      </c>
      <c r="I16" s="1760">
        <f>SUM(I3,I6,I8:I10,I12:I14,)</f>
        <v>717684</v>
      </c>
      <c r="J16" s="1760">
        <f>SUM(J3,J6,J8:J10,J12:J14,)</f>
        <v>306051</v>
      </c>
      <c r="K16" s="1760">
        <f>(H16+I16)-J16</f>
        <v>10662181</v>
      </c>
      <c r="L16" s="1760">
        <f>F16-K16</f>
        <v>14910329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717684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orizontalCentered="1"/>
  <pageMargins left="0.5" right="0.5" top="1.25" bottom="0.5" header="0.75" footer="0.5"/>
  <pageSetup scale="75" firstPageNumber="26" orientation="landscape" useFirstPageNumber="1" r:id="rId1"/>
  <headerFooter alignWithMargins="0">
    <oddHeader>&amp;L&amp;8Page &amp;P&amp;C &amp;R&amp;8Page &amp;P</oddHeader>
    <oddFooter>&amp;L&amp;8&amp;F&amp;CReference should be made to the accountant's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78"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43" t="s">
        <v>1975</v>
      </c>
      <c r="B1" s="2244"/>
      <c r="C1" s="2244"/>
      <c r="D1" s="2244"/>
      <c r="E1" s="2244"/>
      <c r="F1" s="2245"/>
      <c r="G1" s="855"/>
    </row>
    <row r="2" spans="1:7" ht="15" customHeight="1" thickBot="1" x14ac:dyDescent="0.25">
      <c r="A2" s="2246" t="s">
        <v>477</v>
      </c>
      <c r="B2" s="2247"/>
      <c r="C2" s="2247"/>
      <c r="D2" s="2247"/>
      <c r="E2" s="2247"/>
      <c r="F2" s="224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49"/>
      <c r="B5" s="2250"/>
      <c r="C5" s="2250"/>
      <c r="D5" s="2250"/>
      <c r="E5" s="2250"/>
      <c r="F5" s="2250"/>
    </row>
    <row r="6" spans="1:7" ht="13.5" customHeight="1" thickBot="1" x14ac:dyDescent="0.25">
      <c r="A6" s="2240" t="s">
        <v>1104</v>
      </c>
      <c r="B6" s="2241"/>
      <c r="C6" s="2241"/>
      <c r="D6" s="2241"/>
      <c r="E6" s="2241"/>
      <c r="F6" s="224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7090152</v>
      </c>
      <c r="G8" s="865"/>
    </row>
    <row r="9" spans="1:7" x14ac:dyDescent="0.2">
      <c r="A9" s="869" t="s">
        <v>460</v>
      </c>
      <c r="B9" s="870" t="s">
        <v>1877</v>
      </c>
      <c r="C9" s="871"/>
      <c r="D9" s="869" t="s">
        <v>501</v>
      </c>
      <c r="E9" s="868"/>
      <c r="F9" s="1909">
        <f>'Expenditures 15-22'!K151</f>
        <v>1152960</v>
      </c>
      <c r="G9" s="872"/>
    </row>
    <row r="10" spans="1:7" x14ac:dyDescent="0.2">
      <c r="A10" s="869" t="s">
        <v>499</v>
      </c>
      <c r="B10" s="870" t="s">
        <v>1878</v>
      </c>
      <c r="C10" s="871"/>
      <c r="D10" s="869" t="s">
        <v>501</v>
      </c>
      <c r="E10" s="868"/>
      <c r="F10" s="1909">
        <f>'Expenditures 15-22'!K174</f>
        <v>1630125</v>
      </c>
      <c r="G10" s="872"/>
    </row>
    <row r="11" spans="1:7" x14ac:dyDescent="0.2">
      <c r="A11" s="869" t="s">
        <v>461</v>
      </c>
      <c r="B11" s="870" t="s">
        <v>1879</v>
      </c>
      <c r="C11" s="871"/>
      <c r="D11" s="869" t="s">
        <v>501</v>
      </c>
      <c r="E11" s="868"/>
      <c r="F11" s="1909">
        <f>'Expenditures 15-22'!K210</f>
        <v>697778</v>
      </c>
      <c r="G11" s="872"/>
    </row>
    <row r="12" spans="1:7" x14ac:dyDescent="0.2">
      <c r="A12" s="869" t="s">
        <v>462</v>
      </c>
      <c r="B12" s="870" t="s">
        <v>1880</v>
      </c>
      <c r="C12" s="871"/>
      <c r="D12" s="869" t="s">
        <v>501</v>
      </c>
      <c r="E12" s="868"/>
      <c r="F12" s="1909">
        <f>'Expenditures 15-22'!K295</f>
        <v>302667</v>
      </c>
      <c r="G12" s="872"/>
    </row>
    <row r="13" spans="1:7" x14ac:dyDescent="0.2">
      <c r="A13" s="869" t="s">
        <v>106</v>
      </c>
      <c r="B13" s="870" t="s">
        <v>1881</v>
      </c>
      <c r="C13" s="871"/>
      <c r="D13" s="869" t="s">
        <v>501</v>
      </c>
      <c r="E13" s="868"/>
      <c r="F13" s="1909">
        <f>'Expenditures 15-22'!K342</f>
        <v>206260</v>
      </c>
      <c r="G13" s="873"/>
    </row>
    <row r="14" spans="1:7" ht="12" customHeight="1" thickBot="1" x14ac:dyDescent="0.25">
      <c r="A14" s="1770"/>
      <c r="B14" s="1771"/>
      <c r="C14" s="1772"/>
      <c r="D14" s="1773" t="s">
        <v>501</v>
      </c>
      <c r="E14" s="1774" t="s">
        <v>958</v>
      </c>
      <c r="F14" s="1775">
        <f>SUM(F8:F13)</f>
        <v>11079942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186880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13376</v>
      </c>
      <c r="G52" s="865"/>
    </row>
    <row r="53" spans="1:7" x14ac:dyDescent="0.2">
      <c r="A53" s="869" t="s">
        <v>459</v>
      </c>
      <c r="B53" s="869" t="s">
        <v>1475</v>
      </c>
      <c r="C53" s="889">
        <f>'Expenditures 15-22'!B102</f>
        <v>4000</v>
      </c>
      <c r="D53" s="888" t="str">
        <f>'Expenditures 15-22'!A102</f>
        <v>Total Payments to Other Govt Units</v>
      </c>
      <c r="E53" s="868"/>
      <c r="F53" s="1913">
        <f>'Expenditures 15-22'!K102</f>
        <v>429610</v>
      </c>
      <c r="G53" s="865"/>
    </row>
    <row r="54" spans="1:7" x14ac:dyDescent="0.2">
      <c r="A54" s="869" t="s">
        <v>459</v>
      </c>
      <c r="B54" s="869" t="s">
        <v>1476</v>
      </c>
      <c r="C54" s="889" t="s">
        <v>982</v>
      </c>
      <c r="D54" s="885" t="s">
        <v>1095</v>
      </c>
      <c r="E54" s="868"/>
      <c r="F54" s="1913">
        <f>'Expenditures 15-22'!G114</f>
        <v>16115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30512</v>
      </c>
      <c r="G57" s="865"/>
    </row>
    <row r="58" spans="1:7" x14ac:dyDescent="0.2">
      <c r="A58" s="869" t="s">
        <v>460</v>
      </c>
      <c r="B58" s="869" t="s">
        <v>1883</v>
      </c>
      <c r="C58" s="886" t="s">
        <v>982</v>
      </c>
      <c r="D58" s="885" t="s">
        <v>1095</v>
      </c>
      <c r="E58" s="868"/>
      <c r="F58" s="1915">
        <f>'Expenditures 15-22'!G151</f>
        <v>121842</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1275071</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175933</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366</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202</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2249907</v>
      </c>
      <c r="G76" s="865"/>
    </row>
    <row r="77" spans="1:8" s="893" customFormat="1" ht="12" customHeight="1" thickTop="1" thickBot="1" x14ac:dyDescent="0.25">
      <c r="A77" s="1779"/>
      <c r="B77" s="1776"/>
      <c r="C77" s="1772"/>
      <c r="D77" s="1777" t="s">
        <v>1900</v>
      </c>
      <c r="E77" s="1774"/>
      <c r="F77" s="1780">
        <f>(F14-F76)</f>
        <v>8830035</v>
      </c>
      <c r="G77" s="869"/>
    </row>
    <row r="78" spans="1:8" s="893" customFormat="1" ht="12" customHeight="1" thickTop="1" x14ac:dyDescent="0.2">
      <c r="A78" s="1781"/>
      <c r="B78" s="1776"/>
      <c r="C78" s="1772"/>
      <c r="D78" s="1777" t="s">
        <v>2062</v>
      </c>
      <c r="E78" s="1774"/>
      <c r="F78" s="898">
        <v>834.66</v>
      </c>
      <c r="G78" s="899"/>
      <c r="H78" s="869"/>
    </row>
    <row r="79" spans="1:8" s="893" customFormat="1" ht="12" customHeight="1" thickBot="1" x14ac:dyDescent="0.25">
      <c r="A79" s="1782"/>
      <c r="B79" s="1776"/>
      <c r="C79" s="1772"/>
      <c r="D79" s="1777" t="s">
        <v>1901</v>
      </c>
      <c r="E79" s="1774" t="s">
        <v>958</v>
      </c>
      <c r="F79" s="1783">
        <f>IF(F78&gt;0,F77/F78," Complete Line 78")</f>
        <v>10579.199913737331</v>
      </c>
      <c r="G79" s="869"/>
    </row>
    <row r="80" spans="1:8" s="893" customFormat="1" ht="8.25" customHeight="1" thickTop="1" x14ac:dyDescent="0.2">
      <c r="A80" s="900"/>
      <c r="B80" s="869"/>
      <c r="C80" s="871"/>
      <c r="D80" s="901"/>
      <c r="E80" s="868"/>
      <c r="F80" s="902"/>
      <c r="G80" s="869"/>
    </row>
    <row r="81" spans="1:7" s="893" customFormat="1" ht="12" thickBot="1" x14ac:dyDescent="0.25">
      <c r="A81" s="2240" t="s">
        <v>1105</v>
      </c>
      <c r="B81" s="2241"/>
      <c r="C81" s="2241"/>
      <c r="D81" s="2241"/>
      <c r="E81" s="2241"/>
      <c r="F81" s="224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85</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1527</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144396</v>
      </c>
      <c r="G94" s="912"/>
    </row>
    <row r="95" spans="1:7" x14ac:dyDescent="0.2">
      <c r="A95" s="908" t="s">
        <v>140</v>
      </c>
      <c r="B95" s="908" t="s">
        <v>175</v>
      </c>
      <c r="C95" s="910">
        <v>1700</v>
      </c>
      <c r="D95" s="918" t="str">
        <f>'Revenues 9-14'!A82</f>
        <v>Total District/School Activity Income</v>
      </c>
      <c r="E95" s="906"/>
      <c r="F95" s="1789">
        <f>SUM('Revenues 9-14'!C82,'Revenues 9-14'!D82)</f>
        <v>50165</v>
      </c>
      <c r="G95" s="912"/>
    </row>
    <row r="96" spans="1:7" x14ac:dyDescent="0.2">
      <c r="A96" s="908" t="s">
        <v>459</v>
      </c>
      <c r="B96" s="908" t="s">
        <v>176</v>
      </c>
      <c r="C96" s="910">
        <f>'Revenues 9-14'!B84</f>
        <v>1811</v>
      </c>
      <c r="D96" s="911" t="str">
        <f>'Revenues 9-14'!A84</f>
        <v>Rentals - Regular Textbooks</v>
      </c>
      <c r="E96" s="906"/>
      <c r="F96" s="1789">
        <f>'Revenues 9-14'!C84</f>
        <v>68279</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3140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6574</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29581</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13766</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2709</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11555</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334832</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7395</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153910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118465</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17725</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74168</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3486</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21126</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2823</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9682</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206241</v>
      </c>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1281630</v>
      </c>
    </row>
    <row r="175" spans="1:7" ht="12" customHeight="1" x14ac:dyDescent="0.2">
      <c r="A175" s="1770"/>
      <c r="B175" s="1784"/>
      <c r="C175" s="1785"/>
      <c r="D175" s="1786" t="s">
        <v>2057</v>
      </c>
      <c r="E175" s="1787"/>
      <c r="F175" s="1789">
        <f>'PCTC-OEPP 27-28'!F77-F174</f>
        <v>7548405</v>
      </c>
    </row>
    <row r="176" spans="1:7" ht="12" customHeight="1" x14ac:dyDescent="0.2">
      <c r="A176" s="1770"/>
      <c r="B176" s="1784"/>
      <c r="C176" s="1785"/>
      <c r="D176" s="1786" t="s">
        <v>1817</v>
      </c>
      <c r="E176" s="1787"/>
      <c r="F176" s="1789">
        <f>'Cap Outlay Deprec 26'!I18</f>
        <v>717684</v>
      </c>
    </row>
    <row r="177" spans="1:7" ht="12" customHeight="1" x14ac:dyDescent="0.2">
      <c r="A177" s="1770"/>
      <c r="B177" s="1784"/>
      <c r="C177" s="1785"/>
      <c r="D177" s="1786" t="s">
        <v>2058</v>
      </c>
      <c r="E177" s="1787"/>
      <c r="F177" s="1789">
        <f>F175+F176</f>
        <v>8266089</v>
      </c>
    </row>
    <row r="178" spans="1:7" ht="12" customHeight="1" x14ac:dyDescent="0.2">
      <c r="A178" s="1770"/>
      <c r="B178" s="1790"/>
      <c r="C178" s="1785"/>
      <c r="D178" s="1786" t="str">
        <f>D78</f>
        <v>9 Month ADA from District Average Daily Attendance/Prior General State Aid Inquiry 2018-2019</v>
      </c>
      <c r="E178" s="1787"/>
      <c r="F178" s="1791">
        <f>'PCTC-OEPP 27-28'!F78</f>
        <v>834.66</v>
      </c>
      <c r="G178" s="930"/>
    </row>
    <row r="179" spans="1:7" ht="12" customHeight="1" thickBot="1" x14ac:dyDescent="0.25">
      <c r="A179" s="1770"/>
      <c r="B179" s="1790"/>
      <c r="C179" s="1785"/>
      <c r="D179" s="1786" t="s">
        <v>2059</v>
      </c>
      <c r="E179" s="1787" t="s">
        <v>1545</v>
      </c>
      <c r="F179" s="1792">
        <f>F177/F178</f>
        <v>9903.5403637409254</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orizontalCentered="1"/>
  <pageMargins left="0.5" right="0.5" top="0.7" bottom="0.5" header="0.5" footer="0.5"/>
  <pageSetup scale="70" firstPageNumber="27" orientation="portrait" useFirstPageNumber="1" r:id="rId2"/>
  <headerFooter differentOddEven="1" alignWithMargins="0">
    <oddHeader>&amp;L&amp;8Page &amp;P&amp;C &amp;R&amp;8Page &amp;P</oddHeader>
    <oddFooter>&amp;L&amp;8&amp;F&amp;CReference should be made to the accountant's report regarding this information.
50</oddFooter>
    <evenFooter>&amp;L&amp;F&amp;CReference should be made to the accountant's report regarding this information.
51</even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4" sqref="B6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2088</v>
      </c>
    </row>
    <row r="6" spans="1:2" x14ac:dyDescent="0.2">
      <c r="A6" s="1068">
        <v>2</v>
      </c>
      <c r="B6" s="329" t="s">
        <v>2089</v>
      </c>
    </row>
    <row r="7" spans="1:2" x14ac:dyDescent="0.2">
      <c r="A7" s="1068">
        <v>3</v>
      </c>
      <c r="B7" s="329" t="s">
        <v>2090</v>
      </c>
    </row>
    <row r="8" spans="1:2" x14ac:dyDescent="0.2">
      <c r="A8" s="1068">
        <v>4</v>
      </c>
      <c r="B8" s="329" t="s">
        <v>2091</v>
      </c>
    </row>
    <row r="9" spans="1:2" x14ac:dyDescent="0.2">
      <c r="A9" s="1068">
        <v>5</v>
      </c>
      <c r="B9" s="329" t="s">
        <v>2092</v>
      </c>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New Berlin CUSD 16</v>
      </c>
    </row>
    <row r="65" spans="2:2" x14ac:dyDescent="0.2">
      <c r="B65" s="1070">
        <f>COVER!A13</f>
        <v>51084016026</v>
      </c>
    </row>
  </sheetData>
  <phoneticPr fontId="16" type="noConversion"/>
  <pageMargins left="0.75" right="0.5" top="1.25" bottom="0.5" header="0.5" footer="0.25"/>
  <pageSetup scale="80" firstPageNumber="32" orientation="portrait" useFirstPageNumber="1" r:id="rId1"/>
  <headerFooter alignWithMargins="0">
    <oddHeader>&amp;L&amp;8Page 33&amp;C &amp;R&amp;8Page 33</oddHeader>
    <oddFooter xml:space="preserve">&amp;L&amp;F&amp;CReference should be made to the accountant's report regarding this information.
52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75" right="0.25" top="1.25" bottom="0.25" header="0.75" footer="0.25"/>
  <pageSetup scale="80" firstPageNumber="33" orientation="portrait" useFirstPageNumber="1" r:id="rId1"/>
  <headerFooter alignWithMargins="0">
    <oddHeader>&amp;L&amp;8Page 34&amp;R&amp;8Page 34</oddHeader>
    <oddFooter xml:space="preserve">&amp;L&amp;F&amp;CReference should be made to the accountant's report regarding this information.
53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CC"/>
  </sheetPr>
  <dimension ref="A1:K143"/>
  <sheetViews>
    <sheetView showGridLines="0" defaultGridColor="0" topLeftCell="A89" colorId="8" zoomScale="110" zoomScaleNormal="110" workbookViewId="0">
      <selection activeCell="D124" sqref="D12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51" t="s">
        <v>1168</v>
      </c>
      <c r="B2" s="2251"/>
      <c r="C2" s="2251"/>
      <c r="D2" s="2251"/>
      <c r="E2" s="2251"/>
      <c r="F2" s="2251"/>
      <c r="G2" s="2251"/>
      <c r="H2" s="2251"/>
      <c r="I2" s="2251"/>
      <c r="J2" s="22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265" t="s">
        <v>1633</v>
      </c>
      <c r="B35" s="2266"/>
      <c r="C35" s="2266"/>
      <c r="D35" s="2266"/>
      <c r="E35" s="2267"/>
      <c r="F35" s="2267"/>
      <c r="G35" s="2267"/>
      <c r="H35" s="2267"/>
      <c r="I35" s="22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265" t="s">
        <v>313</v>
      </c>
      <c r="B47" s="2268"/>
      <c r="C47" s="2268"/>
      <c r="D47" s="2268"/>
      <c r="E47" s="2269"/>
      <c r="F47" s="2269"/>
      <c r="G47" s="2269"/>
      <c r="H47" s="2269"/>
      <c r="I47" s="22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2080</v>
      </c>
      <c r="C53" s="179">
        <v>22</v>
      </c>
      <c r="D53" s="247" t="s">
        <v>1462</v>
      </c>
      <c r="E53" s="248"/>
      <c r="F53" s="249"/>
      <c r="G53" s="249" t="s">
        <v>1461</v>
      </c>
      <c r="H53" s="250">
        <v>35796</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72"/>
      <c r="C57" s="2273"/>
      <c r="D57" s="2273"/>
      <c r="E57" s="2273"/>
      <c r="F57" s="2273"/>
      <c r="G57" s="2273"/>
      <c r="H57" s="2273"/>
      <c r="I57" s="2273"/>
      <c r="J57" s="2274"/>
    </row>
    <row r="58" spans="1:10" s="181" customFormat="1" x14ac:dyDescent="0.2">
      <c r="A58" s="253"/>
      <c r="B58" s="2275"/>
      <c r="C58" s="2276"/>
      <c r="D58" s="2276"/>
      <c r="E58" s="2276"/>
      <c r="F58" s="2276"/>
      <c r="G58" s="2276"/>
      <c r="H58" s="2276"/>
      <c r="I58" s="2276"/>
      <c r="J58" s="2277"/>
    </row>
    <row r="59" spans="1:10" s="181" customFormat="1" x14ac:dyDescent="0.2">
      <c r="A59" s="253"/>
      <c r="B59" s="2275"/>
      <c r="C59" s="2276"/>
      <c r="D59" s="2276"/>
      <c r="E59" s="2276"/>
      <c r="F59" s="2276"/>
      <c r="G59" s="2276"/>
      <c r="H59" s="2276"/>
      <c r="I59" s="2276"/>
      <c r="J59" s="2277"/>
    </row>
    <row r="60" spans="1:10" s="181" customFormat="1" x14ac:dyDescent="0.2">
      <c r="A60" s="253"/>
      <c r="B60" s="2275"/>
      <c r="C60" s="2276"/>
      <c r="D60" s="2276"/>
      <c r="E60" s="2276"/>
      <c r="F60" s="2276"/>
      <c r="G60" s="2276"/>
      <c r="H60" s="2276"/>
      <c r="I60" s="2276"/>
      <c r="J60" s="2277"/>
    </row>
    <row r="61" spans="1:10" s="181" customFormat="1" x14ac:dyDescent="0.2">
      <c r="A61" s="253"/>
      <c r="B61" s="2275"/>
      <c r="C61" s="2276"/>
      <c r="D61" s="2276"/>
      <c r="E61" s="2276"/>
      <c r="F61" s="2276"/>
      <c r="G61" s="2276"/>
      <c r="H61" s="2276"/>
      <c r="I61" s="2276"/>
      <c r="J61" s="2277"/>
    </row>
    <row r="62" spans="1:10" s="181" customFormat="1" x14ac:dyDescent="0.2">
      <c r="A62" s="253"/>
      <c r="B62" s="2275"/>
      <c r="C62" s="2276"/>
      <c r="D62" s="2276"/>
      <c r="E62" s="2276"/>
      <c r="F62" s="2276"/>
      <c r="G62" s="2276"/>
      <c r="H62" s="2276"/>
      <c r="I62" s="2276"/>
      <c r="J62" s="2277"/>
    </row>
    <row r="63" spans="1:10" s="181" customFormat="1" x14ac:dyDescent="0.2">
      <c r="A63" s="253"/>
      <c r="B63" s="2275"/>
      <c r="C63" s="2276"/>
      <c r="D63" s="2276"/>
      <c r="E63" s="2276"/>
      <c r="F63" s="2276"/>
      <c r="G63" s="2276"/>
      <c r="H63" s="2276"/>
      <c r="I63" s="2276"/>
      <c r="J63" s="2277"/>
    </row>
    <row r="64" spans="1:10" s="181" customFormat="1" x14ac:dyDescent="0.2">
      <c r="A64" s="253"/>
      <c r="B64" s="2275"/>
      <c r="C64" s="2276"/>
      <c r="D64" s="2276"/>
      <c r="E64" s="2276"/>
      <c r="F64" s="2276"/>
      <c r="G64" s="2276"/>
      <c r="H64" s="2276"/>
      <c r="I64" s="2276"/>
      <c r="J64" s="2277"/>
    </row>
    <row r="65" spans="1:10" s="181" customFormat="1" x14ac:dyDescent="0.2">
      <c r="A65" s="253"/>
      <c r="B65" s="2275"/>
      <c r="C65" s="2276"/>
      <c r="D65" s="2276"/>
      <c r="E65" s="2276"/>
      <c r="F65" s="2276"/>
      <c r="G65" s="2276"/>
      <c r="H65" s="2276"/>
      <c r="I65" s="2276"/>
      <c r="J65" s="2277"/>
    </row>
    <row r="66" spans="1:10" s="181" customFormat="1" x14ac:dyDescent="0.2">
      <c r="A66" s="253"/>
      <c r="B66" s="2275"/>
      <c r="C66" s="2276"/>
      <c r="D66" s="2276"/>
      <c r="E66" s="2276"/>
      <c r="F66" s="2276"/>
      <c r="G66" s="2276"/>
      <c r="H66" s="2276"/>
      <c r="I66" s="2276"/>
      <c r="J66" s="2277"/>
    </row>
    <row r="67" spans="1:10" s="181" customFormat="1" ht="9" customHeight="1" x14ac:dyDescent="0.2">
      <c r="A67" s="254"/>
      <c r="B67" s="2278"/>
      <c r="C67" s="2279"/>
      <c r="D67" s="2279"/>
      <c r="E67" s="2279"/>
      <c r="F67" s="2279"/>
      <c r="G67" s="2279"/>
      <c r="H67" s="2279"/>
      <c r="I67" s="2279"/>
      <c r="J67" s="22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65" t="s">
        <v>1323</v>
      </c>
      <c r="B70" s="2268"/>
      <c r="C70" s="2268"/>
      <c r="D70" s="2268"/>
      <c r="E70" s="2269"/>
      <c r="F70" s="2269"/>
      <c r="G70" s="2269"/>
      <c r="H70" s="2269"/>
      <c r="I70" s="22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70" t="s">
        <v>1320</v>
      </c>
      <c r="B83" s="2270"/>
      <c r="C83" s="2270"/>
      <c r="D83" s="22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252"/>
      <c r="C102" s="2253"/>
      <c r="D102" s="2253"/>
      <c r="E102" s="2253"/>
      <c r="F102" s="2253"/>
      <c r="G102" s="2253"/>
      <c r="H102" s="2253"/>
      <c r="I102" s="2254"/>
    </row>
    <row r="103" spans="1:9" s="181" customFormat="1" ht="11.25" customHeight="1" x14ac:dyDescent="0.2">
      <c r="A103" s="316"/>
      <c r="B103" s="2255"/>
      <c r="C103" s="2256"/>
      <c r="D103" s="2256"/>
      <c r="E103" s="2256"/>
      <c r="F103" s="2256"/>
      <c r="G103" s="2256"/>
      <c r="H103" s="2256"/>
      <c r="I103" s="2257"/>
    </row>
    <row r="104" spans="1:9" s="181" customFormat="1" ht="11.25" customHeight="1" x14ac:dyDescent="0.2">
      <c r="A104" s="316"/>
      <c r="B104" s="2255"/>
      <c r="C104" s="2256"/>
      <c r="D104" s="2256"/>
      <c r="E104" s="2256"/>
      <c r="F104" s="2256"/>
      <c r="G104" s="2256"/>
      <c r="H104" s="2256"/>
      <c r="I104" s="2257"/>
    </row>
    <row r="105" spans="1:9" s="181" customFormat="1" x14ac:dyDescent="0.2">
      <c r="A105" s="316"/>
      <c r="B105" s="2255"/>
      <c r="C105" s="2256"/>
      <c r="D105" s="2256"/>
      <c r="E105" s="2256"/>
      <c r="F105" s="2256"/>
      <c r="G105" s="2256"/>
      <c r="H105" s="2256"/>
      <c r="I105" s="2257"/>
    </row>
    <row r="106" spans="1:9" s="181" customFormat="1" ht="11.25" customHeight="1" x14ac:dyDescent="0.2">
      <c r="A106" s="316"/>
      <c r="B106" s="2255"/>
      <c r="C106" s="2256"/>
      <c r="D106" s="2256"/>
      <c r="E106" s="2256"/>
      <c r="F106" s="2256"/>
      <c r="G106" s="2256"/>
      <c r="H106" s="2256"/>
      <c r="I106" s="2257"/>
    </row>
    <row r="107" spans="1:9" s="181" customFormat="1" ht="11.25" customHeight="1" x14ac:dyDescent="0.2">
      <c r="A107" s="316"/>
      <c r="B107" s="2255"/>
      <c r="C107" s="2256"/>
      <c r="D107" s="2256"/>
      <c r="E107" s="2256"/>
      <c r="F107" s="2256"/>
      <c r="G107" s="2256"/>
      <c r="H107" s="2256"/>
      <c r="I107" s="2257"/>
    </row>
    <row r="108" spans="1:9" s="181" customFormat="1" ht="11.25" customHeight="1" x14ac:dyDescent="0.2">
      <c r="A108" s="316"/>
      <c r="B108" s="2255"/>
      <c r="C108" s="2256"/>
      <c r="D108" s="2256"/>
      <c r="E108" s="2256"/>
      <c r="F108" s="2256"/>
      <c r="G108" s="2256"/>
      <c r="H108" s="2256"/>
      <c r="I108" s="2257"/>
    </row>
    <row r="109" spans="1:9" s="181" customFormat="1" ht="11.25" customHeight="1" x14ac:dyDescent="0.2">
      <c r="A109" s="316"/>
      <c r="B109" s="2255"/>
      <c r="C109" s="2256"/>
      <c r="D109" s="2256"/>
      <c r="E109" s="2256"/>
      <c r="F109" s="2256"/>
      <c r="G109" s="2256"/>
      <c r="H109" s="2256"/>
      <c r="I109" s="2257"/>
    </row>
    <row r="110" spans="1:9" s="181" customFormat="1" ht="11.25" customHeight="1" x14ac:dyDescent="0.2">
      <c r="A110" s="316"/>
      <c r="B110" s="2255"/>
      <c r="C110" s="2256"/>
      <c r="D110" s="2256"/>
      <c r="E110" s="2256"/>
      <c r="F110" s="2256"/>
      <c r="G110" s="2256"/>
      <c r="H110" s="2256"/>
      <c r="I110" s="2257"/>
    </row>
    <row r="111" spans="1:9" s="181" customFormat="1" ht="11.25" customHeight="1" x14ac:dyDescent="0.2">
      <c r="A111" s="316"/>
      <c r="B111" s="2255"/>
      <c r="C111" s="2256"/>
      <c r="D111" s="2256"/>
      <c r="E111" s="2256"/>
      <c r="F111" s="2256"/>
      <c r="G111" s="2256"/>
      <c r="H111" s="2256"/>
      <c r="I111" s="2257"/>
    </row>
    <row r="112" spans="1:9" s="181" customFormat="1" ht="11.25" customHeight="1" x14ac:dyDescent="0.2">
      <c r="A112" s="316"/>
      <c r="B112" s="2258"/>
      <c r="C112" s="2259"/>
      <c r="D112" s="2259"/>
      <c r="E112" s="2259"/>
      <c r="F112" s="2259"/>
      <c r="G112" s="2259"/>
      <c r="H112" s="2259"/>
      <c r="I112" s="22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61" t="s">
        <v>2093</v>
      </c>
      <c r="D114" s="22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62" t="s">
        <v>1330</v>
      </c>
      <c r="D117" s="2263"/>
      <c r="E117" s="2264"/>
      <c r="F117" s="2264"/>
      <c r="G117" s="2264"/>
      <c r="H117" s="2264"/>
      <c r="I117" s="304"/>
    </row>
    <row r="118" spans="1:9" s="181" customFormat="1" ht="24" customHeight="1" x14ac:dyDescent="0.2">
      <c r="A118" s="316"/>
      <c r="B118" s="316"/>
      <c r="C118" s="316"/>
      <c r="D118" s="323" t="s">
        <v>2094</v>
      </c>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69" right="0.16" top="0.39" bottom="0.57999999999999996" header="0.19" footer="0.42"/>
  <pageSetup scale="80" firstPageNumber="2" orientation="portrait" useFirstPageNumber="1" r:id="rId1"/>
  <headerFooter differentOddEven="1" alignWithMargins="0">
    <oddHeader>&amp;L&amp;8Page &amp;P&amp;C &amp;R&amp;8Page &amp;P</oddHeader>
    <oddFooter>&amp;L&amp;8&amp;F&amp;CReference should be made to the accountant's report regarding this information.
54</oddFooter>
    <evenFooter>&amp;L&amp;8&amp;F&amp;CReference should be made to the accountant's report regarding this information.
55</evenFooter>
  </headerFooter>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81" t="s">
        <v>386</v>
      </c>
      <c r="B1" s="2281"/>
      <c r="C1" s="2281"/>
      <c r="D1" s="2281"/>
      <c r="E1" s="2281"/>
      <c r="F1" s="2281"/>
      <c r="G1" s="2281"/>
      <c r="H1" s="2281"/>
      <c r="I1" s="2281"/>
      <c r="J1" s="2281"/>
      <c r="K1" s="2281"/>
      <c r="L1" s="2281"/>
      <c r="M1" s="22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193687261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2.6974000000000001E-2</v>
      </c>
      <c r="E10" s="356" t="s">
        <v>1005</v>
      </c>
      <c r="F10" s="355">
        <v>4.751E-3</v>
      </c>
      <c r="G10" s="356" t="s">
        <v>1005</v>
      </c>
      <c r="H10" s="355">
        <v>2.091E-3</v>
      </c>
      <c r="I10" s="356" t="s">
        <v>1006</v>
      </c>
      <c r="J10" s="1732">
        <f>ROUND(D10+F10+H10,5)</f>
        <v>3.3820000000000003E-2</v>
      </c>
      <c r="K10" s="222"/>
      <c r="L10" s="355">
        <v>3.4699999999999998E-4</v>
      </c>
      <c r="M10" s="222"/>
    </row>
    <row r="11" spans="1:14" ht="7.5" customHeight="1" x14ac:dyDescent="0.2">
      <c r="B11" s="222"/>
      <c r="C11" s="222"/>
      <c r="D11" s="2291" t="str">
        <f>IF(SUM(J10)&lt;=0.0999999,"","Enter the Tax Rates by moving the decimal two places to the left.")</f>
        <v/>
      </c>
      <c r="E11" s="2292"/>
      <c r="F11" s="2292"/>
      <c r="G11" s="2292"/>
      <c r="H11" s="2292"/>
      <c r="I11" s="2292"/>
      <c r="J11" s="22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9124415</v>
      </c>
      <c r="E16" s="356"/>
      <c r="F16" s="1733">
        <f>SUM('Acct Summary 7-8'!C17,'Acct Summary 7-8'!D17,'Acct Summary 7-8'!F17)</f>
        <v>8940890</v>
      </c>
      <c r="G16" s="356"/>
      <c r="H16" s="1733">
        <f>SUM(D16-F16)</f>
        <v>183525</v>
      </c>
      <c r="I16" s="222"/>
      <c r="J16" s="1733">
        <f>SUM('Acct Summary 7-8'!C81,'Acct Summary 7-8'!D81,'Acct Summary 7-8'!F81,'Acct Summary 7-8'!I81)</f>
        <v>11690817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26728842.018000003</v>
      </c>
      <c r="I31" s="368"/>
      <c r="J31" s="222"/>
      <c r="K31" s="222"/>
      <c r="L31" s="222"/>
      <c r="M31" s="222"/>
    </row>
    <row r="32" spans="1:13" ht="13.35" customHeight="1" x14ac:dyDescent="0.2">
      <c r="B32" s="369" t="s">
        <v>2080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10668100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282"/>
      <c r="C54" s="2283"/>
      <c r="D54" s="2283"/>
      <c r="E54" s="2283"/>
      <c r="F54" s="2283"/>
      <c r="G54" s="2283"/>
      <c r="H54" s="2283"/>
      <c r="I54" s="2283"/>
      <c r="J54" s="2283"/>
      <c r="K54" s="2283"/>
      <c r="L54" s="2284"/>
      <c r="M54" s="380"/>
    </row>
    <row r="55" spans="1:13" ht="12.75" customHeight="1" x14ac:dyDescent="0.2">
      <c r="B55" s="2285"/>
      <c r="C55" s="2286"/>
      <c r="D55" s="2286"/>
      <c r="E55" s="2286"/>
      <c r="F55" s="2286"/>
      <c r="G55" s="2286"/>
      <c r="H55" s="2286"/>
      <c r="I55" s="2286"/>
      <c r="J55" s="2286"/>
      <c r="K55" s="2286"/>
      <c r="L55" s="2287"/>
      <c r="M55" s="380"/>
    </row>
    <row r="56" spans="1:13" ht="12.75" customHeight="1" x14ac:dyDescent="0.2">
      <c r="B56" s="2285"/>
      <c r="C56" s="2286"/>
      <c r="D56" s="2286"/>
      <c r="E56" s="2286"/>
      <c r="F56" s="2286"/>
      <c r="G56" s="2286"/>
      <c r="H56" s="2286"/>
      <c r="I56" s="2286"/>
      <c r="J56" s="2286"/>
      <c r="K56" s="2286"/>
      <c r="L56" s="2287"/>
      <c r="M56" s="222"/>
    </row>
    <row r="57" spans="1:13" ht="12.75" customHeight="1" x14ac:dyDescent="0.2">
      <c r="B57" s="2285"/>
      <c r="C57" s="2286"/>
      <c r="D57" s="2286"/>
      <c r="E57" s="2286"/>
      <c r="F57" s="2286"/>
      <c r="G57" s="2286"/>
      <c r="H57" s="2286"/>
      <c r="I57" s="2286"/>
      <c r="J57" s="2286"/>
      <c r="K57" s="2286"/>
      <c r="L57" s="2287"/>
      <c r="M57" s="222"/>
    </row>
    <row r="58" spans="1:13" x14ac:dyDescent="0.2">
      <c r="B58" s="2288"/>
      <c r="C58" s="2289"/>
      <c r="D58" s="2289"/>
      <c r="E58" s="2289"/>
      <c r="F58" s="2289"/>
      <c r="G58" s="2289"/>
      <c r="H58" s="2289"/>
      <c r="I58" s="2289"/>
      <c r="J58" s="2289"/>
      <c r="K58" s="2289"/>
      <c r="L58" s="22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93"/>
      <c r="D61" s="22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orizontalCentered="1"/>
  <pageMargins left="0.75" right="0.5" top="1.25" bottom="0.5" header="0.5" footer="0.25"/>
  <pageSetup scale="80" firstPageNumber="3" orientation="portrait" useFirstPageNumber="1" r:id="rId1"/>
  <headerFooter differentOddEven="1" alignWithMargins="0">
    <oddHeader>&amp;L&amp;8Page &amp;P&amp;C &amp;R&amp;8Page &amp;P</oddHeader>
    <oddFooter>&amp;L&amp;8&amp;F&amp;CReferance should be made to the accountants report regarding this information. 
56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D16"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96"/>
      <c r="B1" s="2297"/>
      <c r="C1" s="2297"/>
      <c r="D1" s="384"/>
      <c r="E1" s="384"/>
      <c r="F1" s="384"/>
      <c r="G1" s="384"/>
      <c r="H1" s="384"/>
      <c r="I1" s="384"/>
      <c r="J1" s="384"/>
      <c r="K1" s="384"/>
      <c r="L1" s="384"/>
      <c r="M1" s="384"/>
      <c r="N1" s="384"/>
      <c r="O1" s="2296"/>
      <c r="P1" s="2297"/>
      <c r="Q1" s="2297"/>
    </row>
    <row r="2" spans="1:18" ht="15" x14ac:dyDescent="0.2">
      <c r="A2" s="2300" t="s">
        <v>556</v>
      </c>
      <c r="B2" s="2300"/>
      <c r="C2" s="2300"/>
      <c r="D2" s="2300"/>
      <c r="E2" s="2300"/>
      <c r="F2" s="2300"/>
      <c r="G2" s="2300"/>
      <c r="H2" s="2300"/>
      <c r="I2" s="2300"/>
      <c r="J2" s="2300"/>
      <c r="K2" s="2300"/>
      <c r="L2" s="2300"/>
      <c r="M2" s="2300"/>
      <c r="N2" s="2300"/>
      <c r="O2" s="2300"/>
      <c r="P2" s="2300"/>
      <c r="Q2" s="2300"/>
      <c r="R2" s="2300"/>
    </row>
    <row r="3" spans="1:18" ht="12.75" x14ac:dyDescent="0.2">
      <c r="A3" s="2301" t="s">
        <v>1413</v>
      </c>
      <c r="B3" s="2301"/>
      <c r="C3" s="2301"/>
      <c r="D3" s="2301"/>
      <c r="E3" s="2301"/>
      <c r="F3" s="2301"/>
      <c r="G3" s="2301"/>
      <c r="H3" s="2301"/>
      <c r="I3" s="2301"/>
      <c r="J3" s="2301"/>
      <c r="K3" s="2301"/>
      <c r="L3" s="2301"/>
      <c r="M3" s="2301"/>
      <c r="N3" s="2301"/>
      <c r="O3" s="2301"/>
      <c r="P3" s="2301"/>
      <c r="Q3" s="2301"/>
      <c r="R3" s="2301"/>
    </row>
    <row r="4" spans="1:18" x14ac:dyDescent="0.2">
      <c r="A4" s="2302" t="s">
        <v>1554</v>
      </c>
      <c r="B4" s="2302"/>
      <c r="C4" s="2302"/>
      <c r="D4" s="2302"/>
      <c r="E4" s="2302"/>
      <c r="F4" s="2302"/>
      <c r="G4" s="2302"/>
      <c r="H4" s="2302"/>
      <c r="I4" s="2302"/>
      <c r="J4" s="2302"/>
      <c r="K4" s="2302"/>
      <c r="L4" s="2302"/>
      <c r="M4" s="2302"/>
      <c r="N4" s="2302"/>
      <c r="O4" s="2302"/>
      <c r="P4" s="2302"/>
      <c r="Q4" s="2302"/>
      <c r="R4" s="23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New Berlin CUSD 16</v>
      </c>
      <c r="E7" s="391"/>
      <c r="G7" s="252"/>
      <c r="H7" s="387"/>
      <c r="I7" s="387"/>
      <c r="J7" s="387"/>
      <c r="K7" s="387"/>
      <c r="L7" s="329"/>
      <c r="M7" s="329"/>
      <c r="N7" s="329"/>
      <c r="O7" s="329"/>
      <c r="P7" s="329"/>
    </row>
    <row r="8" spans="1:18" ht="12.75" x14ac:dyDescent="0.2">
      <c r="A8" s="329"/>
      <c r="B8" s="329"/>
      <c r="C8" s="389" t="s">
        <v>1125</v>
      </c>
      <c r="D8" s="392">
        <f>COVER!A13</f>
        <v>51084016026</v>
      </c>
      <c r="E8" s="393"/>
      <c r="G8" s="329"/>
      <c r="H8" s="329"/>
      <c r="I8" s="329"/>
      <c r="J8" s="329"/>
      <c r="K8" s="329"/>
      <c r="L8" s="329"/>
      <c r="M8" s="329"/>
      <c r="N8" s="329"/>
      <c r="O8" s="329"/>
      <c r="P8" s="329"/>
    </row>
    <row r="9" spans="1:18" ht="12.75" x14ac:dyDescent="0.2">
      <c r="A9" s="329"/>
      <c r="B9" s="329"/>
      <c r="C9" s="389" t="s">
        <v>713</v>
      </c>
      <c r="D9" s="394" t="str">
        <f>COVER!A15</f>
        <v>Sangamon and Morgan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11690817</v>
      </c>
      <c r="I12" s="404"/>
      <c r="J12" s="404"/>
      <c r="K12" s="405">
        <f>TRUNC((H12/H13*100000),5)/100000</f>
        <v>1.2812675660999999</v>
      </c>
      <c r="L12" s="406"/>
      <c r="M12" s="360" t="s">
        <v>1144</v>
      </c>
      <c r="N12" s="360"/>
      <c r="O12" s="407">
        <v>0.35</v>
      </c>
      <c r="P12" s="218"/>
      <c r="Q12" s="218"/>
    </row>
    <row r="13" spans="1:18" s="408" customFormat="1" ht="12.75" x14ac:dyDescent="0.2">
      <c r="A13" s="218"/>
      <c r="B13" s="401"/>
      <c r="C13" s="2298" t="s">
        <v>1324</v>
      </c>
      <c r="D13" s="2299"/>
      <c r="E13" s="218"/>
      <c r="F13" s="409" t="s">
        <v>793</v>
      </c>
      <c r="G13" s="402"/>
      <c r="H13" s="403">
        <f>SUM('Acct Summary 7-8'!C8+'Acct Summary 7-8'!D8+'Acct Summary 7-8'!F8+'Acct Summary 7-8'!I8)+H14</f>
        <v>9124415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8940890</v>
      </c>
      <c r="I17" s="404"/>
      <c r="J17" s="416"/>
      <c r="K17" s="405">
        <f>TRUNC((H17/H18*100000),5)/100000</f>
        <v>0.97988638170000009</v>
      </c>
      <c r="L17" s="406"/>
      <c r="M17" s="417" t="s">
        <v>1171</v>
      </c>
      <c r="O17" s="418" t="str">
        <f>IF(AND(O16="2", J20 &gt; 2),"1",IF(AND(O16 = "1", J20 &gt; 2),"2",IF(AND(O16="1", J20 &gt;1),"1","0")))</f>
        <v>0</v>
      </c>
      <c r="P17" s="218"/>
    </row>
    <row r="18" spans="1:18" s="408" customFormat="1" ht="11.25" x14ac:dyDescent="0.2">
      <c r="A18" s="218"/>
      <c r="B18" s="401"/>
      <c r="C18" s="2298" t="s">
        <v>1317</v>
      </c>
      <c r="D18" s="2299"/>
      <c r="E18" s="218"/>
      <c r="F18" s="419" t="s">
        <v>794</v>
      </c>
      <c r="G18" s="402"/>
      <c r="H18" s="403">
        <f>SUM('Acct Summary 7-8'!C8+'Acct Summary 7-8'!D8+'Acct Summary 7-8'!F8+'Acct Summary 7-8'!I8)+H19</f>
        <v>9124415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295" t="s">
        <v>1412</v>
      </c>
      <c r="D24" s="2295"/>
      <c r="E24" s="218"/>
      <c r="F24" s="218" t="s">
        <v>445</v>
      </c>
      <c r="G24" s="402"/>
      <c r="H24" s="403">
        <f>SUM('Assets-Liab 5-6'!C4+'Assets-Liab 5-6'!D4+'Assets-Liab 5-6'!F4+'Assets-Liab 5-6'!I4+'Assets-Liab 5-6'!C5+'Assets-Liab 5-6'!D5+'Assets-Liab 5-6'!F5+'Assets-Liab 5-6'!I5)</f>
        <v>11689974</v>
      </c>
      <c r="I24" s="422"/>
      <c r="J24" s="422"/>
      <c r="K24" s="423">
        <f>TRUNC(((H24/H25*100000)/100000),2)</f>
        <v>470.69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24835.805560000001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5567927.69197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10668100</v>
      </c>
      <c r="I32" s="420"/>
      <c r="J32" s="420"/>
      <c r="K32" s="423">
        <f>TRUNC(100-((((H32/H33*100))*100)/100),2)</f>
        <v>60.08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26728842.018000003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5" right="0.5" top="1.25" bottom="0.5" header="0.5" footer="0.5"/>
  <pageSetup scale="80" firstPageNumber="4" orientation="landscape" useFirstPageNumber="1" r:id="rId3"/>
  <headerFooter alignWithMargins="0">
    <oddHeader>&amp;L&amp;8Page &amp;P&amp;C &amp;R&amp;8Page &amp;P</oddHeader>
    <oddFooter>&amp;L&amp;8&amp;F&amp;CReference should be made to the accountant's report regarding this information.</oddFooter>
  </headerFooter>
  <ignoredErrors>
    <ignoredError sqref="H1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7FF8-4069-424E-BCB3-07F49808FD24}">
  <dimension ref="A1:L122"/>
  <sheetViews>
    <sheetView view="pageBreakPreview" topLeftCell="A28" zoomScale="150" zoomScaleNormal="150" zoomScaleSheetLayoutView="150" workbookViewId="0">
      <selection activeCell="H10" sqref="H10"/>
    </sheetView>
  </sheetViews>
  <sheetFormatPr defaultColWidth="9.140625" defaultRowHeight="15" x14ac:dyDescent="0.25"/>
  <cols>
    <col min="1" max="1" width="2.7109375" style="1940" customWidth="1"/>
    <col min="2" max="2" width="30.7109375" style="1940" customWidth="1"/>
    <col min="3" max="3" width="1.7109375" style="1940" customWidth="1"/>
    <col min="4" max="4" width="13.7109375" style="1940" customWidth="1"/>
    <col min="5" max="5" width="1.7109375" style="1940" customWidth="1"/>
    <col min="6" max="6" width="13.7109375" style="1940" customWidth="1"/>
    <col min="7" max="7" width="1.7109375" style="1940" customWidth="1"/>
    <col min="8" max="8" width="13.7109375" style="1940" customWidth="1"/>
    <col min="9" max="9" width="1.7109375" style="1940" customWidth="1"/>
    <col min="10" max="10" width="13.7109375" style="1940" customWidth="1"/>
    <col min="11" max="11" width="1.7109375" style="1940" customWidth="1"/>
    <col min="12" max="12" width="12.7109375" style="1940" customWidth="1"/>
    <col min="13" max="16384" width="9.140625" style="1940"/>
  </cols>
  <sheetData>
    <row r="1" spans="1:12" x14ac:dyDescent="0.25">
      <c r="B1" s="2305" t="s">
        <v>2095</v>
      </c>
      <c r="C1" s="2305"/>
      <c r="D1" s="2305"/>
      <c r="E1" s="2305"/>
      <c r="F1" s="2305"/>
      <c r="G1" s="2305"/>
      <c r="H1" s="2305"/>
      <c r="I1" s="2305"/>
      <c r="J1" s="2305"/>
    </row>
    <row r="2" spans="1:12" x14ac:dyDescent="0.25">
      <c r="B2" s="2305" t="s">
        <v>2096</v>
      </c>
      <c r="C2" s="2305"/>
      <c r="D2" s="2305"/>
      <c r="E2" s="2305"/>
      <c r="F2" s="2305"/>
      <c r="G2" s="2305"/>
      <c r="H2" s="2305"/>
      <c r="I2" s="2305"/>
      <c r="J2" s="2305"/>
    </row>
    <row r="3" spans="1:12" x14ac:dyDescent="0.25">
      <c r="B3" s="2303" t="s">
        <v>2097</v>
      </c>
      <c r="C3" s="2303"/>
      <c r="D3" s="2303"/>
      <c r="E3" s="2303"/>
      <c r="F3" s="2303"/>
      <c r="G3" s="2303"/>
      <c r="H3" s="2303"/>
      <c r="I3" s="2303"/>
      <c r="J3" s="2303"/>
    </row>
    <row r="4" spans="1:12" x14ac:dyDescent="0.25">
      <c r="B4" s="2304" t="s">
        <v>2186</v>
      </c>
      <c r="C4" s="2304"/>
      <c r="D4" s="2304"/>
      <c r="E4" s="2304"/>
      <c r="F4" s="2304"/>
      <c r="G4" s="2304"/>
      <c r="H4" s="2304"/>
      <c r="I4" s="2304"/>
      <c r="J4" s="2304"/>
    </row>
    <row r="5" spans="1:12" x14ac:dyDescent="0.25">
      <c r="B5" s="1941"/>
      <c r="C5" s="1941"/>
      <c r="D5" s="1941"/>
      <c r="E5" s="1941"/>
      <c r="F5" s="1941"/>
      <c r="G5" s="1941"/>
      <c r="H5" s="1941"/>
      <c r="I5" s="1941"/>
      <c r="J5" s="1941"/>
    </row>
    <row r="6" spans="1:12" x14ac:dyDescent="0.25">
      <c r="B6" s="1941"/>
      <c r="C6" s="1941"/>
      <c r="D6" s="1941"/>
      <c r="E6" s="1941"/>
      <c r="F6" s="1941"/>
      <c r="G6" s="1941"/>
      <c r="H6" s="1941"/>
      <c r="I6" s="1941"/>
      <c r="J6" s="1941"/>
    </row>
    <row r="7" spans="1:12" x14ac:dyDescent="0.25">
      <c r="D7" s="1942" t="s">
        <v>2098</v>
      </c>
      <c r="E7" s="1942"/>
      <c r="F7" s="1942"/>
      <c r="G7" s="1942"/>
      <c r="H7" s="1942"/>
      <c r="I7" s="1942"/>
      <c r="J7" s="1942" t="s">
        <v>2098</v>
      </c>
      <c r="K7" s="1943"/>
      <c r="L7" s="1943"/>
    </row>
    <row r="8" spans="1:12" x14ac:dyDescent="0.25">
      <c r="D8" s="1944" t="s">
        <v>2187</v>
      </c>
      <c r="E8" s="1942"/>
      <c r="F8" s="1945" t="s">
        <v>2099</v>
      </c>
      <c r="G8" s="1942"/>
      <c r="H8" s="1945" t="s">
        <v>2100</v>
      </c>
      <c r="I8" s="1942"/>
      <c r="J8" s="1944" t="s">
        <v>2188</v>
      </c>
      <c r="K8" s="1943"/>
      <c r="L8" s="1943"/>
    </row>
    <row r="9" spans="1:12" x14ac:dyDescent="0.25">
      <c r="A9" s="1946" t="s">
        <v>2101</v>
      </c>
      <c r="C9" s="1947"/>
      <c r="D9" s="1948"/>
      <c r="E9" s="1949"/>
      <c r="F9" s="1949"/>
      <c r="G9" s="1949"/>
      <c r="H9" s="1949"/>
      <c r="I9" s="1949"/>
      <c r="J9" s="1948"/>
      <c r="K9" s="1947"/>
      <c r="L9" s="1947"/>
    </row>
    <row r="10" spans="1:12" x14ac:dyDescent="0.25">
      <c r="B10" s="1950"/>
      <c r="C10" s="1947"/>
      <c r="D10" s="1948"/>
      <c r="E10" s="1949"/>
      <c r="F10" s="1949"/>
      <c r="G10" s="1949"/>
      <c r="H10" s="1949"/>
      <c r="I10" s="1949"/>
      <c r="J10" s="1948"/>
      <c r="K10" s="1947"/>
      <c r="L10" s="1947"/>
    </row>
    <row r="11" spans="1:12" ht="15.75" thickBot="1" x14ac:dyDescent="0.3">
      <c r="A11" s="1950" t="s">
        <v>2102</v>
      </c>
      <c r="C11" s="1947"/>
      <c r="D11" s="1951">
        <v>225537</v>
      </c>
      <c r="E11" s="1949"/>
      <c r="F11" s="1952">
        <v>349607</v>
      </c>
      <c r="G11" s="1949"/>
      <c r="H11" s="1952">
        <v>-326565</v>
      </c>
      <c r="I11" s="1949"/>
      <c r="J11" s="1951">
        <f>SUM(D11:H11)</f>
        <v>248579</v>
      </c>
      <c r="K11" s="1947"/>
      <c r="L11" s="1947"/>
    </row>
    <row r="12" spans="1:12" ht="15.75" thickTop="1" x14ac:dyDescent="0.25">
      <c r="B12" s="1950"/>
      <c r="C12" s="1947"/>
      <c r="D12" s="1948"/>
      <c r="E12" s="1949"/>
      <c r="F12" s="1949"/>
      <c r="G12" s="1949"/>
      <c r="H12" s="1949"/>
      <c r="I12" s="1949"/>
      <c r="J12" s="1948"/>
      <c r="K12" s="1947"/>
      <c r="L12" s="1947"/>
    </row>
    <row r="13" spans="1:12" x14ac:dyDescent="0.25">
      <c r="A13" s="1946" t="s">
        <v>2103</v>
      </c>
      <c r="C13" s="1947"/>
      <c r="D13" s="1948"/>
      <c r="E13" s="1949"/>
      <c r="F13" s="1949"/>
      <c r="G13" s="1949"/>
      <c r="H13" s="1949"/>
      <c r="I13" s="1949"/>
      <c r="J13" s="1948"/>
      <c r="K13" s="1947"/>
      <c r="L13" s="1947"/>
    </row>
    <row r="14" spans="1:12" x14ac:dyDescent="0.25">
      <c r="B14" s="1950"/>
      <c r="C14" s="1947"/>
      <c r="D14" s="1948"/>
      <c r="E14" s="1949"/>
      <c r="F14" s="1949"/>
      <c r="G14" s="1949"/>
      <c r="H14" s="1949"/>
      <c r="I14" s="1949"/>
      <c r="J14" s="1948"/>
      <c r="K14" s="1947"/>
      <c r="L14" s="1947"/>
    </row>
    <row r="15" spans="1:12" x14ac:dyDescent="0.25">
      <c r="A15" s="1950" t="s">
        <v>2104</v>
      </c>
      <c r="C15" s="1947"/>
      <c r="D15" s="1948"/>
      <c r="E15" s="1949"/>
      <c r="F15" s="1949"/>
      <c r="G15" s="1949"/>
      <c r="H15" s="1949"/>
      <c r="I15" s="1949"/>
      <c r="J15" s="1948"/>
      <c r="K15" s="1947"/>
      <c r="L15" s="1947"/>
    </row>
    <row r="16" spans="1:12" x14ac:dyDescent="0.25">
      <c r="B16" s="1950" t="s">
        <v>2105</v>
      </c>
      <c r="C16" s="1947"/>
      <c r="D16" s="1953">
        <v>6556</v>
      </c>
      <c r="E16" s="1947"/>
      <c r="F16" s="1953">
        <v>3866</v>
      </c>
      <c r="G16" s="1947"/>
      <c r="H16" s="1953">
        <v>-4896</v>
      </c>
      <c r="I16" s="1947"/>
      <c r="J16" s="1953">
        <f>SUM(D16:I16)</f>
        <v>5526</v>
      </c>
      <c r="K16" s="1947"/>
      <c r="L16" s="1947"/>
    </row>
    <row r="17" spans="2:12" x14ac:dyDescent="0.25">
      <c r="B17" s="1950" t="s">
        <v>2106</v>
      </c>
      <c r="C17" s="1947"/>
      <c r="D17" s="1954">
        <v>9</v>
      </c>
      <c r="E17" s="1954"/>
      <c r="F17" s="1954">
        <v>0</v>
      </c>
      <c r="G17" s="1954"/>
      <c r="H17" s="1954">
        <v>0</v>
      </c>
      <c r="I17" s="1954"/>
      <c r="J17" s="1954">
        <f t="shared" ref="J17:J105" si="0">SUM(D17:I17)</f>
        <v>9</v>
      </c>
      <c r="K17" s="1947"/>
      <c r="L17" s="1947"/>
    </row>
    <row r="18" spans="2:12" x14ac:dyDescent="0.25">
      <c r="B18" s="1950" t="s">
        <v>2107</v>
      </c>
      <c r="C18" s="1947"/>
      <c r="D18" s="1954">
        <v>1562</v>
      </c>
      <c r="E18" s="1954"/>
      <c r="F18" s="1954">
        <v>2568</v>
      </c>
      <c r="G18" s="1954"/>
      <c r="H18" s="1954">
        <v>-2095</v>
      </c>
      <c r="I18" s="1954"/>
      <c r="J18" s="1954">
        <f t="shared" si="0"/>
        <v>2035</v>
      </c>
      <c r="K18" s="1947"/>
      <c r="L18" s="1947"/>
    </row>
    <row r="19" spans="2:12" x14ac:dyDescent="0.25">
      <c r="B19" s="1950" t="s">
        <v>2108</v>
      </c>
      <c r="C19" s="1947"/>
      <c r="D19" s="1954">
        <v>13658</v>
      </c>
      <c r="E19" s="1954"/>
      <c r="F19" s="1954">
        <v>12614</v>
      </c>
      <c r="G19" s="1954"/>
      <c r="H19" s="1954">
        <v>-12835</v>
      </c>
      <c r="I19" s="1954"/>
      <c r="J19" s="1954">
        <f t="shared" si="0"/>
        <v>13437</v>
      </c>
      <c r="K19" s="1947"/>
      <c r="L19" s="1947"/>
    </row>
    <row r="20" spans="2:12" x14ac:dyDescent="0.25">
      <c r="B20" s="1950" t="s">
        <v>2109</v>
      </c>
      <c r="C20" s="1947"/>
      <c r="D20" s="1954">
        <v>8886</v>
      </c>
      <c r="E20" s="1954"/>
      <c r="F20" s="1954">
        <v>14690</v>
      </c>
      <c r="G20" s="1954"/>
      <c r="H20" s="1954">
        <v>-14245</v>
      </c>
      <c r="I20" s="1954"/>
      <c r="J20" s="1954">
        <f t="shared" si="0"/>
        <v>9331</v>
      </c>
      <c r="K20" s="1947"/>
      <c r="L20" s="1947"/>
    </row>
    <row r="21" spans="2:12" x14ac:dyDescent="0.25">
      <c r="B21" s="1950" t="s">
        <v>2110</v>
      </c>
      <c r="C21" s="1947"/>
      <c r="D21" s="1954">
        <v>15564</v>
      </c>
      <c r="E21" s="1954"/>
      <c r="F21" s="1954">
        <v>21712</v>
      </c>
      <c r="G21" s="1954"/>
      <c r="H21" s="1954">
        <v>-19693</v>
      </c>
      <c r="I21" s="1954"/>
      <c r="J21" s="1954">
        <f t="shared" si="0"/>
        <v>17583</v>
      </c>
      <c r="K21" s="1947"/>
      <c r="L21" s="1947"/>
    </row>
    <row r="22" spans="2:12" x14ac:dyDescent="0.25">
      <c r="B22" s="1950" t="s">
        <v>2111</v>
      </c>
      <c r="C22" s="1947"/>
      <c r="D22" s="1954">
        <v>0</v>
      </c>
      <c r="E22" s="1954"/>
      <c r="F22" s="1954">
        <v>2000</v>
      </c>
      <c r="G22" s="1954"/>
      <c r="H22" s="1954">
        <v>-2000</v>
      </c>
      <c r="I22" s="1954"/>
      <c r="J22" s="1954">
        <f t="shared" si="0"/>
        <v>0</v>
      </c>
      <c r="K22" s="1947"/>
      <c r="L22" s="1947"/>
    </row>
    <row r="23" spans="2:12" x14ac:dyDescent="0.25">
      <c r="B23" s="1950" t="s">
        <v>2112</v>
      </c>
      <c r="C23" s="1947"/>
      <c r="D23" s="1954">
        <v>2335</v>
      </c>
      <c r="E23" s="1954"/>
      <c r="F23" s="1954">
        <v>29337</v>
      </c>
      <c r="G23" s="1954"/>
      <c r="H23" s="1954">
        <v>-25754</v>
      </c>
      <c r="I23" s="1954"/>
      <c r="J23" s="1954">
        <f t="shared" si="0"/>
        <v>5918</v>
      </c>
      <c r="K23" s="1947"/>
      <c r="L23" s="1947"/>
    </row>
    <row r="24" spans="2:12" x14ac:dyDescent="0.25">
      <c r="B24" s="1950" t="s">
        <v>2113</v>
      </c>
      <c r="C24" s="1947"/>
      <c r="D24" s="1954">
        <v>76</v>
      </c>
      <c r="E24" s="1954"/>
      <c r="F24" s="1954">
        <v>2015</v>
      </c>
      <c r="G24" s="1954"/>
      <c r="H24" s="1954">
        <v>-480</v>
      </c>
      <c r="I24" s="1954"/>
      <c r="J24" s="1954">
        <f t="shared" si="0"/>
        <v>1611</v>
      </c>
      <c r="K24" s="1947"/>
      <c r="L24" s="1947"/>
    </row>
    <row r="25" spans="2:12" x14ac:dyDescent="0.25">
      <c r="B25" s="1950" t="s">
        <v>2114</v>
      </c>
      <c r="C25" s="1947"/>
      <c r="D25" s="1954">
        <v>1134</v>
      </c>
      <c r="E25" s="1954"/>
      <c r="F25" s="1954">
        <v>0</v>
      </c>
      <c r="G25" s="1954"/>
      <c r="H25" s="1954">
        <v>0</v>
      </c>
      <c r="I25" s="1954"/>
      <c r="J25" s="1954">
        <f t="shared" si="0"/>
        <v>1134</v>
      </c>
      <c r="K25" s="1947"/>
      <c r="L25" s="1947"/>
    </row>
    <row r="26" spans="2:12" x14ac:dyDescent="0.25">
      <c r="B26" s="1950" t="s">
        <v>2115</v>
      </c>
      <c r="C26" s="1947"/>
      <c r="D26" s="1954">
        <v>350</v>
      </c>
      <c r="E26" s="1954"/>
      <c r="F26" s="1954">
        <v>0</v>
      </c>
      <c r="G26" s="1954"/>
      <c r="H26" s="1954">
        <v>0</v>
      </c>
      <c r="I26" s="1954"/>
      <c r="J26" s="1954">
        <f t="shared" si="0"/>
        <v>350</v>
      </c>
      <c r="K26" s="1947"/>
      <c r="L26" s="1947"/>
    </row>
    <row r="27" spans="2:12" x14ac:dyDescent="0.25">
      <c r="B27" s="1950" t="s">
        <v>2116</v>
      </c>
      <c r="C27" s="1947"/>
      <c r="D27" s="1954">
        <v>2</v>
      </c>
      <c r="E27" s="1954"/>
      <c r="F27" s="1954">
        <v>0</v>
      </c>
      <c r="G27" s="1954"/>
      <c r="H27" s="1954">
        <v>0</v>
      </c>
      <c r="I27" s="1954"/>
      <c r="J27" s="1954">
        <f t="shared" si="0"/>
        <v>2</v>
      </c>
      <c r="K27" s="1947"/>
      <c r="L27" s="1947"/>
    </row>
    <row r="28" spans="2:12" x14ac:dyDescent="0.25">
      <c r="B28" s="1950" t="s">
        <v>2117</v>
      </c>
      <c r="C28" s="1947"/>
      <c r="D28" s="1954">
        <v>412</v>
      </c>
      <c r="E28" s="1954"/>
      <c r="F28" s="1954">
        <v>0</v>
      </c>
      <c r="G28" s="1954"/>
      <c r="H28" s="1954">
        <v>0</v>
      </c>
      <c r="I28" s="1954"/>
      <c r="J28" s="1954">
        <f t="shared" si="0"/>
        <v>412</v>
      </c>
      <c r="K28" s="1947"/>
      <c r="L28" s="1947"/>
    </row>
    <row r="29" spans="2:12" x14ac:dyDescent="0.25">
      <c r="B29" s="1950" t="s">
        <v>2118</v>
      </c>
      <c r="C29" s="1947"/>
      <c r="D29" s="1954">
        <v>969</v>
      </c>
      <c r="E29" s="1954"/>
      <c r="F29" s="1954">
        <v>0</v>
      </c>
      <c r="G29" s="1954"/>
      <c r="H29" s="1954">
        <v>0</v>
      </c>
      <c r="I29" s="1954"/>
      <c r="J29" s="1954">
        <f t="shared" si="0"/>
        <v>969</v>
      </c>
      <c r="K29" s="1947"/>
      <c r="L29" s="1947"/>
    </row>
    <row r="30" spans="2:12" x14ac:dyDescent="0.25">
      <c r="B30" s="1950" t="s">
        <v>2119</v>
      </c>
      <c r="C30" s="1947"/>
      <c r="D30" s="1954">
        <v>88</v>
      </c>
      <c r="E30" s="1954"/>
      <c r="F30" s="1954">
        <v>0</v>
      </c>
      <c r="G30" s="1954"/>
      <c r="H30" s="1954">
        <v>0</v>
      </c>
      <c r="I30" s="1954"/>
      <c r="J30" s="1954">
        <f t="shared" si="0"/>
        <v>88</v>
      </c>
      <c r="K30" s="1947"/>
      <c r="L30" s="1947"/>
    </row>
    <row r="31" spans="2:12" x14ac:dyDescent="0.25">
      <c r="B31" s="1950" t="s">
        <v>2120</v>
      </c>
      <c r="C31" s="1947"/>
      <c r="D31" s="1954">
        <v>272</v>
      </c>
      <c r="E31" s="1954"/>
      <c r="F31" s="1954">
        <v>0</v>
      </c>
      <c r="G31" s="1954"/>
      <c r="H31" s="1954">
        <v>0</v>
      </c>
      <c r="I31" s="1954"/>
      <c r="J31" s="1954">
        <f t="shared" si="0"/>
        <v>272</v>
      </c>
      <c r="K31" s="1947"/>
      <c r="L31" s="1947"/>
    </row>
    <row r="32" spans="2:12" x14ac:dyDescent="0.25">
      <c r="B32" s="1950" t="s">
        <v>2121</v>
      </c>
      <c r="C32" s="1947"/>
      <c r="D32" s="1954">
        <v>259</v>
      </c>
      <c r="E32" s="1954"/>
      <c r="F32" s="1954">
        <v>0</v>
      </c>
      <c r="G32" s="1954"/>
      <c r="H32" s="1954">
        <v>0</v>
      </c>
      <c r="I32" s="1954"/>
      <c r="J32" s="1954">
        <f t="shared" si="0"/>
        <v>259</v>
      </c>
      <c r="K32" s="1947"/>
      <c r="L32" s="1947"/>
    </row>
    <row r="33" spans="2:12" x14ac:dyDescent="0.25">
      <c r="B33" s="1950" t="s">
        <v>2122</v>
      </c>
      <c r="C33" s="1947"/>
      <c r="D33" s="1954">
        <v>442</v>
      </c>
      <c r="E33" s="1954"/>
      <c r="F33" s="1954">
        <v>0</v>
      </c>
      <c r="G33" s="1954"/>
      <c r="H33" s="1954">
        <v>0</v>
      </c>
      <c r="I33" s="1954"/>
      <c r="J33" s="1954">
        <f t="shared" si="0"/>
        <v>442</v>
      </c>
      <c r="K33" s="1947"/>
      <c r="L33" s="1947"/>
    </row>
    <row r="34" spans="2:12" x14ac:dyDescent="0.25">
      <c r="B34" s="1950" t="s">
        <v>2123</v>
      </c>
      <c r="C34" s="1947"/>
      <c r="D34" s="1954">
        <v>270</v>
      </c>
      <c r="E34" s="1954"/>
      <c r="F34" s="1954">
        <v>0</v>
      </c>
      <c r="G34" s="1954"/>
      <c r="H34" s="1954">
        <v>0</v>
      </c>
      <c r="I34" s="1954"/>
      <c r="J34" s="1954">
        <f t="shared" si="0"/>
        <v>270</v>
      </c>
      <c r="K34" s="1947"/>
      <c r="L34" s="1947"/>
    </row>
    <row r="35" spans="2:12" x14ac:dyDescent="0.25">
      <c r="B35" s="1950" t="s">
        <v>2124</v>
      </c>
      <c r="C35" s="1947"/>
      <c r="D35" s="1954">
        <v>662</v>
      </c>
      <c r="E35" s="1954"/>
      <c r="F35" s="1954">
        <v>0</v>
      </c>
      <c r="G35" s="1954"/>
      <c r="H35" s="1954">
        <v>0</v>
      </c>
      <c r="I35" s="1954"/>
      <c r="J35" s="1954">
        <f t="shared" si="0"/>
        <v>662</v>
      </c>
      <c r="K35" s="1947"/>
      <c r="L35" s="1947"/>
    </row>
    <row r="36" spans="2:12" x14ac:dyDescent="0.25">
      <c r="B36" s="1950" t="s">
        <v>2125</v>
      </c>
      <c r="C36" s="1947"/>
      <c r="D36" s="1954">
        <v>768</v>
      </c>
      <c r="E36" s="1954"/>
      <c r="F36" s="1954">
        <v>0</v>
      </c>
      <c r="G36" s="1954"/>
      <c r="H36" s="1954">
        <v>0</v>
      </c>
      <c r="I36" s="1954"/>
      <c r="J36" s="1954">
        <f t="shared" si="0"/>
        <v>768</v>
      </c>
      <c r="K36" s="1947"/>
      <c r="L36" s="1947"/>
    </row>
    <row r="37" spans="2:12" x14ac:dyDescent="0.25">
      <c r="B37" s="1950" t="s">
        <v>2126</v>
      </c>
      <c r="C37" s="1947"/>
      <c r="D37" s="1954">
        <v>366</v>
      </c>
      <c r="E37" s="1954"/>
      <c r="F37" s="1954">
        <v>0</v>
      </c>
      <c r="G37" s="1954"/>
      <c r="H37" s="1954">
        <v>0</v>
      </c>
      <c r="I37" s="1954"/>
      <c r="J37" s="1954">
        <f t="shared" si="0"/>
        <v>366</v>
      </c>
      <c r="K37" s="1947"/>
      <c r="L37" s="1947"/>
    </row>
    <row r="38" spans="2:12" hidden="1" x14ac:dyDescent="0.25">
      <c r="B38" s="1950" t="s">
        <v>2127</v>
      </c>
      <c r="C38" s="1947"/>
      <c r="D38" s="1954">
        <v>0</v>
      </c>
      <c r="E38" s="1954"/>
      <c r="F38" s="1954">
        <v>0</v>
      </c>
      <c r="G38" s="1954"/>
      <c r="H38" s="1954">
        <v>0</v>
      </c>
      <c r="I38" s="1954"/>
      <c r="J38" s="1954">
        <f t="shared" si="0"/>
        <v>0</v>
      </c>
      <c r="K38" s="1947"/>
      <c r="L38" s="1947"/>
    </row>
    <row r="39" spans="2:12" hidden="1" x14ac:dyDescent="0.25">
      <c r="B39" s="1950" t="s">
        <v>2128</v>
      </c>
      <c r="C39" s="1947"/>
      <c r="D39" s="1954">
        <v>0</v>
      </c>
      <c r="E39" s="1954"/>
      <c r="F39" s="1954">
        <v>0</v>
      </c>
      <c r="G39" s="1954"/>
      <c r="H39" s="1954">
        <v>0</v>
      </c>
      <c r="I39" s="1954"/>
      <c r="J39" s="1954">
        <f t="shared" si="0"/>
        <v>0</v>
      </c>
      <c r="K39" s="1947"/>
      <c r="L39" s="1947"/>
    </row>
    <row r="40" spans="2:12" x14ac:dyDescent="0.25">
      <c r="B40" s="1950" t="s">
        <v>2129</v>
      </c>
      <c r="C40" s="1947"/>
      <c r="D40" s="1954">
        <v>2056</v>
      </c>
      <c r="E40" s="1954"/>
      <c r="F40" s="1954">
        <v>0</v>
      </c>
      <c r="G40" s="1954"/>
      <c r="H40" s="1954">
        <v>0</v>
      </c>
      <c r="I40" s="1954"/>
      <c r="J40" s="1954">
        <f t="shared" si="0"/>
        <v>2056</v>
      </c>
      <c r="K40" s="1947"/>
      <c r="L40" s="1947"/>
    </row>
    <row r="41" spans="2:12" x14ac:dyDescent="0.25">
      <c r="B41" s="1950" t="s">
        <v>2130</v>
      </c>
      <c r="C41" s="1947"/>
      <c r="D41" s="1954">
        <v>3144</v>
      </c>
      <c r="E41" s="1954"/>
      <c r="F41" s="1954">
        <v>0</v>
      </c>
      <c r="G41" s="1954"/>
      <c r="H41" s="1954">
        <v>0</v>
      </c>
      <c r="I41" s="1954"/>
      <c r="J41" s="1954">
        <f t="shared" si="0"/>
        <v>3144</v>
      </c>
      <c r="K41" s="1947"/>
      <c r="L41" s="1947"/>
    </row>
    <row r="42" spans="2:12" x14ac:dyDescent="0.25">
      <c r="B42" s="1950" t="s">
        <v>2131</v>
      </c>
      <c r="C42" s="1947"/>
      <c r="D42" s="1954">
        <v>2486</v>
      </c>
      <c r="E42" s="1954"/>
      <c r="F42" s="1954">
        <v>0</v>
      </c>
      <c r="G42" s="1954"/>
      <c r="H42" s="1954">
        <v>-513</v>
      </c>
      <c r="I42" s="1954"/>
      <c r="J42" s="1954">
        <f t="shared" si="0"/>
        <v>1973</v>
      </c>
      <c r="K42" s="1947"/>
      <c r="L42" s="1947"/>
    </row>
    <row r="43" spans="2:12" x14ac:dyDescent="0.25">
      <c r="B43" s="1950" t="s">
        <v>2132</v>
      </c>
      <c r="C43" s="1947"/>
      <c r="D43" s="1954">
        <v>4705</v>
      </c>
      <c r="E43" s="1954"/>
      <c r="F43" s="1954">
        <v>1784</v>
      </c>
      <c r="G43" s="1954"/>
      <c r="H43" s="1954">
        <v>-6477</v>
      </c>
      <c r="I43" s="1954"/>
      <c r="J43" s="1954">
        <f t="shared" si="0"/>
        <v>12</v>
      </c>
      <c r="K43" s="1947"/>
      <c r="L43" s="1947"/>
    </row>
    <row r="44" spans="2:12" x14ac:dyDescent="0.25">
      <c r="B44" s="1950" t="s">
        <v>2133</v>
      </c>
      <c r="C44" s="1947"/>
      <c r="D44" s="1954">
        <v>2630</v>
      </c>
      <c r="E44" s="1954"/>
      <c r="F44" s="1954">
        <v>5561</v>
      </c>
      <c r="G44" s="1954"/>
      <c r="H44" s="1954">
        <v>-3816</v>
      </c>
      <c r="I44" s="1954"/>
      <c r="J44" s="1954">
        <f>SUM(D44:I44)</f>
        <v>4375</v>
      </c>
      <c r="K44" s="1947"/>
      <c r="L44" s="1947"/>
    </row>
    <row r="45" spans="2:12" x14ac:dyDescent="0.25">
      <c r="B45" s="1950" t="s">
        <v>2134</v>
      </c>
      <c r="C45" s="1947"/>
      <c r="D45" s="1954">
        <v>1388</v>
      </c>
      <c r="E45" s="1954"/>
      <c r="F45" s="1954">
        <v>2636</v>
      </c>
      <c r="G45" s="1954"/>
      <c r="H45" s="1954">
        <v>-2547</v>
      </c>
      <c r="I45" s="1954"/>
      <c r="J45" s="1954">
        <f>SUM(D45:I45)</f>
        <v>1477</v>
      </c>
      <c r="K45" s="1947"/>
      <c r="L45" s="1947"/>
    </row>
    <row r="46" spans="2:12" x14ac:dyDescent="0.25">
      <c r="B46" s="1950" t="s">
        <v>2191</v>
      </c>
      <c r="C46" s="1947"/>
      <c r="D46" s="1954">
        <v>0</v>
      </c>
      <c r="E46" s="1954"/>
      <c r="F46" s="1954">
        <v>2169</v>
      </c>
      <c r="G46" s="1954"/>
      <c r="H46" s="1954">
        <v>-787</v>
      </c>
      <c r="I46" s="1954"/>
      <c r="J46" s="1954">
        <f>SUM(D46:I46)</f>
        <v>1382</v>
      </c>
      <c r="K46" s="1947"/>
      <c r="L46" s="1947"/>
    </row>
    <row r="47" spans="2:12" x14ac:dyDescent="0.25">
      <c r="B47" s="1950" t="s">
        <v>2135</v>
      </c>
      <c r="C47" s="1947"/>
      <c r="D47" s="1954">
        <v>-3289</v>
      </c>
      <c r="E47" s="1954"/>
      <c r="F47" s="1954">
        <v>16568</v>
      </c>
      <c r="G47" s="1954"/>
      <c r="H47" s="1954">
        <v>-10204</v>
      </c>
      <c r="I47" s="1954"/>
      <c r="J47" s="1954">
        <f t="shared" si="0"/>
        <v>3075</v>
      </c>
      <c r="K47" s="1947"/>
      <c r="L47" s="1947"/>
    </row>
    <row r="48" spans="2:12" x14ac:dyDescent="0.25">
      <c r="B48" s="1950" t="s">
        <v>2136</v>
      </c>
      <c r="C48" s="1947"/>
      <c r="D48" s="1954">
        <v>220</v>
      </c>
      <c r="E48" s="1954"/>
      <c r="F48" s="1954">
        <v>0</v>
      </c>
      <c r="G48" s="1954"/>
      <c r="H48" s="1954">
        <v>0</v>
      </c>
      <c r="I48" s="1954"/>
      <c r="J48" s="1954">
        <f t="shared" si="0"/>
        <v>220</v>
      </c>
      <c r="K48" s="1947"/>
      <c r="L48" s="1947"/>
    </row>
    <row r="49" spans="2:12" x14ac:dyDescent="0.25">
      <c r="B49" s="1950" t="s">
        <v>2190</v>
      </c>
      <c r="C49" s="1947"/>
      <c r="D49" s="1954">
        <v>2662</v>
      </c>
      <c r="E49" s="1954"/>
      <c r="F49" s="1954">
        <v>50</v>
      </c>
      <c r="G49" s="1954"/>
      <c r="H49" s="1954">
        <v>-782</v>
      </c>
      <c r="I49" s="1954"/>
      <c r="J49" s="1954">
        <f t="shared" si="0"/>
        <v>1930</v>
      </c>
      <c r="K49" s="1947"/>
      <c r="L49" s="1947"/>
    </row>
    <row r="50" spans="2:12" x14ac:dyDescent="0.25">
      <c r="B50" s="1950" t="s">
        <v>2137</v>
      </c>
      <c r="C50" s="1947"/>
      <c r="D50" s="1954">
        <v>28814</v>
      </c>
      <c r="E50" s="1954"/>
      <c r="F50" s="1954">
        <v>30854</v>
      </c>
      <c r="G50" s="1954"/>
      <c r="H50" s="1954">
        <v>-28686</v>
      </c>
      <c r="I50" s="1954"/>
      <c r="J50" s="1954">
        <f t="shared" si="0"/>
        <v>30982</v>
      </c>
      <c r="K50" s="1947"/>
      <c r="L50" s="1947"/>
    </row>
    <row r="51" spans="2:12" x14ac:dyDescent="0.25">
      <c r="B51" s="1950" t="s">
        <v>2138</v>
      </c>
      <c r="C51" s="1947"/>
      <c r="D51" s="1954">
        <v>1067</v>
      </c>
      <c r="E51" s="1954"/>
      <c r="F51" s="1954">
        <v>4595</v>
      </c>
      <c r="G51" s="1954"/>
      <c r="H51" s="1954">
        <v>-5374</v>
      </c>
      <c r="I51" s="1954"/>
      <c r="J51" s="1954">
        <f t="shared" si="0"/>
        <v>288</v>
      </c>
      <c r="K51" s="1947"/>
      <c r="L51" s="1947"/>
    </row>
    <row r="52" spans="2:12" x14ac:dyDescent="0.25">
      <c r="B52" s="1950" t="s">
        <v>2139</v>
      </c>
      <c r="C52" s="1947"/>
      <c r="D52" s="1954">
        <v>5308</v>
      </c>
      <c r="E52" s="1954"/>
      <c r="F52" s="1954">
        <v>17793</v>
      </c>
      <c r="G52" s="1954"/>
      <c r="H52" s="1954">
        <v>-17774</v>
      </c>
      <c r="I52" s="1954"/>
      <c r="J52" s="1954">
        <f t="shared" si="0"/>
        <v>5327</v>
      </c>
      <c r="K52" s="1947"/>
      <c r="L52" s="1947"/>
    </row>
    <row r="53" spans="2:12" x14ac:dyDescent="0.25">
      <c r="B53" s="1950" t="s">
        <v>2140</v>
      </c>
      <c r="C53" s="1947"/>
      <c r="D53" s="1954">
        <v>748</v>
      </c>
      <c r="E53" s="1954"/>
      <c r="F53" s="1954">
        <v>0</v>
      </c>
      <c r="G53" s="1954"/>
      <c r="H53" s="1954">
        <v>0</v>
      </c>
      <c r="I53" s="1954"/>
      <c r="J53" s="1954">
        <f t="shared" si="0"/>
        <v>748</v>
      </c>
      <c r="K53" s="1947"/>
      <c r="L53" s="1947"/>
    </row>
    <row r="54" spans="2:12" x14ac:dyDescent="0.25">
      <c r="B54" s="1950" t="s">
        <v>2141</v>
      </c>
      <c r="C54" s="1947"/>
      <c r="D54" s="1954">
        <v>69</v>
      </c>
      <c r="E54" s="1954"/>
      <c r="F54" s="1954">
        <v>0</v>
      </c>
      <c r="G54" s="1954"/>
      <c r="H54" s="1954">
        <v>0</v>
      </c>
      <c r="I54" s="1954"/>
      <c r="J54" s="1954">
        <f t="shared" si="0"/>
        <v>69</v>
      </c>
      <c r="K54" s="1947"/>
      <c r="L54" s="1947"/>
    </row>
    <row r="55" spans="2:12" x14ac:dyDescent="0.25">
      <c r="B55" s="1950" t="s">
        <v>2142</v>
      </c>
      <c r="C55" s="1947"/>
      <c r="D55" s="1954">
        <v>10878</v>
      </c>
      <c r="E55" s="1954"/>
      <c r="F55" s="1954">
        <v>17516</v>
      </c>
      <c r="G55" s="1954"/>
      <c r="H55" s="1954">
        <v>-12261</v>
      </c>
      <c r="I55" s="1954"/>
      <c r="J55" s="1954">
        <f t="shared" si="0"/>
        <v>16133</v>
      </c>
      <c r="K55" s="1947"/>
      <c r="L55" s="1947"/>
    </row>
    <row r="56" spans="2:12" x14ac:dyDescent="0.25">
      <c r="B56" s="1950" t="s">
        <v>2143</v>
      </c>
      <c r="C56" s="1947"/>
      <c r="D56" s="1954">
        <v>3530</v>
      </c>
      <c r="E56" s="1954"/>
      <c r="F56" s="1954">
        <v>4442</v>
      </c>
      <c r="G56" s="1954"/>
      <c r="H56" s="1954">
        <v>-5088</v>
      </c>
      <c r="I56" s="1954"/>
      <c r="J56" s="1954">
        <f t="shared" si="0"/>
        <v>2884</v>
      </c>
      <c r="K56" s="1947"/>
      <c r="L56" s="1947"/>
    </row>
    <row r="57" spans="2:12" x14ac:dyDescent="0.25">
      <c r="B57" s="1950" t="s">
        <v>2144</v>
      </c>
      <c r="C57" s="1947"/>
      <c r="D57" s="1954">
        <v>9840</v>
      </c>
      <c r="E57" s="1954"/>
      <c r="F57" s="1954">
        <v>12549</v>
      </c>
      <c r="G57" s="1954"/>
      <c r="H57" s="1954">
        <v>-18715</v>
      </c>
      <c r="I57" s="1954"/>
      <c r="J57" s="1954">
        <f t="shared" si="0"/>
        <v>3674</v>
      </c>
      <c r="K57" s="1947"/>
      <c r="L57" s="1947"/>
    </row>
    <row r="58" spans="2:12" x14ac:dyDescent="0.25">
      <c r="B58" s="1950" t="s">
        <v>2145</v>
      </c>
      <c r="C58" s="1947"/>
      <c r="D58" s="1954">
        <v>984</v>
      </c>
      <c r="E58" s="1954"/>
      <c r="F58" s="1954">
        <v>3233</v>
      </c>
      <c r="G58" s="1954"/>
      <c r="H58" s="1954">
        <v>-3177</v>
      </c>
      <c r="I58" s="1954"/>
      <c r="J58" s="1954">
        <f t="shared" si="0"/>
        <v>1040</v>
      </c>
      <c r="K58" s="1947"/>
      <c r="L58" s="1947"/>
    </row>
    <row r="59" spans="2:12" x14ac:dyDescent="0.25">
      <c r="B59" s="1950" t="s">
        <v>2146</v>
      </c>
      <c r="C59" s="1947"/>
      <c r="D59" s="1954">
        <v>466</v>
      </c>
      <c r="E59" s="1954"/>
      <c r="F59" s="1954">
        <v>5028</v>
      </c>
      <c r="G59" s="1954"/>
      <c r="H59" s="1954">
        <v>-5449</v>
      </c>
      <c r="I59" s="1954"/>
      <c r="J59" s="1954">
        <f t="shared" si="0"/>
        <v>45</v>
      </c>
      <c r="K59" s="1947"/>
      <c r="L59" s="1947"/>
    </row>
    <row r="60" spans="2:12" x14ac:dyDescent="0.25">
      <c r="B60" s="2305" t="s">
        <v>2095</v>
      </c>
      <c r="C60" s="2305"/>
      <c r="D60" s="2305"/>
      <c r="E60" s="2305"/>
      <c r="F60" s="2305"/>
      <c r="G60" s="2305"/>
      <c r="H60" s="2305"/>
      <c r="I60" s="2305"/>
      <c r="J60" s="2305"/>
    </row>
    <row r="61" spans="2:12" x14ac:dyDescent="0.25">
      <c r="B61" s="2305" t="s">
        <v>2096</v>
      </c>
      <c r="C61" s="2305"/>
      <c r="D61" s="2305"/>
      <c r="E61" s="2305"/>
      <c r="F61" s="2305"/>
      <c r="G61" s="2305"/>
      <c r="H61" s="2305"/>
      <c r="I61" s="2305"/>
      <c r="J61" s="2305"/>
    </row>
    <row r="62" spans="2:12" x14ac:dyDescent="0.25">
      <c r="B62" s="2303" t="s">
        <v>2147</v>
      </c>
      <c r="C62" s="2303"/>
      <c r="D62" s="2303"/>
      <c r="E62" s="2303"/>
      <c r="F62" s="2303"/>
      <c r="G62" s="2303"/>
      <c r="H62" s="2303"/>
      <c r="I62" s="2303"/>
      <c r="J62" s="2303"/>
    </row>
    <row r="63" spans="2:12" x14ac:dyDescent="0.25">
      <c r="B63" s="2304" t="s">
        <v>2186</v>
      </c>
      <c r="C63" s="2304"/>
      <c r="D63" s="2304"/>
      <c r="E63" s="2304"/>
      <c r="F63" s="2304"/>
      <c r="G63" s="2304"/>
      <c r="H63" s="2304"/>
      <c r="I63" s="2304"/>
      <c r="J63" s="2304"/>
    </row>
    <row r="64" spans="2:12" x14ac:dyDescent="0.25">
      <c r="B64" s="1941"/>
      <c r="C64" s="1941"/>
      <c r="D64" s="1941"/>
      <c r="E64" s="1941"/>
      <c r="F64" s="1941"/>
      <c r="G64" s="1941"/>
      <c r="H64" s="1941"/>
      <c r="I64" s="1941"/>
      <c r="J64" s="1941"/>
    </row>
    <row r="65" spans="2:12" x14ac:dyDescent="0.25">
      <c r="B65" s="1941"/>
      <c r="C65" s="1941"/>
      <c r="D65" s="1941"/>
      <c r="E65" s="1941"/>
      <c r="F65" s="1941"/>
      <c r="G65" s="1941"/>
      <c r="H65" s="1941"/>
      <c r="I65" s="1941"/>
      <c r="J65" s="1941"/>
    </row>
    <row r="66" spans="2:12" x14ac:dyDescent="0.25">
      <c r="D66" s="1942" t="s">
        <v>2098</v>
      </c>
      <c r="E66" s="1942"/>
      <c r="F66" s="1942"/>
      <c r="G66" s="1942"/>
      <c r="H66" s="1942"/>
      <c r="I66" s="1942"/>
      <c r="J66" s="1942" t="s">
        <v>2098</v>
      </c>
      <c r="K66" s="1943"/>
      <c r="L66" s="1943"/>
    </row>
    <row r="67" spans="2:12" x14ac:dyDescent="0.25">
      <c r="D67" s="1944" t="s">
        <v>2187</v>
      </c>
      <c r="E67" s="1942"/>
      <c r="F67" s="1945" t="s">
        <v>2099</v>
      </c>
      <c r="G67" s="1942"/>
      <c r="H67" s="1945" t="s">
        <v>2100</v>
      </c>
      <c r="I67" s="1942"/>
      <c r="J67" s="1944" t="s">
        <v>2188</v>
      </c>
      <c r="K67" s="1943"/>
      <c r="L67" s="1943"/>
    </row>
    <row r="68" spans="2:12" x14ac:dyDescent="0.25">
      <c r="B68" s="1950" t="s">
        <v>2148</v>
      </c>
      <c r="C68" s="1947"/>
      <c r="D68" s="1954">
        <v>4419</v>
      </c>
      <c r="E68" s="1954"/>
      <c r="F68" s="1954">
        <v>2874</v>
      </c>
      <c r="G68" s="1954"/>
      <c r="H68" s="1954">
        <v>-2293</v>
      </c>
      <c r="I68" s="1954"/>
      <c r="J68" s="1954">
        <f t="shared" ref="J68:J77" si="1">SUM(D68:I68)</f>
        <v>5000</v>
      </c>
      <c r="K68" s="1947"/>
      <c r="L68" s="1947"/>
    </row>
    <row r="69" spans="2:12" x14ac:dyDescent="0.25">
      <c r="B69" s="1950" t="s">
        <v>2149</v>
      </c>
      <c r="C69" s="1947"/>
      <c r="D69" s="1954">
        <v>40</v>
      </c>
      <c r="E69" s="1954"/>
      <c r="F69" s="1954">
        <v>4113</v>
      </c>
      <c r="G69" s="1954"/>
      <c r="H69" s="1954">
        <v>-1616</v>
      </c>
      <c r="I69" s="1954"/>
      <c r="J69" s="1954">
        <f t="shared" si="1"/>
        <v>2537</v>
      </c>
      <c r="K69" s="1947"/>
      <c r="L69" s="1947"/>
    </row>
    <row r="70" spans="2:12" x14ac:dyDescent="0.25">
      <c r="B70" s="1950" t="s">
        <v>2150</v>
      </c>
      <c r="C70" s="1947"/>
      <c r="D70" s="1954">
        <v>1803</v>
      </c>
      <c r="E70" s="1954"/>
      <c r="F70" s="1954">
        <v>5185</v>
      </c>
      <c r="G70" s="1954"/>
      <c r="H70" s="1954">
        <v>-130</v>
      </c>
      <c r="I70" s="1954"/>
      <c r="J70" s="1954">
        <f t="shared" si="1"/>
        <v>6858</v>
      </c>
      <c r="K70" s="1947"/>
      <c r="L70" s="1947"/>
    </row>
    <row r="71" spans="2:12" x14ac:dyDescent="0.25">
      <c r="B71" s="1950" t="s">
        <v>2151</v>
      </c>
      <c r="C71" s="1947"/>
      <c r="D71" s="1954">
        <v>6907</v>
      </c>
      <c r="E71" s="1954"/>
      <c r="F71" s="1954">
        <v>3016</v>
      </c>
      <c r="G71" s="1954"/>
      <c r="H71" s="1954">
        <v>-4578</v>
      </c>
      <c r="I71" s="1954"/>
      <c r="J71" s="1954">
        <f t="shared" si="1"/>
        <v>5345</v>
      </c>
      <c r="K71" s="1947"/>
      <c r="L71" s="1947"/>
    </row>
    <row r="72" spans="2:12" hidden="1" x14ac:dyDescent="0.25">
      <c r="B72" s="1950" t="s">
        <v>2152</v>
      </c>
      <c r="C72" s="1947"/>
      <c r="D72" s="1954">
        <v>0</v>
      </c>
      <c r="E72" s="1954"/>
      <c r="F72" s="1954">
        <v>0</v>
      </c>
      <c r="G72" s="1954"/>
      <c r="H72" s="1954">
        <v>0</v>
      </c>
      <c r="I72" s="1954"/>
      <c r="J72" s="1954">
        <f t="shared" si="1"/>
        <v>0</v>
      </c>
      <c r="K72" s="1947"/>
      <c r="L72" s="1947"/>
    </row>
    <row r="73" spans="2:12" x14ac:dyDescent="0.25">
      <c r="B73" s="1950" t="s">
        <v>2153</v>
      </c>
      <c r="C73" s="1947"/>
      <c r="D73" s="1954">
        <v>1693</v>
      </c>
      <c r="E73" s="1954"/>
      <c r="F73" s="1954">
        <v>10746</v>
      </c>
      <c r="G73" s="1954"/>
      <c r="H73" s="1954">
        <v>-10519</v>
      </c>
      <c r="I73" s="1954"/>
      <c r="J73" s="1954">
        <f t="shared" si="1"/>
        <v>1920</v>
      </c>
      <c r="K73" s="1947"/>
      <c r="L73" s="1947"/>
    </row>
    <row r="74" spans="2:12" x14ac:dyDescent="0.25">
      <c r="B74" s="1950" t="s">
        <v>2154</v>
      </c>
      <c r="C74" s="1947"/>
      <c r="D74" s="1954">
        <v>8889</v>
      </c>
      <c r="E74" s="1954"/>
      <c r="F74" s="1954">
        <v>11521</v>
      </c>
      <c r="G74" s="1954"/>
      <c r="H74" s="1954">
        <v>-13996</v>
      </c>
      <c r="I74" s="1954"/>
      <c r="J74" s="1954">
        <f t="shared" si="1"/>
        <v>6414</v>
      </c>
      <c r="K74" s="1947"/>
      <c r="L74" s="1947"/>
    </row>
    <row r="75" spans="2:12" x14ac:dyDescent="0.25">
      <c r="B75" s="1950" t="s">
        <v>2155</v>
      </c>
      <c r="C75" s="1947"/>
      <c r="D75" s="1954">
        <v>3430</v>
      </c>
      <c r="E75" s="1954"/>
      <c r="F75" s="1954">
        <v>7464</v>
      </c>
      <c r="G75" s="1954"/>
      <c r="H75" s="1954">
        <v>-10078</v>
      </c>
      <c r="I75" s="1954"/>
      <c r="J75" s="1954">
        <f t="shared" si="1"/>
        <v>816</v>
      </c>
      <c r="K75" s="1947"/>
      <c r="L75" s="1947"/>
    </row>
    <row r="76" spans="2:12" x14ac:dyDescent="0.25">
      <c r="B76" s="1950" t="s">
        <v>2189</v>
      </c>
      <c r="C76" s="1947"/>
      <c r="D76" s="1954">
        <v>654</v>
      </c>
      <c r="E76" s="1954"/>
      <c r="F76" s="1954">
        <v>4155</v>
      </c>
      <c r="G76" s="1954"/>
      <c r="H76" s="1954">
        <v>-3682</v>
      </c>
      <c r="I76" s="1954"/>
      <c r="J76" s="1954">
        <f t="shared" si="1"/>
        <v>1127</v>
      </c>
      <c r="K76" s="1947"/>
      <c r="L76" s="1947"/>
    </row>
    <row r="77" spans="2:12" x14ac:dyDescent="0.25">
      <c r="B77" s="1950" t="s">
        <v>2156</v>
      </c>
      <c r="C77" s="1947"/>
      <c r="D77" s="1954">
        <v>432</v>
      </c>
      <c r="E77" s="1954"/>
      <c r="F77" s="1954">
        <v>90</v>
      </c>
      <c r="G77" s="1954"/>
      <c r="H77" s="1954">
        <v>0</v>
      </c>
      <c r="I77" s="1954"/>
      <c r="J77" s="1954">
        <f t="shared" si="1"/>
        <v>522</v>
      </c>
      <c r="K77" s="1947"/>
      <c r="L77" s="1947"/>
    </row>
    <row r="78" spans="2:12" x14ac:dyDescent="0.25">
      <c r="B78" s="1950" t="s">
        <v>2157</v>
      </c>
      <c r="C78" s="1947"/>
      <c r="D78" s="1954">
        <v>489</v>
      </c>
      <c r="E78" s="1954"/>
      <c r="F78" s="1954">
        <v>501</v>
      </c>
      <c r="G78" s="1954"/>
      <c r="H78" s="1954">
        <v>-618</v>
      </c>
      <c r="I78" s="1954"/>
      <c r="J78" s="1954">
        <f t="shared" si="0"/>
        <v>372</v>
      </c>
      <c r="K78" s="1947"/>
      <c r="L78" s="1947"/>
    </row>
    <row r="79" spans="2:12" x14ac:dyDescent="0.25">
      <c r="B79" s="1950" t="s">
        <v>2158</v>
      </c>
      <c r="C79" s="1947"/>
      <c r="D79" s="1954">
        <v>0</v>
      </c>
      <c r="E79" s="1954"/>
      <c r="F79" s="1954">
        <v>0</v>
      </c>
      <c r="G79" s="1954"/>
      <c r="H79" s="1954">
        <v>0</v>
      </c>
      <c r="I79" s="1954"/>
      <c r="J79" s="1954">
        <f t="shared" si="0"/>
        <v>0</v>
      </c>
      <c r="K79" s="1947"/>
      <c r="L79" s="1947"/>
    </row>
    <row r="80" spans="2:12" x14ac:dyDescent="0.25">
      <c r="B80" s="1950" t="s">
        <v>2159</v>
      </c>
      <c r="C80" s="1947"/>
      <c r="D80" s="1954">
        <v>3733</v>
      </c>
      <c r="E80" s="1954"/>
      <c r="F80" s="1954">
        <v>1205</v>
      </c>
      <c r="G80" s="1954"/>
      <c r="H80" s="1954">
        <v>-3024</v>
      </c>
      <c r="I80" s="1954"/>
      <c r="J80" s="1954">
        <f t="shared" si="0"/>
        <v>1914</v>
      </c>
      <c r="K80" s="1947"/>
      <c r="L80" s="1947"/>
    </row>
    <row r="81" spans="2:12" x14ac:dyDescent="0.25">
      <c r="B81" s="1950" t="s">
        <v>2160</v>
      </c>
      <c r="C81" s="1947"/>
      <c r="D81" s="1954">
        <v>9848</v>
      </c>
      <c r="E81" s="1954"/>
      <c r="F81" s="1954">
        <v>22338</v>
      </c>
      <c r="G81" s="1954"/>
      <c r="H81" s="1954">
        <v>-21611</v>
      </c>
      <c r="I81" s="1954"/>
      <c r="J81" s="1954">
        <f t="shared" si="0"/>
        <v>10575</v>
      </c>
      <c r="K81" s="1947"/>
      <c r="L81" s="1947"/>
    </row>
    <row r="82" spans="2:12" x14ac:dyDescent="0.25">
      <c r="B82" s="1950" t="s">
        <v>2161</v>
      </c>
      <c r="C82" s="1947"/>
      <c r="D82" s="1954">
        <v>8409</v>
      </c>
      <c r="E82" s="1954"/>
      <c r="F82" s="1954">
        <v>4294</v>
      </c>
      <c r="G82" s="1954"/>
      <c r="H82" s="1954">
        <v>-4831</v>
      </c>
      <c r="I82" s="1954"/>
      <c r="J82" s="1954">
        <f t="shared" si="0"/>
        <v>7872</v>
      </c>
      <c r="K82" s="1947"/>
      <c r="L82" s="1947"/>
    </row>
    <row r="83" spans="2:12" x14ac:dyDescent="0.25">
      <c r="B83" s="1950" t="s">
        <v>2162</v>
      </c>
      <c r="C83" s="1947"/>
      <c r="D83" s="1954">
        <v>4043</v>
      </c>
      <c r="E83" s="1954"/>
      <c r="F83" s="1954">
        <v>434</v>
      </c>
      <c r="G83" s="1954"/>
      <c r="H83" s="1954">
        <v>-627</v>
      </c>
      <c r="I83" s="1954"/>
      <c r="J83" s="1954">
        <f t="shared" si="0"/>
        <v>3850</v>
      </c>
      <c r="K83" s="1947"/>
      <c r="L83" s="1947"/>
    </row>
    <row r="84" spans="2:12" x14ac:dyDescent="0.25">
      <c r="B84" s="1950" t="s">
        <v>2163</v>
      </c>
      <c r="C84" s="1947"/>
      <c r="D84" s="1954">
        <v>66</v>
      </c>
      <c r="E84" s="1954"/>
      <c r="F84" s="1954">
        <v>0</v>
      </c>
      <c r="G84" s="1954"/>
      <c r="H84" s="1954">
        <v>0</v>
      </c>
      <c r="I84" s="1954"/>
      <c r="J84" s="1954">
        <f t="shared" si="0"/>
        <v>66</v>
      </c>
      <c r="K84" s="1947"/>
      <c r="L84" s="1947"/>
    </row>
    <row r="85" spans="2:12" x14ac:dyDescent="0.25">
      <c r="B85" s="1950" t="s">
        <v>2164</v>
      </c>
      <c r="C85" s="1947"/>
      <c r="D85" s="1954">
        <v>1982</v>
      </c>
      <c r="E85" s="1954"/>
      <c r="F85" s="1954">
        <v>447</v>
      </c>
      <c r="G85" s="1954"/>
      <c r="H85" s="1954">
        <v>-1211</v>
      </c>
      <c r="I85" s="1954"/>
      <c r="J85" s="1954">
        <f t="shared" si="0"/>
        <v>1218</v>
      </c>
      <c r="K85" s="1947"/>
      <c r="L85" s="1947"/>
    </row>
    <row r="86" spans="2:12" x14ac:dyDescent="0.25">
      <c r="B86" s="1950" t="s">
        <v>2165</v>
      </c>
      <c r="C86" s="1947"/>
      <c r="D86" s="1954">
        <v>7562</v>
      </c>
      <c r="E86" s="1954"/>
      <c r="F86" s="1954">
        <v>515</v>
      </c>
      <c r="G86" s="1954"/>
      <c r="H86" s="1954">
        <v>-1000</v>
      </c>
      <c r="I86" s="1954"/>
      <c r="J86" s="1954">
        <f t="shared" si="0"/>
        <v>7077</v>
      </c>
      <c r="K86" s="1947"/>
      <c r="L86" s="1947"/>
    </row>
    <row r="87" spans="2:12" x14ac:dyDescent="0.25">
      <c r="B87" s="1950" t="s">
        <v>2166</v>
      </c>
      <c r="C87" s="1947"/>
      <c r="D87" s="1954">
        <v>819</v>
      </c>
      <c r="E87" s="1954"/>
      <c r="F87" s="1954">
        <v>0</v>
      </c>
      <c r="G87" s="1954"/>
      <c r="H87" s="1954">
        <v>0</v>
      </c>
      <c r="I87" s="1954"/>
      <c r="J87" s="1954">
        <f t="shared" si="0"/>
        <v>819</v>
      </c>
      <c r="K87" s="1947"/>
      <c r="L87" s="1947"/>
    </row>
    <row r="88" spans="2:12" x14ac:dyDescent="0.25">
      <c r="B88" s="1950" t="s">
        <v>2167</v>
      </c>
      <c r="C88" s="1947"/>
      <c r="D88" s="1954">
        <v>904</v>
      </c>
      <c r="E88" s="1954"/>
      <c r="F88" s="1954">
        <v>1103</v>
      </c>
      <c r="G88" s="1954"/>
      <c r="H88" s="1954">
        <v>-354</v>
      </c>
      <c r="I88" s="1954"/>
      <c r="J88" s="1954">
        <f t="shared" si="0"/>
        <v>1653</v>
      </c>
      <c r="K88" s="1947"/>
      <c r="L88" s="1947"/>
    </row>
    <row r="89" spans="2:12" x14ac:dyDescent="0.25">
      <c r="B89" s="1950" t="s">
        <v>2168</v>
      </c>
      <c r="C89" s="1947"/>
      <c r="D89" s="1954">
        <v>3019</v>
      </c>
      <c r="E89" s="1954"/>
      <c r="F89" s="1954">
        <v>11046</v>
      </c>
      <c r="G89" s="1954"/>
      <c r="H89" s="1954">
        <v>-8586</v>
      </c>
      <c r="I89" s="1954"/>
      <c r="J89" s="1954">
        <f t="shared" si="0"/>
        <v>5479</v>
      </c>
      <c r="K89" s="1947"/>
      <c r="L89" s="1947"/>
    </row>
    <row r="90" spans="2:12" x14ac:dyDescent="0.25">
      <c r="B90" s="1950" t="s">
        <v>2169</v>
      </c>
      <c r="C90" s="1947"/>
      <c r="D90" s="1954">
        <v>1358</v>
      </c>
      <c r="E90" s="1954"/>
      <c r="F90" s="1954">
        <v>8169</v>
      </c>
      <c r="G90" s="1954"/>
      <c r="H90" s="1954">
        <v>-2101</v>
      </c>
      <c r="I90" s="1954"/>
      <c r="J90" s="1954">
        <f t="shared" si="0"/>
        <v>7426</v>
      </c>
      <c r="K90" s="1947"/>
      <c r="L90" s="1947"/>
    </row>
    <row r="91" spans="2:12" x14ac:dyDescent="0.25">
      <c r="B91" s="1950" t="s">
        <v>2170</v>
      </c>
      <c r="C91" s="1947"/>
      <c r="D91" s="1954">
        <v>24</v>
      </c>
      <c r="E91" s="1954"/>
      <c r="F91" s="1954">
        <v>0</v>
      </c>
      <c r="G91" s="1954"/>
      <c r="H91" s="1954">
        <v>0</v>
      </c>
      <c r="I91" s="1954"/>
      <c r="J91" s="1954">
        <f t="shared" si="0"/>
        <v>24</v>
      </c>
      <c r="K91" s="1947"/>
      <c r="L91" s="1947"/>
    </row>
    <row r="92" spans="2:12" x14ac:dyDescent="0.25">
      <c r="B92" s="1950" t="s">
        <v>2171</v>
      </c>
      <c r="C92" s="1947"/>
      <c r="D92" s="1954">
        <v>121</v>
      </c>
      <c r="E92" s="1954"/>
      <c r="F92" s="1954">
        <v>0</v>
      </c>
      <c r="G92" s="1954"/>
      <c r="H92" s="1954">
        <v>0</v>
      </c>
      <c r="I92" s="1954"/>
      <c r="J92" s="1954">
        <f t="shared" si="0"/>
        <v>121</v>
      </c>
      <c r="K92" s="1947"/>
      <c r="L92" s="1947"/>
    </row>
    <row r="93" spans="2:12" x14ac:dyDescent="0.25">
      <c r="B93" s="1950" t="s">
        <v>2172</v>
      </c>
      <c r="C93" s="1947"/>
      <c r="D93" s="1954">
        <v>1210</v>
      </c>
      <c r="E93" s="1954"/>
      <c r="F93" s="1954">
        <v>0</v>
      </c>
      <c r="G93" s="1954"/>
      <c r="H93" s="1954">
        <v>0</v>
      </c>
      <c r="I93" s="1954"/>
      <c r="J93" s="1954">
        <f t="shared" si="0"/>
        <v>1210</v>
      </c>
      <c r="K93" s="1947"/>
      <c r="L93" s="1947"/>
    </row>
    <row r="94" spans="2:12" x14ac:dyDescent="0.25">
      <c r="B94" s="1950" t="s">
        <v>2173</v>
      </c>
      <c r="C94" s="1947"/>
      <c r="D94" s="1954">
        <v>335</v>
      </c>
      <c r="E94" s="1954"/>
      <c r="F94" s="1954">
        <v>4440</v>
      </c>
      <c r="G94" s="1954"/>
      <c r="H94" s="1954">
        <v>-3178</v>
      </c>
      <c r="I94" s="1954"/>
      <c r="J94" s="1954">
        <f t="shared" si="0"/>
        <v>1597</v>
      </c>
      <c r="K94" s="1947"/>
      <c r="L94" s="1947"/>
    </row>
    <row r="95" spans="2:12" hidden="1" x14ac:dyDescent="0.25">
      <c r="B95" s="1950" t="s">
        <v>2174</v>
      </c>
      <c r="C95" s="1947"/>
      <c r="D95" s="1954">
        <v>0</v>
      </c>
      <c r="E95" s="1954"/>
      <c r="F95" s="1954"/>
      <c r="G95" s="1954"/>
      <c r="H95" s="1954"/>
      <c r="I95" s="1954"/>
      <c r="J95" s="1954">
        <f t="shared" si="0"/>
        <v>0</v>
      </c>
      <c r="K95" s="1947"/>
      <c r="L95" s="1947"/>
    </row>
    <row r="96" spans="2:12" hidden="1" x14ac:dyDescent="0.25">
      <c r="B96" s="1950" t="s">
        <v>2175</v>
      </c>
      <c r="C96" s="1947"/>
      <c r="D96" s="1954">
        <v>0</v>
      </c>
      <c r="E96" s="1954"/>
      <c r="F96" s="1954"/>
      <c r="G96" s="1954"/>
      <c r="H96" s="1954"/>
      <c r="I96" s="1954"/>
      <c r="J96" s="1954">
        <f t="shared" si="0"/>
        <v>0</v>
      </c>
      <c r="K96" s="1947"/>
      <c r="L96" s="1947"/>
    </row>
    <row r="97" spans="1:12" x14ac:dyDescent="0.25">
      <c r="B97" s="1950" t="s">
        <v>2176</v>
      </c>
      <c r="C97" s="1947"/>
      <c r="D97" s="1954">
        <v>725</v>
      </c>
      <c r="E97" s="1954"/>
      <c r="F97" s="1954">
        <v>6626</v>
      </c>
      <c r="G97" s="1954"/>
      <c r="H97" s="1954">
        <v>-4909</v>
      </c>
      <c r="I97" s="1954"/>
      <c r="J97" s="1954">
        <f t="shared" si="0"/>
        <v>2442</v>
      </c>
      <c r="K97" s="1947"/>
      <c r="L97" s="1947"/>
    </row>
    <row r="98" spans="1:12" hidden="1" x14ac:dyDescent="0.25">
      <c r="B98" s="1950" t="s">
        <v>2177</v>
      </c>
      <c r="C98" s="1947"/>
      <c r="D98" s="1954">
        <v>0</v>
      </c>
      <c r="E98" s="1954"/>
      <c r="F98" s="1954"/>
      <c r="G98" s="1954"/>
      <c r="H98" s="1954"/>
      <c r="I98" s="1954"/>
      <c r="J98" s="1954">
        <f t="shared" si="0"/>
        <v>0</v>
      </c>
      <c r="K98" s="1947"/>
      <c r="L98" s="1947"/>
    </row>
    <row r="99" spans="1:12" x14ac:dyDescent="0.25">
      <c r="B99" s="1950" t="s">
        <v>2178</v>
      </c>
      <c r="C99" s="1947"/>
      <c r="D99" s="1954">
        <v>3277</v>
      </c>
      <c r="E99" s="1954"/>
      <c r="F99" s="1954">
        <v>163</v>
      </c>
      <c r="G99" s="1954"/>
      <c r="H99" s="1954">
        <v>-513</v>
      </c>
      <c r="I99" s="1954"/>
      <c r="J99" s="1954">
        <f t="shared" si="0"/>
        <v>2927</v>
      </c>
      <c r="K99" s="1947"/>
      <c r="L99" s="1947"/>
    </row>
    <row r="100" spans="1:12" x14ac:dyDescent="0.25">
      <c r="B100" s="1950" t="s">
        <v>2179</v>
      </c>
      <c r="C100" s="1947"/>
      <c r="D100" s="1954">
        <v>983</v>
      </c>
      <c r="E100" s="1954"/>
      <c r="F100" s="1954">
        <v>0</v>
      </c>
      <c r="G100" s="1954"/>
      <c r="H100" s="1954">
        <v>0</v>
      </c>
      <c r="I100" s="1954"/>
      <c r="J100" s="1954">
        <f>SUM(D100:H100)</f>
        <v>983</v>
      </c>
      <c r="K100" s="1947"/>
      <c r="L100" s="1947"/>
    </row>
    <row r="101" spans="1:12" x14ac:dyDescent="0.25">
      <c r="B101" s="1950" t="s">
        <v>2180</v>
      </c>
      <c r="C101" s="1947"/>
      <c r="D101" s="1954">
        <v>8</v>
      </c>
      <c r="E101" s="1954"/>
      <c r="F101" s="1954">
        <v>0</v>
      </c>
      <c r="G101" s="1954"/>
      <c r="H101" s="1954">
        <v>0</v>
      </c>
      <c r="I101" s="1954"/>
      <c r="J101" s="1954">
        <f t="shared" si="0"/>
        <v>8</v>
      </c>
      <c r="K101" s="1947"/>
      <c r="L101" s="1947"/>
    </row>
    <row r="102" spans="1:12" hidden="1" x14ac:dyDescent="0.25">
      <c r="B102" s="1950" t="s">
        <v>2181</v>
      </c>
      <c r="C102" s="1947"/>
      <c r="D102" s="1954">
        <v>0</v>
      </c>
      <c r="E102" s="1954"/>
      <c r="F102" s="1954"/>
      <c r="G102" s="1954"/>
      <c r="H102" s="1954"/>
      <c r="I102" s="1954"/>
      <c r="J102" s="1954">
        <f t="shared" si="0"/>
        <v>0</v>
      </c>
      <c r="K102" s="1947"/>
      <c r="L102" s="1947"/>
    </row>
    <row r="103" spans="1:12" x14ac:dyDescent="0.25">
      <c r="B103" s="1950" t="s">
        <v>2182</v>
      </c>
      <c r="C103" s="1947"/>
      <c r="D103" s="1954">
        <v>45</v>
      </c>
      <c r="E103" s="1954"/>
      <c r="F103" s="1954">
        <v>0</v>
      </c>
      <c r="G103" s="1954"/>
      <c r="H103" s="1954">
        <v>-110</v>
      </c>
      <c r="I103" s="1954"/>
      <c r="J103" s="1954">
        <f t="shared" si="0"/>
        <v>-65</v>
      </c>
      <c r="K103" s="1947"/>
      <c r="L103" s="1947"/>
    </row>
    <row r="104" spans="1:12" x14ac:dyDescent="0.25">
      <c r="B104" s="1950" t="s">
        <v>2183</v>
      </c>
      <c r="C104" s="1947"/>
      <c r="D104" s="1954">
        <v>1527</v>
      </c>
      <c r="E104" s="1954"/>
      <c r="F104" s="1954">
        <v>2039</v>
      </c>
      <c r="G104" s="1954"/>
      <c r="H104" s="1954">
        <v>-1149</v>
      </c>
      <c r="I104" s="1954"/>
      <c r="J104" s="1954">
        <f t="shared" si="0"/>
        <v>2417</v>
      </c>
      <c r="K104" s="1947"/>
      <c r="L104" s="1947"/>
    </row>
    <row r="105" spans="1:12" x14ac:dyDescent="0.25">
      <c r="B105" s="1950" t="s">
        <v>2184</v>
      </c>
      <c r="C105" s="1947"/>
      <c r="D105" s="1955">
        <v>14437</v>
      </c>
      <c r="E105" s="1954"/>
      <c r="F105" s="1955">
        <v>23543</v>
      </c>
      <c r="G105" s="1954"/>
      <c r="H105" s="1955">
        <v>-22203</v>
      </c>
      <c r="I105" s="1954"/>
      <c r="J105" s="1955">
        <f t="shared" si="0"/>
        <v>15777</v>
      </c>
      <c r="K105" s="1947"/>
      <c r="L105" s="1947"/>
    </row>
    <row r="106" spans="1:12" x14ac:dyDescent="0.25">
      <c r="B106" s="1950"/>
      <c r="C106" s="1947"/>
      <c r="D106" s="1947"/>
      <c r="E106" s="1947"/>
      <c r="F106" s="1947"/>
      <c r="G106" s="1947"/>
      <c r="H106" s="1947"/>
      <c r="I106" s="1947"/>
      <c r="J106" s="1947"/>
      <c r="K106" s="1947"/>
      <c r="L106" s="1947"/>
    </row>
    <row r="107" spans="1:12" ht="15.75" thickBot="1" x14ac:dyDescent="0.3">
      <c r="A107" s="1950" t="s">
        <v>2185</v>
      </c>
      <c r="C107" s="1947"/>
      <c r="D107" s="1956">
        <f>SUM(D16:D106)</f>
        <v>225537</v>
      </c>
      <c r="E107" s="1947"/>
      <c r="F107" s="1956">
        <f>SUM(F16:F106)</f>
        <v>349607</v>
      </c>
      <c r="G107" s="1947"/>
      <c r="H107" s="1956">
        <f>SUM(H68:H105,H16:H59)</f>
        <v>-326565</v>
      </c>
      <c r="I107" s="1947"/>
      <c r="J107" s="1956">
        <f>SUM(J16:J106)</f>
        <v>248579</v>
      </c>
      <c r="K107" s="1947"/>
      <c r="L107" s="1947"/>
    </row>
    <row r="108" spans="1:12" ht="15.75" thickTop="1" x14ac:dyDescent="0.25">
      <c r="B108" s="1950"/>
      <c r="C108" s="1947"/>
      <c r="D108" s="1947"/>
      <c r="E108" s="1947"/>
      <c r="F108" s="1947"/>
      <c r="G108" s="1947"/>
      <c r="H108" s="1947"/>
      <c r="I108" s="1947"/>
      <c r="J108" s="1947"/>
      <c r="K108" s="1947"/>
      <c r="L108" s="1947"/>
    </row>
    <row r="109" spans="1:12" x14ac:dyDescent="0.25">
      <c r="B109" s="1947"/>
      <c r="C109" s="1947"/>
      <c r="D109" s="1947"/>
      <c r="E109" s="1947"/>
      <c r="F109" s="1947"/>
      <c r="G109" s="1947"/>
      <c r="H109" s="1947"/>
      <c r="I109" s="1947"/>
      <c r="J109" s="1947"/>
      <c r="K109" s="1947"/>
      <c r="L109" s="1947"/>
    </row>
    <row r="110" spans="1:12" x14ac:dyDescent="0.25">
      <c r="B110" s="1947"/>
      <c r="C110" s="1947"/>
      <c r="D110" s="1947"/>
      <c r="E110" s="1947"/>
      <c r="F110" s="1947"/>
      <c r="G110" s="1947"/>
      <c r="H110" s="1947"/>
      <c r="I110" s="1947"/>
      <c r="J110" s="1947"/>
      <c r="K110" s="1947"/>
      <c r="L110" s="1947"/>
    </row>
    <row r="111" spans="1:12" x14ac:dyDescent="0.25">
      <c r="B111" s="1947"/>
      <c r="C111" s="1947"/>
      <c r="D111" s="1947"/>
      <c r="E111" s="1947"/>
      <c r="F111" s="1947"/>
      <c r="G111" s="1947"/>
      <c r="H111" s="1947"/>
      <c r="I111" s="1947"/>
      <c r="J111" s="1947"/>
      <c r="K111" s="1947"/>
      <c r="L111" s="1947"/>
    </row>
    <row r="112" spans="1:12" x14ac:dyDescent="0.25">
      <c r="B112" s="1947"/>
      <c r="C112" s="1947"/>
      <c r="D112" s="1947"/>
      <c r="E112" s="1947"/>
      <c r="F112" s="1947"/>
      <c r="G112" s="1947"/>
      <c r="H112" s="1947"/>
      <c r="I112" s="1947"/>
      <c r="J112" s="1947"/>
      <c r="K112" s="1947"/>
      <c r="L112" s="1947"/>
    </row>
    <row r="113" spans="2:12" x14ac:dyDescent="0.25">
      <c r="B113" s="1947"/>
      <c r="C113" s="1947"/>
      <c r="D113" s="1947"/>
      <c r="E113" s="1947"/>
      <c r="F113" s="1947"/>
      <c r="G113" s="1947"/>
      <c r="H113" s="1947"/>
      <c r="I113" s="1947"/>
      <c r="J113" s="1947"/>
      <c r="K113" s="1947"/>
      <c r="L113" s="1947"/>
    </row>
    <row r="114" spans="2:12" x14ac:dyDescent="0.25">
      <c r="B114" s="1947"/>
      <c r="C114" s="1947"/>
      <c r="D114" s="1947"/>
      <c r="E114" s="1947"/>
      <c r="F114" s="1947"/>
      <c r="G114" s="1947"/>
      <c r="H114" s="1947"/>
      <c r="I114" s="1947"/>
      <c r="J114" s="1947"/>
      <c r="K114" s="1947"/>
      <c r="L114" s="1947"/>
    </row>
    <row r="115" spans="2:12" x14ac:dyDescent="0.25">
      <c r="B115" s="1947"/>
      <c r="C115" s="1947"/>
      <c r="D115" s="1947"/>
      <c r="E115" s="1947"/>
      <c r="F115" s="1947"/>
      <c r="G115" s="1947"/>
      <c r="H115" s="1947"/>
      <c r="I115" s="1947"/>
      <c r="J115" s="1947"/>
      <c r="K115" s="1947"/>
      <c r="L115" s="1947"/>
    </row>
    <row r="116" spans="2:12" x14ac:dyDescent="0.25">
      <c r="D116" s="1943"/>
      <c r="E116" s="1943"/>
      <c r="F116" s="1943"/>
      <c r="G116" s="1943"/>
      <c r="H116" s="1943"/>
      <c r="I116" s="1943"/>
      <c r="J116" s="1943"/>
      <c r="K116" s="1943"/>
      <c r="L116" s="1943"/>
    </row>
    <row r="117" spans="2:12" x14ac:dyDescent="0.25">
      <c r="D117" s="1943"/>
      <c r="E117" s="1943"/>
      <c r="F117" s="1943"/>
      <c r="G117" s="1943"/>
      <c r="H117" s="1943"/>
      <c r="I117" s="1943"/>
      <c r="J117" s="1943"/>
      <c r="K117" s="1943"/>
      <c r="L117" s="1943"/>
    </row>
    <row r="118" spans="2:12" x14ac:dyDescent="0.25">
      <c r="D118" s="1943"/>
      <c r="E118" s="1943"/>
      <c r="F118" s="1943"/>
      <c r="G118" s="1943"/>
      <c r="H118" s="1943"/>
      <c r="I118" s="1943"/>
      <c r="J118" s="1943"/>
      <c r="K118" s="1943"/>
      <c r="L118" s="1943"/>
    </row>
    <row r="119" spans="2:12" x14ac:dyDescent="0.25">
      <c r="D119" s="1943"/>
      <c r="E119" s="1943"/>
      <c r="F119" s="1943"/>
      <c r="G119" s="1943"/>
      <c r="H119" s="1943"/>
      <c r="I119" s="1943"/>
      <c r="J119" s="1943"/>
      <c r="K119" s="1943"/>
      <c r="L119" s="1943"/>
    </row>
    <row r="120" spans="2:12" x14ac:dyDescent="0.25">
      <c r="D120" s="1943"/>
      <c r="E120" s="1943"/>
      <c r="F120" s="1943"/>
      <c r="G120" s="1943"/>
      <c r="H120" s="1943"/>
      <c r="I120" s="1943"/>
      <c r="J120" s="1943"/>
      <c r="K120" s="1943"/>
      <c r="L120" s="1943"/>
    </row>
    <row r="121" spans="2:12" x14ac:dyDescent="0.25">
      <c r="D121" s="1943"/>
      <c r="E121" s="1943"/>
      <c r="F121" s="1943"/>
      <c r="G121" s="1943"/>
      <c r="H121" s="1943"/>
      <c r="I121" s="1943"/>
      <c r="J121" s="1943"/>
      <c r="K121" s="1943"/>
      <c r="L121" s="1943"/>
    </row>
    <row r="122" spans="2:12" x14ac:dyDescent="0.25">
      <c r="D122" s="1943"/>
      <c r="E122" s="1943"/>
      <c r="F122" s="1943"/>
      <c r="G122" s="1943"/>
      <c r="H122" s="1943"/>
      <c r="I122" s="1943"/>
      <c r="J122" s="1943"/>
      <c r="K122" s="1943"/>
      <c r="L122" s="1943"/>
    </row>
  </sheetData>
  <mergeCells count="8">
    <mergeCell ref="B62:J62"/>
    <mergeCell ref="B63:J63"/>
    <mergeCell ref="B1:J1"/>
    <mergeCell ref="B2:J2"/>
    <mergeCell ref="B3:J3"/>
    <mergeCell ref="B4:J4"/>
    <mergeCell ref="B60:J60"/>
    <mergeCell ref="B61:J61"/>
  </mergeCells>
  <printOptions horizontalCentered="1"/>
  <pageMargins left="0.7" right="0.7" top="0.75" bottom="0.75" header="0.3" footer="0.3"/>
  <pageSetup scale="80" orientation="portrait" r:id="rId1"/>
  <headerFooter differentFirst="1">
    <oddFooter>&amp;C&amp;"Times New Roman,Regular"Reference should be made to accountant's report regarding this information.
59</oddFooter>
    <firstFooter>&amp;C&amp;"Times New Roman,Regular"Reference should be made to accountant's report regarding this information.
58</firstFooter>
  </headerFooter>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28" sqref="F28:G2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1" t="str">
        <f>COVER!A17</f>
        <v>New Berlin CUSD 16</v>
      </c>
      <c r="J6" s="2312"/>
      <c r="Q6" s="1664"/>
    </row>
    <row r="7" spans="1:17" x14ac:dyDescent="0.2">
      <c r="A7" s="2313" t="s">
        <v>869</v>
      </c>
      <c r="B7" s="2314"/>
      <c r="C7" s="2314"/>
      <c r="D7" s="2314"/>
      <c r="E7" s="2315"/>
      <c r="F7" s="1017"/>
      <c r="G7" s="1009"/>
      <c r="H7" s="1016" t="s">
        <v>372</v>
      </c>
      <c r="I7" s="2316">
        <f>COVER!A13</f>
        <v>51084016026</v>
      </c>
      <c r="J7" s="231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7" t="s">
        <v>481</v>
      </c>
      <c r="B11" s="2318"/>
      <c r="C11" s="231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208099</v>
      </c>
      <c r="F12" s="1039"/>
      <c r="G12" s="1811">
        <f t="shared" ref="G12:G18" si="0">SUM(E12:F12)</f>
        <v>208099</v>
      </c>
      <c r="H12" s="1040">
        <v>215893</v>
      </c>
      <c r="I12" s="1039"/>
      <c r="J12" s="1811">
        <f t="shared" ref="J12:J18" si="1">SUM(H12:I12)</f>
        <v>215893</v>
      </c>
    </row>
    <row r="13" spans="1:17" ht="15" customHeight="1" x14ac:dyDescent="0.2">
      <c r="A13" s="1035">
        <v>2</v>
      </c>
      <c r="B13" s="1036" t="s">
        <v>42</v>
      </c>
      <c r="C13" s="1037"/>
      <c r="D13" s="1038">
        <v>2330</v>
      </c>
      <c r="E13" s="1811">
        <f>'Expenditures 15-22'!K51</f>
        <v>1843</v>
      </c>
      <c r="F13" s="1039"/>
      <c r="G13" s="1811">
        <f t="shared" si="0"/>
        <v>1843</v>
      </c>
      <c r="H13" s="1040">
        <v>7333</v>
      </c>
      <c r="I13" s="1039"/>
      <c r="J13" s="1811">
        <f t="shared" si="1"/>
        <v>7333</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0" t="s">
        <v>7</v>
      </c>
      <c r="C18" s="2321"/>
      <c r="D18" s="232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209942</v>
      </c>
      <c r="F19" s="1813">
        <f t="shared" si="2"/>
        <v>0</v>
      </c>
      <c r="G19" s="1813">
        <f t="shared" si="2"/>
        <v>209942</v>
      </c>
      <c r="H19" s="1813">
        <f t="shared" si="2"/>
        <v>223226</v>
      </c>
      <c r="I19" s="1813">
        <f t="shared" si="2"/>
        <v>0</v>
      </c>
      <c r="J19" s="1813">
        <f t="shared" si="2"/>
        <v>223226</v>
      </c>
    </row>
    <row r="20" spans="1:10" ht="13.5" thickTop="1" x14ac:dyDescent="0.2">
      <c r="A20" s="1035">
        <v>9</v>
      </c>
      <c r="B20" s="2323" t="s">
        <v>1981</v>
      </c>
      <c r="C20" s="2323"/>
      <c r="D20" s="2324"/>
      <c r="E20" s="1046"/>
      <c r="F20" s="1046"/>
      <c r="G20" s="1046"/>
      <c r="H20" s="1046"/>
      <c r="I20" s="1046"/>
      <c r="J20" s="1814">
        <f>IF(AND(G19&gt;0,J19&gt;0),(((J19-G19)/G19)),"Enter Budget Data")</f>
        <v>6.3274618704213539E-2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29"/>
      <c r="D26" s="2329"/>
      <c r="E26" s="1050"/>
      <c r="F26" s="2328">
        <v>43748</v>
      </c>
      <c r="G26" s="2328"/>
    </row>
    <row r="27" spans="1:10" x14ac:dyDescent="0.2">
      <c r="B27" s="1047"/>
      <c r="C27" s="1051" t="s">
        <v>1033</v>
      </c>
      <c r="D27" s="1052"/>
      <c r="E27" s="1053"/>
      <c r="F27" s="2325" t="s">
        <v>1509</v>
      </c>
      <c r="G27" s="2325"/>
    </row>
    <row r="28" spans="1:10" ht="28.5" customHeight="1" x14ac:dyDescent="0.2">
      <c r="B28" s="1047"/>
      <c r="C28" s="2327" t="s">
        <v>2260</v>
      </c>
      <c r="D28" s="2327"/>
      <c r="E28" s="1054"/>
      <c r="F28" s="2327" t="s">
        <v>2071</v>
      </c>
      <c r="G28" s="2327"/>
    </row>
    <row r="29" spans="1:10" x14ac:dyDescent="0.2">
      <c r="B29" s="1047"/>
      <c r="C29" s="1055" t="s">
        <v>1561</v>
      </c>
      <c r="E29" s="1056"/>
      <c r="F29" s="2326" t="s">
        <v>1510</v>
      </c>
      <c r="G29" s="232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08" t="s">
        <v>132</v>
      </c>
      <c r="D33" s="2309"/>
      <c r="E33" s="2309"/>
      <c r="F33" s="2309"/>
      <c r="G33" s="2309"/>
      <c r="H33" s="2309"/>
      <c r="I33" s="2309"/>
    </row>
    <row r="34" spans="1:10" ht="10.35" customHeight="1" x14ac:dyDescent="0.2">
      <c r="C34" s="2309"/>
      <c r="D34" s="2309"/>
      <c r="E34" s="2309"/>
      <c r="F34" s="2309"/>
      <c r="G34" s="2309"/>
      <c r="H34" s="2309"/>
      <c r="I34" s="2309"/>
    </row>
    <row r="35" spans="1:10" ht="7.5" customHeight="1" x14ac:dyDescent="0.2">
      <c r="C35" s="1062"/>
    </row>
    <row r="36" spans="1:10" ht="13.5" customHeight="1" x14ac:dyDescent="0.2">
      <c r="B36" s="1061"/>
      <c r="C36" s="2310" t="s">
        <v>1983</v>
      </c>
      <c r="D36" s="2309"/>
      <c r="E36" s="2309"/>
      <c r="F36" s="2309"/>
      <c r="G36" s="2309"/>
      <c r="H36" s="2309"/>
      <c r="I36" s="2309"/>
      <c r="J36" s="1063"/>
    </row>
    <row r="37" spans="1:10" ht="22.5" customHeight="1" x14ac:dyDescent="0.2">
      <c r="C37" s="2309"/>
      <c r="D37" s="2309"/>
      <c r="E37" s="2309"/>
      <c r="F37" s="2309"/>
      <c r="G37" s="2309"/>
      <c r="H37" s="2309"/>
      <c r="I37" s="2309"/>
      <c r="J37" s="1063"/>
    </row>
    <row r="38" spans="1:10" ht="7.5" customHeight="1" x14ac:dyDescent="0.2">
      <c r="C38" s="1062"/>
      <c r="D38" s="1064"/>
      <c r="E38" s="1065"/>
      <c r="F38" s="1066"/>
      <c r="G38" s="1065"/>
    </row>
    <row r="39" spans="1:10" ht="13.5" customHeight="1" x14ac:dyDescent="0.2">
      <c r="B39" s="1061" t="s">
        <v>2080</v>
      </c>
      <c r="C39" s="2306" t="s">
        <v>882</v>
      </c>
      <c r="D39" s="2307"/>
      <c r="E39" s="2307"/>
      <c r="F39" s="2307"/>
      <c r="G39" s="2307"/>
      <c r="H39" s="2307"/>
      <c r="I39" s="230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5" top="1.25" bottom="0.5" header="0.75" footer="0.5"/>
  <pageSetup scale="85" firstPageNumber="31" orientation="landscape" useFirstPageNumber="1" r:id="rId1"/>
  <headerFooter alignWithMargins="0">
    <oddHeader>&amp;L&amp;8Page 32&amp;C &amp;R&amp;8Page 32</oddHeader>
    <oddFooter>&amp;L&amp;F&amp;CReference should be made to the accountant's report regarding this information.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1"/>
  <sheetViews>
    <sheetView showGridLines="0" view="pageBreakPreview" zoomScale="60" zoomScaleNormal="100" workbookViewId="0">
      <selection activeCell="D18" sqref="D18"/>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333" t="s">
        <v>1818</v>
      </c>
      <c r="B4" s="2334"/>
      <c r="C4" s="2334"/>
      <c r="D4" s="2334"/>
      <c r="E4" s="2334"/>
      <c r="F4" s="2334"/>
      <c r="G4" s="2335"/>
    </row>
    <row r="5" spans="1:7" x14ac:dyDescent="0.25">
      <c r="A5" s="2336"/>
      <c r="B5" s="2337"/>
      <c r="C5" s="2337"/>
      <c r="D5" s="2337"/>
      <c r="E5" s="2337"/>
      <c r="F5" s="2337"/>
      <c r="G5" s="2338"/>
    </row>
    <row r="6" spans="1:7" ht="18.75" x14ac:dyDescent="0.25">
      <c r="A6" s="1534" t="s">
        <v>1819</v>
      </c>
      <c r="B6" s="1535"/>
      <c r="C6" s="1535"/>
      <c r="D6" s="1535"/>
      <c r="E6" s="1535"/>
      <c r="F6" s="1535"/>
      <c r="G6" s="1536"/>
    </row>
    <row r="7" spans="1:7" ht="30.75" customHeight="1" x14ac:dyDescent="0.25">
      <c r="A7" s="2339" t="s">
        <v>1932</v>
      </c>
      <c r="B7" s="2340"/>
      <c r="C7" s="2340"/>
      <c r="D7" s="2340"/>
      <c r="E7" s="2340"/>
      <c r="F7" s="2340"/>
      <c r="G7" s="2341"/>
    </row>
    <row r="8" spans="1:7" ht="15.75" customHeight="1" x14ac:dyDescent="0.25">
      <c r="A8" s="2342" t="s">
        <v>1907</v>
      </c>
      <c r="B8" s="2343"/>
      <c r="C8" s="2343"/>
      <c r="D8" s="2343"/>
      <c r="E8" s="2343"/>
      <c r="F8" s="2343"/>
      <c r="G8" s="2344"/>
    </row>
    <row r="9" spans="1:7" ht="35.25" customHeight="1" x14ac:dyDescent="0.25">
      <c r="A9" s="2339" t="s">
        <v>1935</v>
      </c>
      <c r="B9" s="2340"/>
      <c r="C9" s="2340"/>
      <c r="D9" s="2340"/>
      <c r="E9" s="2340"/>
      <c r="F9" s="2340"/>
      <c r="G9" s="2341"/>
    </row>
    <row r="10" spans="1:7" ht="15" customHeight="1" x14ac:dyDescent="0.25">
      <c r="A10" s="1537" t="s">
        <v>1820</v>
      </c>
      <c r="B10" s="1538"/>
      <c r="C10" s="1538"/>
      <c r="D10" s="1538"/>
      <c r="E10" s="1538"/>
      <c r="F10" s="1538"/>
      <c r="G10" s="1539"/>
    </row>
    <row r="11" spans="1:7" ht="17.25" customHeight="1" x14ac:dyDescent="0.25">
      <c r="A11" s="2339" t="s">
        <v>1934</v>
      </c>
      <c r="B11" s="2340"/>
      <c r="C11" s="2340"/>
      <c r="D11" s="2340"/>
      <c r="E11" s="2340"/>
      <c r="F11" s="2340"/>
      <c r="G11" s="2341"/>
    </row>
    <row r="12" spans="1:7" ht="15" customHeight="1" x14ac:dyDescent="0.25">
      <c r="A12" s="1537" t="s">
        <v>1825</v>
      </c>
      <c r="B12" s="1538"/>
      <c r="C12" s="1538"/>
      <c r="D12" s="1538"/>
      <c r="E12" s="1538"/>
      <c r="F12" s="1538"/>
      <c r="G12" s="1539"/>
    </row>
    <row r="13" spans="1:7" ht="32.25" customHeight="1" x14ac:dyDescent="0.25">
      <c r="A13" s="2330" t="s">
        <v>1976</v>
      </c>
      <c r="B13" s="2331"/>
      <c r="C13" s="2331"/>
      <c r="D13" s="2331"/>
      <c r="E13" s="2331"/>
      <c r="F13" s="2331"/>
      <c r="G13" s="2332"/>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2085</v>
      </c>
      <c r="B17" s="1938" t="s">
        <v>2085</v>
      </c>
      <c r="C17" s="1939" t="s">
        <v>2085</v>
      </c>
      <c r="D17" s="1844">
        <v>0</v>
      </c>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rintOptions horizontalCentered="1"/>
  <pageMargins left="0.5" right="0.5" top="0.75" bottom="0.75" header="0.5" footer="0.5"/>
  <pageSetup scale="70" firstPageNumber="30" fitToHeight="0" orientation="landscape" r:id="rId1"/>
  <headerFooter>
    <oddFooter>&amp;L&amp;F&amp;CReference should be made to the accountant's report regarding this information.</oddFooter>
  </headerFooter>
  <rowBreaks count="1" manualBreakCount="1">
    <brk id="42"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topLeftCell="B1" zoomScale="110" zoomScaleNormal="110" workbookViewId="0">
      <pane ySplit="4" topLeftCell="A5" activePane="bottomLeft" state="frozen"/>
      <selection activeCell="A47" sqref="A47"/>
      <selection pane="bottomLeft" activeCell="F22" sqref="F2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7109375" style="1878" bestFit="1" customWidth="1"/>
    <col min="9" max="10" width="4" style="1878" bestFit="1" customWidth="1"/>
    <col min="11" max="11" width="9" style="1878" customWidth="1"/>
    <col min="12" max="16384" width="9.140625" style="1847"/>
  </cols>
  <sheetData>
    <row r="1" spans="1:10" x14ac:dyDescent="0.2">
      <c r="A1" s="2348" t="s">
        <v>1379</v>
      </c>
      <c r="B1" s="2348"/>
      <c r="C1" s="2348"/>
      <c r="D1" s="2348"/>
      <c r="E1" s="2348"/>
      <c r="F1" s="2348"/>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49" t="s">
        <v>1546</v>
      </c>
      <c r="B5" s="2350"/>
      <c r="C5" s="2351"/>
      <c r="D5" s="2351"/>
      <c r="E5" s="2351"/>
      <c r="F5" s="2351"/>
    </row>
    <row r="6" spans="1:10" ht="12" customHeight="1" x14ac:dyDescent="0.25">
      <c r="A6" s="1850"/>
      <c r="B6" s="1851"/>
      <c r="C6" s="2352" t="str">
        <f>COVER!A17</f>
        <v>New Berlin CUSD 16</v>
      </c>
      <c r="D6" s="2352"/>
      <c r="E6" s="2352"/>
      <c r="F6" s="1852"/>
    </row>
    <row r="7" spans="1:10" ht="11.25" customHeight="1" thickBot="1" x14ac:dyDescent="0.3">
      <c r="A7" s="1850"/>
      <c r="B7" s="1851"/>
      <c r="C7" s="2353">
        <f>COVER!A13</f>
        <v>51084016026</v>
      </c>
      <c r="D7" s="2353"/>
      <c r="E7" s="2353"/>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2080</v>
      </c>
      <c r="D26" s="1865" t="s">
        <v>2080</v>
      </c>
      <c r="E26" s="1868" t="s">
        <v>2080</v>
      </c>
      <c r="F26" s="1867" t="s">
        <v>2086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2080</v>
      </c>
      <c r="D31" s="1865" t="s">
        <v>2080</v>
      </c>
      <c r="E31" s="1868" t="s">
        <v>2080</v>
      </c>
      <c r="F31" s="1867" t="s">
        <v>2087</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54"/>
      <c r="D35" s="2354"/>
      <c r="E35" s="2354"/>
      <c r="F35" s="2355"/>
    </row>
    <row r="36" spans="1:11" ht="12" customHeight="1" x14ac:dyDescent="0.2">
      <c r="A36" s="2345"/>
      <c r="B36" s="2346"/>
      <c r="C36" s="2346"/>
      <c r="D36" s="2346"/>
      <c r="E36" s="2346"/>
      <c r="F36" s="2347"/>
    </row>
    <row r="37" spans="1:11" ht="12" customHeight="1" x14ac:dyDescent="0.2">
      <c r="A37" s="2345"/>
      <c r="B37" s="2346"/>
      <c r="C37" s="2346"/>
      <c r="D37" s="2346"/>
      <c r="E37" s="2346"/>
      <c r="F37" s="2347"/>
    </row>
    <row r="38" spans="1:11" ht="12" customHeight="1" x14ac:dyDescent="0.2">
      <c r="A38" s="2359"/>
      <c r="B38" s="2360"/>
      <c r="C38" s="2360"/>
      <c r="D38" s="2360"/>
      <c r="E38" s="2360"/>
      <c r="F38" s="2361"/>
    </row>
    <row r="39" spans="1:11" ht="4.5" hidden="1" customHeight="1" x14ac:dyDescent="0.2">
      <c r="A39" s="1873"/>
      <c r="B39" s="1873"/>
      <c r="C39" s="1873"/>
      <c r="D39" s="1873"/>
      <c r="E39" s="1873"/>
      <c r="F39" s="1873"/>
    </row>
    <row r="40" spans="1:11" s="1870" customFormat="1" ht="12" customHeight="1" x14ac:dyDescent="0.25">
      <c r="A40" s="1874" t="s">
        <v>1391</v>
      </c>
      <c r="B40" s="1875"/>
      <c r="C40" s="2362"/>
      <c r="D40" s="2362"/>
      <c r="E40" s="2362"/>
      <c r="F40" s="2363"/>
      <c r="H40" s="1879"/>
      <c r="I40" s="1879"/>
      <c r="J40" s="1879"/>
      <c r="K40" s="1879"/>
    </row>
    <row r="41" spans="1:11" s="1870" customFormat="1" ht="12" customHeight="1" x14ac:dyDescent="0.25">
      <c r="A41" s="2364"/>
      <c r="B41" s="2365"/>
      <c r="C41" s="2365"/>
      <c r="D41" s="2365"/>
      <c r="E41" s="2365"/>
      <c r="F41" s="2366"/>
      <c r="H41" s="1879"/>
      <c r="I41" s="1879"/>
      <c r="J41" s="1879"/>
      <c r="K41" s="1879"/>
    </row>
    <row r="42" spans="1:11" s="1870" customFormat="1" ht="12" customHeight="1" x14ac:dyDescent="0.25">
      <c r="A42" s="2364"/>
      <c r="B42" s="2365"/>
      <c r="C42" s="2365"/>
      <c r="D42" s="2365"/>
      <c r="E42" s="2365"/>
      <c r="F42" s="2366"/>
      <c r="H42" s="1879"/>
      <c r="I42" s="1879"/>
      <c r="J42" s="1879"/>
      <c r="K42" s="1879"/>
    </row>
    <row r="43" spans="1:11" s="1870" customFormat="1" ht="15" x14ac:dyDescent="0.25">
      <c r="A43" s="2356"/>
      <c r="B43" s="2357"/>
      <c r="C43" s="2357"/>
      <c r="D43" s="2357"/>
      <c r="E43" s="2357"/>
      <c r="F43" s="2358"/>
      <c r="H43" s="1879"/>
      <c r="I43" s="1879"/>
      <c r="J43" s="1879"/>
      <c r="K43" s="1879"/>
    </row>
    <row r="44" spans="1:11" s="1870" customFormat="1" ht="12" hidden="1" customHeight="1" x14ac:dyDescent="0.25">
      <c r="A44" s="2356"/>
      <c r="B44" s="2357"/>
      <c r="C44" s="2357"/>
      <c r="D44" s="2357"/>
      <c r="E44" s="2357"/>
      <c r="F44" s="2358"/>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25" bottom="0.5" header="0.75" footer="0.5"/>
  <pageSetup scale="78" orientation="landscape" r:id="rId1"/>
  <headerFooter>
    <oddFooter>&amp;L&amp;F&amp;C&amp;8Reference should be made to the accountant's report regarding this information.</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25:F32"/>
  <sheetViews>
    <sheetView showGridLines="0" zoomScale="110" zoomScaleNormal="110" workbookViewId="0">
      <selection activeCell="B13" sqref="B13"/>
    </sheetView>
  </sheetViews>
  <sheetFormatPr defaultColWidth="9.140625" defaultRowHeight="12.75" x14ac:dyDescent="0.2"/>
  <cols>
    <col min="1" max="1" width="1.85546875" style="329" customWidth="1"/>
    <col min="2" max="2" width="59.7109375" style="329" customWidth="1"/>
    <col min="3" max="16384" width="9.140625" style="329"/>
  </cols>
  <sheetData>
    <row r="25" spans="1:6" x14ac:dyDescent="0.2">
      <c r="B25" s="1071"/>
      <c r="C25" s="1071"/>
      <c r="D25" s="1071"/>
      <c r="E25" s="1071"/>
      <c r="F25" s="1071"/>
    </row>
    <row r="27" spans="1:6" x14ac:dyDescent="0.2">
      <c r="A27" s="1072" t="s">
        <v>1493</v>
      </c>
    </row>
    <row r="29" spans="1:6" x14ac:dyDescent="0.2">
      <c r="A29" s="389" t="s">
        <v>857</v>
      </c>
    </row>
    <row r="30" spans="1:6" s="1071" customFormat="1" ht="45" customHeight="1" x14ac:dyDescent="0.2">
      <c r="A30" s="1073"/>
      <c r="B30" s="1073" t="s">
        <v>1684</v>
      </c>
    </row>
    <row r="31" spans="1:6" ht="6" customHeight="1" x14ac:dyDescent="0.2"/>
    <row r="32" spans="1:6" ht="24.75" customHeight="1" x14ac:dyDescent="0.2">
      <c r="A32" s="2367" t="s">
        <v>1685</v>
      </c>
      <c r="B32" s="2367"/>
    </row>
  </sheetData>
  <sheetProtection selectLockedCells="1"/>
  <mergeCells count="1">
    <mergeCell ref="A32:B32"/>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52225" r:id="rId4">
          <objectPr defaultSize="0" autoPict="0" r:id="rId5">
            <anchor moveWithCells="1">
              <from>
                <xdr:col>1</xdr:col>
                <xdr:colOff>371475</xdr:colOff>
                <xdr:row>3</xdr:row>
                <xdr:rowOff>19050</xdr:rowOff>
              </from>
              <to>
                <xdr:col>1</xdr:col>
                <xdr:colOff>1104900</xdr:colOff>
                <xdr:row>6</xdr:row>
                <xdr:rowOff>123825</xdr:rowOff>
              </to>
            </anchor>
          </objectPr>
        </oleObject>
      </mc:Choice>
      <mc:Fallback>
        <oleObject progId="PDF" dvAspect="DVASPECT_ICON" shapeId="52225" r:id="rId4"/>
      </mc:Fallback>
    </mc:AlternateContent>
    <mc:AlternateContent xmlns:mc="http://schemas.openxmlformats.org/markup-compatibility/2006">
      <mc:Choice Requires="x14">
        <oleObject progId="PDF" dvAspect="DVASPECT_ICON" shapeId="52226" r:id="rId6">
          <objectPr defaultSize="0" autoPict="0" r:id="rId7">
            <anchor moveWithCells="1">
              <from>
                <xdr:col>1</xdr:col>
                <xdr:colOff>133350</xdr:colOff>
                <xdr:row>8</xdr:row>
                <xdr:rowOff>142875</xdr:rowOff>
              </from>
              <to>
                <xdr:col>1</xdr:col>
                <xdr:colOff>866775</xdr:colOff>
                <xdr:row>12</xdr:row>
                <xdr:rowOff>95250</xdr:rowOff>
              </to>
            </anchor>
          </objectPr>
        </oleObject>
      </mc:Choice>
      <mc:Fallback>
        <oleObject progId="PDF" dvAspect="DVASPECT_ICON" shapeId="52226" r:id="rId6"/>
      </mc:Fallback>
    </mc:AlternateContent>
    <mc:AlternateContent xmlns:mc="http://schemas.openxmlformats.org/markup-compatibility/2006">
      <mc:Choice Requires="x14">
        <oleObject progId="PDF" dvAspect="DVASPECT_ICON" shapeId="52227" r:id="rId8">
          <objectPr defaultSize="0" altText="Notes" r:id="rId9">
            <anchor moveWithCells="1">
              <from>
                <xdr:col>1</xdr:col>
                <xdr:colOff>0</xdr:colOff>
                <xdr:row>16</xdr:row>
                <xdr:rowOff>0</xdr:rowOff>
              </from>
              <to>
                <xdr:col>1</xdr:col>
                <xdr:colOff>733425</xdr:colOff>
                <xdr:row>19</xdr:row>
                <xdr:rowOff>114300</xdr:rowOff>
              </to>
            </anchor>
          </objectPr>
        </oleObject>
      </mc:Choice>
      <mc:Fallback>
        <oleObject progId="PDF" dvAspect="DVASPECT_ICON" shapeId="52227" r:id="rId8"/>
      </mc:Fallback>
    </mc:AlternateContent>
    <mc:AlternateContent xmlns:mc="http://schemas.openxmlformats.org/markup-compatibility/2006">
      <mc:Choice Requires="x14">
        <oleObject progId="Acrobat Document" dvAspect="DVASPECT_ICON" shapeId="52228" r:id="rId10">
          <objectPr defaultSize="0" r:id="rId11">
            <anchor moveWithCells="1">
              <from>
                <xdr:col>1</xdr:col>
                <xdr:colOff>1438275</xdr:colOff>
                <xdr:row>3</xdr:row>
                <xdr:rowOff>28575</xdr:rowOff>
              </from>
              <to>
                <xdr:col>1</xdr:col>
                <xdr:colOff>2352675</xdr:colOff>
                <xdr:row>7</xdr:row>
                <xdr:rowOff>152400</xdr:rowOff>
              </to>
            </anchor>
          </objectPr>
        </oleObject>
      </mc:Choice>
      <mc:Fallback>
        <oleObject progId="Acrobat Document" dvAspect="DVASPECT_ICON" shapeId="52228" r:id="rId10"/>
      </mc:Fallback>
    </mc:AlternateContent>
    <mc:AlternateContent xmlns:mc="http://schemas.openxmlformats.org/markup-compatibility/2006">
      <mc:Choice Requires="x14">
        <oleObject progId="Acrobat Document" dvAspect="DVASPECT_ICON" shapeId="52229" r:id="rId12">
          <objectPr defaultSize="0" r:id="rId13">
            <anchor moveWithCells="1">
              <from>
                <xdr:col>1</xdr:col>
                <xdr:colOff>1123950</xdr:colOff>
                <xdr:row>9</xdr:row>
                <xdr:rowOff>28575</xdr:rowOff>
              </from>
              <to>
                <xdr:col>1</xdr:col>
                <xdr:colOff>2038350</xdr:colOff>
                <xdr:row>13</xdr:row>
                <xdr:rowOff>152400</xdr:rowOff>
              </to>
            </anchor>
          </objectPr>
        </oleObject>
      </mc:Choice>
      <mc:Fallback>
        <oleObject progId="Acrobat Document" dvAspect="DVASPECT_ICON" shapeId="52229" r:id="rId12"/>
      </mc:Fallback>
    </mc:AlternateContent>
    <mc:AlternateContent xmlns:mc="http://schemas.openxmlformats.org/markup-compatibility/2006">
      <mc:Choice Requires="x14">
        <oleObject progId="Acrobat Document" dvAspect="DVASPECT_ICON" shapeId="52230" r:id="rId14">
          <objectPr defaultSize="0" r:id="rId15">
            <anchor moveWithCells="1">
              <from>
                <xdr:col>1</xdr:col>
                <xdr:colOff>1114425</xdr:colOff>
                <xdr:row>14</xdr:row>
                <xdr:rowOff>152400</xdr:rowOff>
              </from>
              <to>
                <xdr:col>1</xdr:col>
                <xdr:colOff>2028825</xdr:colOff>
                <xdr:row>19</xdr:row>
                <xdr:rowOff>114300</xdr:rowOff>
              </to>
            </anchor>
          </objectPr>
        </oleObject>
      </mc:Choice>
      <mc:Fallback>
        <oleObject progId="Acrobat Document" dvAspect="DVASPECT_ICON" shapeId="52230" r:id="rId1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4"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8" t="s">
        <v>665</v>
      </c>
      <c r="B3" s="2369"/>
      <c r="C3" s="2369"/>
      <c r="D3" s="2370"/>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9" t="s">
        <v>1504</v>
      </c>
      <c r="D7" s="2380"/>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1" t="s">
        <v>1008</v>
      </c>
      <c r="B15" s="2372"/>
      <c r="C15" s="2372"/>
      <c r="D15" s="2373"/>
    </row>
    <row r="16" spans="1:4" s="668" customFormat="1" ht="24" customHeight="1" x14ac:dyDescent="0.2">
      <c r="A16" s="2374" t="s">
        <v>663</v>
      </c>
      <c r="B16" s="2375"/>
      <c r="C16" s="2375"/>
      <c r="D16" s="2376"/>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3" t="s">
        <v>314</v>
      </c>
      <c r="D21" s="2384"/>
    </row>
    <row r="22" spans="1:10" ht="12.75" x14ac:dyDescent="0.2">
      <c r="A22" s="1139"/>
      <c r="B22" s="1140">
        <v>2</v>
      </c>
      <c r="C22" s="2381" t="s">
        <v>1524</v>
      </c>
      <c r="D22" s="2382"/>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5" t="s">
        <v>536</v>
      </c>
      <c r="D43" s="2386"/>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7" t="s">
        <v>784</v>
      </c>
      <c r="D56" s="2378"/>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7" t="s">
        <v>1696</v>
      </c>
      <c r="D70" s="2378"/>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51084016026</v>
      </c>
    </row>
    <row r="3" spans="1:2" x14ac:dyDescent="0.2">
      <c r="A3" t="s">
        <v>956</v>
      </c>
      <c r="B3" s="138" t="str">
        <f>COVER!A15</f>
        <v>Sangamon and Morgan</v>
      </c>
    </row>
    <row r="4" spans="1:2" x14ac:dyDescent="0.2">
      <c r="A4" t="s">
        <v>1007</v>
      </c>
      <c r="B4" s="138" t="str">
        <f>COVER!A17</f>
        <v>New Berlin CUSD 16</v>
      </c>
    </row>
    <row r="5" spans="1:2" x14ac:dyDescent="0.2">
      <c r="A5" t="s">
        <v>704</v>
      </c>
      <c r="B5" s="138" t="str">
        <f>COVER!A38</f>
        <v>Adam Ehrman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066-003847</v>
      </c>
    </row>
    <row r="16" spans="1:2" x14ac:dyDescent="0.2">
      <c r="A16" t="s">
        <v>422</v>
      </c>
      <c r="B16" s="138" t="str">
        <f>COVER!T13</f>
        <v xml:space="preserve">LMHN, Ltd. CPA's </v>
      </c>
    </row>
    <row r="17" spans="1:2" x14ac:dyDescent="0.2">
      <c r="A17" t="s">
        <v>884</v>
      </c>
      <c r="B17" s="138" t="str">
        <f>COVER!T15</f>
        <v>Richard K. Hooper</v>
      </c>
    </row>
    <row r="18" spans="1:2" x14ac:dyDescent="0.2">
      <c r="A18" t="s">
        <v>1150</v>
      </c>
      <c r="B18" s="138" t="str">
        <f>COVER!T17</f>
        <v>900 N. Webster, PO Box 87</v>
      </c>
    </row>
    <row r="19" spans="1:2" x14ac:dyDescent="0.2">
      <c r="A19" t="s">
        <v>886</v>
      </c>
      <c r="B19" s="138" t="str">
        <f>COVER!T25</f>
        <v>rkh_cpa@yahoo,com</v>
      </c>
    </row>
    <row r="20" spans="1:2" x14ac:dyDescent="0.2">
      <c r="A20" t="s">
        <v>887</v>
      </c>
      <c r="B20" s="138" t="str">
        <f>COVER!T19</f>
        <v>Taylorville</v>
      </c>
    </row>
    <row r="21" spans="1:2" x14ac:dyDescent="0.2">
      <c r="A21" t="s">
        <v>479</v>
      </c>
      <c r="B21" s="138" t="str">
        <f>COVER!X19</f>
        <v>IL</v>
      </c>
    </row>
    <row r="22" spans="1:2" x14ac:dyDescent="0.2">
      <c r="A22" t="s">
        <v>888</v>
      </c>
      <c r="B22" s="138">
        <f>COVER!Z19</f>
        <v>62568</v>
      </c>
    </row>
    <row r="23" spans="1:2" x14ac:dyDescent="0.2">
      <c r="A23" t="s">
        <v>1152</v>
      </c>
      <c r="B23" s="138">
        <f>COVER!T21</f>
        <v>2178249661</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35796</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3953908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6526528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6352355</v>
      </c>
      <c r="D92" s="2" t="str">
        <f t="shared" si="0"/>
        <v>Error?</v>
      </c>
    </row>
    <row r="93" spans="1:4" x14ac:dyDescent="0.2">
      <c r="A93" s="5">
        <v>32</v>
      </c>
      <c r="B93" s="138">
        <f>'Assets-Liab 5-6'!C41</f>
        <v>6526528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1852868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2296343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2296343</v>
      </c>
      <c r="D123" s="2" t="str">
        <f t="shared" si="0"/>
        <v>Error?</v>
      </c>
    </row>
    <row r="124" spans="1:4" x14ac:dyDescent="0.2">
      <c r="A124" s="5">
        <v>63</v>
      </c>
      <c r="B124" s="138">
        <f>'Assets-Liab 5-6'!D41</f>
        <v>2296343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111422</v>
      </c>
      <c r="D129" s="2" t="str">
        <f t="shared" si="1"/>
        <v>Error?</v>
      </c>
    </row>
    <row r="130" spans="1:4" x14ac:dyDescent="0.2">
      <c r="A130" s="5">
        <v>69</v>
      </c>
      <c r="B130" s="138">
        <f>'Assets-Liab 5-6'!E12</f>
        <v>0</v>
      </c>
      <c r="D130" s="2" t="str">
        <f t="shared" si="1"/>
        <v>Error?</v>
      </c>
    </row>
    <row r="131" spans="1:4" x14ac:dyDescent="0.2">
      <c r="A131" s="5">
        <v>70</v>
      </c>
      <c r="B131" s="138">
        <f>'Assets-Liab 5-6'!E13</f>
        <v>860256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860256</v>
      </c>
      <c r="D140" s="2" t="str">
        <f t="shared" si="1"/>
        <v>Error?</v>
      </c>
    </row>
    <row r="141" spans="1:4" x14ac:dyDescent="0.2">
      <c r="A141" s="5">
        <v>80</v>
      </c>
      <c r="B141" s="138">
        <f>'Assets-Liab 5-6'!E41</f>
        <v>860256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250418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799569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799569</v>
      </c>
      <c r="D170" s="2" t="str">
        <f t="shared" si="1"/>
        <v>Error?</v>
      </c>
    </row>
    <row r="171" spans="1:4" x14ac:dyDescent="0.2">
      <c r="A171" s="5">
        <v>110</v>
      </c>
      <c r="B171" s="138">
        <f>'Assets-Liab 5-6'!F41</f>
        <v>799569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50647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198555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198555</v>
      </c>
      <c r="D189" s="2" t="str">
        <f t="shared" si="1"/>
        <v>Error?</v>
      </c>
    </row>
    <row r="190" spans="1:4" x14ac:dyDescent="0.2">
      <c r="A190" s="5">
        <v>129</v>
      </c>
      <c r="B190" s="138">
        <f>'Assets-Liab 5-6'!G41</f>
        <v>198555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36590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36590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434100</v>
      </c>
      <c r="D273" s="2" t="str">
        <f t="shared" si="3"/>
        <v>Error?</v>
      </c>
    </row>
    <row r="274" spans="1:4" x14ac:dyDescent="0.2">
      <c r="A274" s="5">
        <v>213</v>
      </c>
      <c r="B274" s="138">
        <f>'Assets-Liab 5-6'!M17</f>
        <v>21096489</v>
      </c>
      <c r="D274" s="2" t="str">
        <f t="shared" si="3"/>
        <v>Error?</v>
      </c>
    </row>
    <row r="275" spans="1:4" x14ac:dyDescent="0.2">
      <c r="A275" s="5">
        <v>214</v>
      </c>
      <c r="B275" s="138">
        <f>'Assets-Liab 5-6'!M18</f>
        <v>0</v>
      </c>
      <c r="D275" s="2" t="str">
        <f t="shared" si="3"/>
        <v>Error?</v>
      </c>
    </row>
    <row r="276" spans="1:4" x14ac:dyDescent="0.2">
      <c r="A276" s="5">
        <v>215</v>
      </c>
      <c r="B276" s="138">
        <f>'Assets-Liab 5-6'!M19</f>
        <v>4041921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25572510</v>
      </c>
      <c r="C279" s="2" t="s">
        <v>573</v>
      </c>
      <c r="D279" s="2" t="str">
        <f t="shared" si="3"/>
        <v>Error?</v>
      </c>
    </row>
    <row r="280" spans="1:4" x14ac:dyDescent="0.2">
      <c r="A280" s="5">
        <v>219</v>
      </c>
      <c r="B280" s="138">
        <f>'Assets-Liab 5-6'!M40</f>
        <v>25572510</v>
      </c>
      <c r="D280" s="2" t="str">
        <f t="shared" si="3"/>
        <v>Error?</v>
      </c>
    </row>
    <row r="281" spans="1:4" x14ac:dyDescent="0.2">
      <c r="A281" s="5">
        <v>220</v>
      </c>
      <c r="B281" s="138">
        <f>'Assets-Liab 5-6'!M41</f>
        <v>25572510</v>
      </c>
      <c r="C281" s="2" t="s">
        <v>573</v>
      </c>
      <c r="D281" s="2" t="str">
        <f t="shared" si="3"/>
        <v>Error?</v>
      </c>
    </row>
    <row r="282" spans="1:4" x14ac:dyDescent="0.2">
      <c r="A282" s="5">
        <v>221</v>
      </c>
      <c r="B282" s="138">
        <f>'Assets-Liab 5-6'!N21</f>
        <v>860256</v>
      </c>
      <c r="D282" s="2" t="str">
        <f t="shared" si="3"/>
        <v>Error?</v>
      </c>
    </row>
    <row r="283" spans="1:4" x14ac:dyDescent="0.2">
      <c r="A283" s="5">
        <v>222</v>
      </c>
      <c r="B283" s="138">
        <f>'Assets-Liab 5-6'!N22</f>
        <v>9807844</v>
      </c>
      <c r="D283" s="2" t="str">
        <f t="shared" si="3"/>
        <v>Error?</v>
      </c>
    </row>
    <row r="284" spans="1:4" x14ac:dyDescent="0.2">
      <c r="A284" s="5">
        <v>223</v>
      </c>
      <c r="B284" s="138">
        <f>'Assets-Liab 5-6'!N23</f>
        <v>10668100</v>
      </c>
      <c r="C284" s="2" t="s">
        <v>573</v>
      </c>
      <c r="D284" s="2" t="str">
        <f t="shared" si="3"/>
        <v>Error?</v>
      </c>
    </row>
    <row r="285" spans="1:4" x14ac:dyDescent="0.2">
      <c r="A285" s="5">
        <v>224</v>
      </c>
      <c r="B285" s="138">
        <f>'Assets-Liab 5-6'!N36</f>
        <v>10668100</v>
      </c>
      <c r="D285" s="2" t="str">
        <f t="shared" si="3"/>
        <v>Error?</v>
      </c>
    </row>
    <row r="286" spans="1:4" x14ac:dyDescent="0.2">
      <c r="A286" s="10">
        <v>225</v>
      </c>
      <c r="D286" s="2" t="str">
        <f t="shared" si="3"/>
        <v>OK</v>
      </c>
    </row>
    <row r="287" spans="1:4" x14ac:dyDescent="0.2">
      <c r="A287" s="5">
        <v>226</v>
      </c>
      <c r="B287" s="138">
        <f>'Assets-Liab 5-6'!N37</f>
        <v>10668100</v>
      </c>
      <c r="C287" s="2" t="s">
        <v>573</v>
      </c>
      <c r="D287" s="2" t="str">
        <f t="shared" si="3"/>
        <v>Error?</v>
      </c>
    </row>
    <row r="288" spans="1:4" x14ac:dyDescent="0.2">
      <c r="A288" s="5">
        <v>227</v>
      </c>
      <c r="B288" s="138">
        <f>'Assets-Liab 5-6'!N41</f>
        <v>10668100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2697285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153055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3650229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65085</v>
      </c>
      <c r="D722" s="2" t="str">
        <f t="shared" si="10"/>
        <v>Error?</v>
      </c>
    </row>
    <row r="723" spans="1:4" x14ac:dyDescent="0.2">
      <c r="A723" s="5">
        <v>662</v>
      </c>
      <c r="B723" s="138">
        <f>'Expenditures 15-22'!C38</f>
        <v>71516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136601</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147537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147537</v>
      </c>
      <c r="C731" s="2" t="s">
        <v>573</v>
      </c>
      <c r="D731" s="2" t="str">
        <f t="shared" si="10"/>
        <v>Error?</v>
      </c>
    </row>
    <row r="732" spans="1:4" x14ac:dyDescent="0.2">
      <c r="A732" s="5">
        <v>671</v>
      </c>
      <c r="B732" s="138">
        <f>'Expenditures 15-22'!C49</f>
        <v>33390</v>
      </c>
      <c r="D732" s="2" t="str">
        <f t="shared" si="10"/>
        <v>Error?</v>
      </c>
    </row>
    <row r="733" spans="1:4" x14ac:dyDescent="0.2">
      <c r="A733" s="5">
        <v>672</v>
      </c>
      <c r="B733" s="138">
        <f>'Expenditures 15-22'!C50</f>
        <v>170080</v>
      </c>
      <c r="D733" s="2" t="str">
        <f t="shared" si="10"/>
        <v>Error?</v>
      </c>
    </row>
    <row r="734" spans="1:4" x14ac:dyDescent="0.2">
      <c r="A734" s="5">
        <v>673</v>
      </c>
      <c r="B734" s="138">
        <f>'Expenditures 15-22'!C53</f>
        <v>204720</v>
      </c>
      <c r="C734" s="2" t="s">
        <v>573</v>
      </c>
      <c r="D734" s="2" t="str">
        <f t="shared" si="10"/>
        <v>Error?</v>
      </c>
    </row>
    <row r="735" spans="1:4" x14ac:dyDescent="0.2">
      <c r="A735" s="5">
        <v>674</v>
      </c>
      <c r="B735" s="138">
        <f>'Expenditures 15-22'!C55</f>
        <v>331237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331237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122614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10488</v>
      </c>
      <c r="D741" s="2" t="str">
        <f t="shared" si="10"/>
        <v>Error?</v>
      </c>
    </row>
    <row r="742" spans="1:4" x14ac:dyDescent="0.2">
      <c r="A742" s="5">
        <v>681</v>
      </c>
      <c r="B742" s="138">
        <f>'Expenditures 15-22'!C63</f>
        <v>103940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237042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1057137</v>
      </c>
      <c r="C755" s="2" t="s">
        <v>573</v>
      </c>
      <c r="D755" s="2" t="str">
        <f t="shared" si="10"/>
        <v>Error?</v>
      </c>
    </row>
    <row r="756" spans="1:4" x14ac:dyDescent="0.2">
      <c r="A756" s="5">
        <v>695</v>
      </c>
      <c r="B756" s="138">
        <f>'Expenditures 15-22'!C75</f>
        <v>9767</v>
      </c>
      <c r="D756" s="2" t="str">
        <f t="shared" si="10"/>
        <v>Error?</v>
      </c>
    </row>
    <row r="757" spans="1:4" x14ac:dyDescent="0.2">
      <c r="A757" s="5">
        <v>696</v>
      </c>
      <c r="B757" s="138">
        <f>'Expenditures 15-22'!C114</f>
        <v>4717133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586788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19144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761492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13884</v>
      </c>
      <c r="D780" s="2" t="str">
        <f t="shared" si="11"/>
        <v>Error?</v>
      </c>
    </row>
    <row r="781" spans="1:4" x14ac:dyDescent="0.2">
      <c r="A781" s="5">
        <v>720</v>
      </c>
      <c r="B781" s="138">
        <f>'Expenditures 15-22'!D38</f>
        <v>4021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17905</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19205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19205</v>
      </c>
      <c r="C789" s="2" t="s">
        <v>573</v>
      </c>
      <c r="D789" s="2" t="str">
        <f t="shared" si="11"/>
        <v>Error?</v>
      </c>
    </row>
    <row r="790" spans="1:4" x14ac:dyDescent="0.2">
      <c r="A790" s="5">
        <v>729</v>
      </c>
      <c r="B790" s="138">
        <f>'Expenditures 15-22'!D49</f>
        <v>7441</v>
      </c>
      <c r="D790" s="2" t="str">
        <f t="shared" si="11"/>
        <v>Error?</v>
      </c>
    </row>
    <row r="791" spans="1:4" x14ac:dyDescent="0.2">
      <c r="A791" s="5">
        <v>730</v>
      </c>
      <c r="B791" s="138">
        <f>'Expenditures 15-22'!D50</f>
        <v>31663</v>
      </c>
      <c r="D791" s="2" t="str">
        <f t="shared" si="11"/>
        <v>Error?</v>
      </c>
    </row>
    <row r="792" spans="1:4" x14ac:dyDescent="0.2">
      <c r="A792" s="5">
        <v>731</v>
      </c>
      <c r="B792" s="138">
        <f>'Expenditures 15-22'!D53</f>
        <v>39277</v>
      </c>
      <c r="C792" s="2" t="s">
        <v>573</v>
      </c>
      <c r="D792" s="2" t="str">
        <f t="shared" si="11"/>
        <v>Error?</v>
      </c>
    </row>
    <row r="793" spans="1:4" x14ac:dyDescent="0.2">
      <c r="A793" s="5">
        <v>732</v>
      </c>
      <c r="B793" s="138">
        <f>'Expenditures 15-22'!D55</f>
        <v>75591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75591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27643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1791</v>
      </c>
      <c r="D799" s="2" t="str">
        <f t="shared" si="11"/>
        <v>Error?</v>
      </c>
    </row>
    <row r="800" spans="1:4" x14ac:dyDescent="0.2">
      <c r="A800" s="5">
        <v>739</v>
      </c>
      <c r="B800" s="138">
        <f>'Expenditures 15-22'!D63</f>
        <v>12957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42391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194369</v>
      </c>
      <c r="C813" s="2" t="s">
        <v>573</v>
      </c>
      <c r="D813" s="2" t="str">
        <f t="shared" si="11"/>
        <v>Error?</v>
      </c>
    </row>
    <row r="814" spans="1:4" x14ac:dyDescent="0.2">
      <c r="A814" s="5">
        <v>753</v>
      </c>
      <c r="B814" s="138">
        <f>'Expenditures 15-22'!D75</f>
        <v>1474</v>
      </c>
      <c r="D814" s="2" t="str">
        <f t="shared" si="11"/>
        <v>Error?</v>
      </c>
    </row>
    <row r="815" spans="1:4" x14ac:dyDescent="0.2">
      <c r="A815" s="5">
        <v>754</v>
      </c>
      <c r="B815" s="138">
        <f>'Expenditures 15-22'!D114</f>
        <v>957335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21124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68652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99107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2870</v>
      </c>
      <c r="D838" s="2" t="str">
        <f t="shared" si="12"/>
        <v>Error?</v>
      </c>
    </row>
    <row r="839" spans="1:4" x14ac:dyDescent="0.2">
      <c r="A839" s="5">
        <v>778</v>
      </c>
      <c r="B839" s="138">
        <f>'Expenditures 15-22'!E38</f>
        <v>2859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5729</v>
      </c>
      <c r="C843" s="2" t="s">
        <v>573</v>
      </c>
      <c r="D843" s="2" t="str">
        <f t="shared" si="12"/>
        <v>Error?</v>
      </c>
    </row>
    <row r="844" spans="1:4" x14ac:dyDescent="0.2">
      <c r="A844" s="5">
        <v>783</v>
      </c>
      <c r="B844" s="138">
        <f>'Expenditures 15-22'!E44</f>
        <v>21026</v>
      </c>
      <c r="D844" s="2" t="str">
        <f t="shared" si="12"/>
        <v>Error?</v>
      </c>
    </row>
    <row r="845" spans="1:4" x14ac:dyDescent="0.2">
      <c r="A845" s="5">
        <v>784</v>
      </c>
      <c r="B845" s="138">
        <f>'Expenditures 15-22'!E45</f>
        <v>131304</v>
      </c>
      <c r="D845" s="2" t="str">
        <f t="shared" si="12"/>
        <v>Error?</v>
      </c>
    </row>
    <row r="846" spans="1:4" x14ac:dyDescent="0.2">
      <c r="A846" s="5">
        <v>785</v>
      </c>
      <c r="B846" s="138">
        <f>'Expenditures 15-22'!E46</f>
        <v>12482</v>
      </c>
      <c r="D846" s="2" t="str">
        <f t="shared" si="12"/>
        <v>Error?</v>
      </c>
    </row>
    <row r="847" spans="1:4" x14ac:dyDescent="0.2">
      <c r="A847" s="5">
        <v>786</v>
      </c>
      <c r="B847" s="138">
        <f>'Expenditures 15-22'!E47</f>
        <v>164812</v>
      </c>
      <c r="C847" s="2" t="s">
        <v>573</v>
      </c>
      <c r="D847" s="2" t="str">
        <f t="shared" si="12"/>
        <v>Error?</v>
      </c>
    </row>
    <row r="848" spans="1:4" x14ac:dyDescent="0.2">
      <c r="A848" s="5">
        <v>787</v>
      </c>
      <c r="B848" s="138">
        <f>'Expenditures 15-22'!E49</f>
        <v>21285</v>
      </c>
      <c r="D848" s="2" t="str">
        <f t="shared" si="12"/>
        <v>Error?</v>
      </c>
    </row>
    <row r="849" spans="1:4" x14ac:dyDescent="0.2">
      <c r="A849" s="5">
        <v>788</v>
      </c>
      <c r="B849" s="138">
        <f>'Expenditures 15-22'!E50</f>
        <v>4293</v>
      </c>
      <c r="D849" s="2" t="str">
        <f t="shared" si="12"/>
        <v>Error?</v>
      </c>
    </row>
    <row r="850" spans="1:4" x14ac:dyDescent="0.2">
      <c r="A850" s="5">
        <v>789</v>
      </c>
      <c r="B850" s="138">
        <f>'Expenditures 15-22'!E53</f>
        <v>25998</v>
      </c>
      <c r="C850" s="2" t="s">
        <v>573</v>
      </c>
      <c r="D850" s="2" t="str">
        <f t="shared" si="12"/>
        <v>Error?</v>
      </c>
    </row>
    <row r="851" spans="1:4" x14ac:dyDescent="0.2">
      <c r="A851" s="5">
        <v>790</v>
      </c>
      <c r="B851" s="138">
        <f>'Expenditures 15-22'!E55</f>
        <v>20064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20064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5887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16289</v>
      </c>
      <c r="D857" s="2" t="str">
        <f t="shared" si="12"/>
        <v>Error?</v>
      </c>
    </row>
    <row r="858" spans="1:4" x14ac:dyDescent="0.2">
      <c r="A858" s="5">
        <v>797</v>
      </c>
      <c r="B858" s="138">
        <f>'Expenditures 15-22'!E63</f>
        <v>8264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30440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247043</v>
      </c>
      <c r="C871" s="2" t="s">
        <v>573</v>
      </c>
      <c r="D871" s="2" t="str">
        <f t="shared" si="12"/>
        <v>Error?</v>
      </c>
    </row>
    <row r="872" spans="1:4" x14ac:dyDescent="0.2">
      <c r="A872" s="5">
        <v>811</v>
      </c>
      <c r="B872" s="138">
        <f>'Expenditures 15-22'!E75</f>
        <v>797</v>
      </c>
      <c r="D872" s="2" t="str">
        <f t="shared" si="12"/>
        <v>Error?</v>
      </c>
    </row>
    <row r="873" spans="1:4" x14ac:dyDescent="0.2">
      <c r="A873" s="5">
        <v>812</v>
      </c>
      <c r="B873" s="138">
        <f>'Expenditures 15-22'!E114</f>
        <v>346947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166379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4024</v>
      </c>
      <c r="D891" s="2" t="str">
        <f t="shared" si="12"/>
        <v>Error?</v>
      </c>
    </row>
    <row r="892" spans="1:4" x14ac:dyDescent="0.2">
      <c r="A892" s="5">
        <v>831</v>
      </c>
      <c r="B892" s="138">
        <f>'Expenditures 15-22'!F14</f>
        <v>12265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196167</v>
      </c>
      <c r="C894" s="2" t="s">
        <v>573</v>
      </c>
      <c r="D894" s="2" t="str">
        <f t="shared" si="12"/>
        <v>Error?</v>
      </c>
    </row>
    <row r="895" spans="1:4" x14ac:dyDescent="0.2">
      <c r="A895" s="5">
        <v>834</v>
      </c>
      <c r="B895" s="138">
        <f>'Expenditures 15-22'!F36</f>
        <v>2130</v>
      </c>
      <c r="D895" s="2" t="str">
        <f t="shared" ref="D895:D958" si="13">IF(ISBLANK(B895),"OK",IF(A895-B895=0,"OK","Error?"))</f>
        <v>Error?</v>
      </c>
    </row>
    <row r="896" spans="1:4" x14ac:dyDescent="0.2">
      <c r="A896" s="5">
        <v>835</v>
      </c>
      <c r="B896" s="138">
        <f>'Expenditures 15-22'!F37</f>
        <v>1771</v>
      </c>
      <c r="D896" s="2" t="str">
        <f t="shared" si="13"/>
        <v>Error?</v>
      </c>
    </row>
    <row r="897" spans="1:4" x14ac:dyDescent="0.2">
      <c r="A897" s="5">
        <v>836</v>
      </c>
      <c r="B897" s="138">
        <f>'Expenditures 15-22'!F38</f>
        <v>1483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5384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161486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161486</v>
      </c>
      <c r="C905" s="2" t="s">
        <v>573</v>
      </c>
      <c r="D905" s="2" t="str">
        <f t="shared" si="13"/>
        <v>Error?</v>
      </c>
    </row>
    <row r="906" spans="1:4" x14ac:dyDescent="0.2">
      <c r="A906" s="5">
        <v>845</v>
      </c>
      <c r="B906" s="138">
        <f>'Expenditures 15-22'!F49</f>
        <v>602</v>
      </c>
      <c r="D906" s="2" t="str">
        <f t="shared" si="13"/>
        <v>Error?</v>
      </c>
    </row>
    <row r="907" spans="1:4" x14ac:dyDescent="0.2">
      <c r="A907" s="5">
        <v>846</v>
      </c>
      <c r="B907" s="138">
        <f>'Expenditures 15-22'!F50</f>
        <v>572</v>
      </c>
      <c r="D907" s="2" t="str">
        <f t="shared" si="13"/>
        <v>Error?</v>
      </c>
    </row>
    <row r="908" spans="1:4" x14ac:dyDescent="0.2">
      <c r="A908" s="5">
        <v>847</v>
      </c>
      <c r="B908" s="138">
        <f>'Expenditures 15-22'!F53</f>
        <v>1174</v>
      </c>
      <c r="C908" s="2" t="s">
        <v>573</v>
      </c>
      <c r="D908" s="2" t="str">
        <f t="shared" si="13"/>
        <v>Error?</v>
      </c>
    </row>
    <row r="909" spans="1:4" x14ac:dyDescent="0.2">
      <c r="A909" s="5">
        <v>848</v>
      </c>
      <c r="B909" s="138">
        <f>'Expenditures 15-22'!F55</f>
        <v>5471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5471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949</v>
      </c>
      <c r="D913" s="2" t="str">
        <f t="shared" si="13"/>
        <v>Error?</v>
      </c>
    </row>
    <row r="914" spans="1:4" x14ac:dyDescent="0.2">
      <c r="A914" s="5">
        <v>853</v>
      </c>
      <c r="B914" s="138">
        <f>'Expenditures 15-22'!F61</f>
        <v>11</v>
      </c>
      <c r="D914" s="2" t="str">
        <f t="shared" si="13"/>
        <v>Error?</v>
      </c>
    </row>
    <row r="915" spans="1:4" x14ac:dyDescent="0.2">
      <c r="A915" s="5">
        <v>854</v>
      </c>
      <c r="B915" s="138">
        <f>'Expenditures 15-22'!F62</f>
        <v>35</v>
      </c>
      <c r="D915" s="2" t="str">
        <f t="shared" si="13"/>
        <v>Error?</v>
      </c>
    </row>
    <row r="916" spans="1:4" x14ac:dyDescent="0.2">
      <c r="A916" s="5">
        <v>855</v>
      </c>
      <c r="B916" s="138">
        <f>'Expenditures 15-22'!F63</f>
        <v>220136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221131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200</v>
      </c>
      <c r="D928" s="2" t="str">
        <f t="shared" si="13"/>
        <v>Error?</v>
      </c>
    </row>
    <row r="929" spans="1:4" x14ac:dyDescent="0.2">
      <c r="A929" s="5">
        <v>868</v>
      </c>
      <c r="B929" s="138">
        <f>'Expenditures 15-22'!F74</f>
        <v>394846</v>
      </c>
      <c r="C929" s="2" t="s">
        <v>573</v>
      </c>
      <c r="D929" s="2" t="str">
        <f t="shared" si="13"/>
        <v>Error?</v>
      </c>
    </row>
    <row r="930" spans="1:4" x14ac:dyDescent="0.2">
      <c r="A930" s="5">
        <v>869</v>
      </c>
      <c r="B930" s="138">
        <f>'Expenditures 15-22'!F75</f>
        <v>1338</v>
      </c>
      <c r="D930" s="2" t="str">
        <f t="shared" si="13"/>
        <v>Error?</v>
      </c>
    </row>
    <row r="931" spans="1:4" x14ac:dyDescent="0.2">
      <c r="A931" s="5">
        <v>870</v>
      </c>
      <c r="B931" s="138">
        <f>'Expenditures 15-22'!F114</f>
        <v>592351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780</v>
      </c>
      <c r="D949" s="2" t="str">
        <f t="shared" si="13"/>
        <v>Error?</v>
      </c>
    </row>
    <row r="950" spans="1:4" x14ac:dyDescent="0.2">
      <c r="A950" s="5">
        <v>889</v>
      </c>
      <c r="B950" s="138">
        <f>'Expenditures 15-22'!G14</f>
        <v>6420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9582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1777</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1777</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1409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1409</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3347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3347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6533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16115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5804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6334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12138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2250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2250</v>
      </c>
      <c r="C1021" s="2" t="s">
        <v>573</v>
      </c>
      <c r="D1021" s="2" t="str">
        <f t="shared" si="14"/>
        <v>Error?</v>
      </c>
    </row>
    <row r="1022" spans="1:4" x14ac:dyDescent="0.2">
      <c r="A1022" s="5">
        <v>961</v>
      </c>
      <c r="B1022" s="138">
        <f>'Expenditures 15-22'!H49</f>
        <v>10952</v>
      </c>
      <c r="D1022" s="2" t="str">
        <f t="shared" si="14"/>
        <v>Error?</v>
      </c>
    </row>
    <row r="1023" spans="1:4" x14ac:dyDescent="0.2">
      <c r="A1023" s="5">
        <v>962</v>
      </c>
      <c r="B1023" s="138">
        <f>'Expenditures 15-22'!H50</f>
        <v>1491</v>
      </c>
      <c r="D1023" s="2" t="str">
        <f t="shared" ref="D1023:D1086" si="15">IF(ISBLANK(B1023),"OK",IF(A1023-B1023=0,"OK","Error?"))</f>
        <v>Error?</v>
      </c>
    </row>
    <row r="1024" spans="1:4" x14ac:dyDescent="0.2">
      <c r="A1024" s="5">
        <v>963</v>
      </c>
      <c r="B1024" s="138">
        <f>'Expenditures 15-22'!H53</f>
        <v>12443</v>
      </c>
      <c r="C1024" s="2" t="s">
        <v>573</v>
      </c>
      <c r="D1024" s="2" t="str">
        <f t="shared" si="15"/>
        <v>Error?</v>
      </c>
    </row>
    <row r="1025" spans="1:4" x14ac:dyDescent="0.2">
      <c r="A1025" s="5">
        <v>964</v>
      </c>
      <c r="B1025" s="138">
        <f>'Expenditures 15-22'!H55</f>
        <v>2355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2355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1475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1475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18523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429610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460271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3479762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4804</v>
      </c>
      <c r="C1105" s="2" t="s">
        <v>573</v>
      </c>
      <c r="D1105" s="2" t="str">
        <f t="shared" si="16"/>
        <v>Error?</v>
      </c>
    </row>
    <row r="1106" spans="1:4" x14ac:dyDescent="0.2">
      <c r="A1106" s="5">
        <v>1045</v>
      </c>
      <c r="B1106" s="138">
        <f>'Expenditures 15-22'!K14</f>
        <v>265870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4728715</v>
      </c>
      <c r="C1108" s="2" t="s">
        <v>573</v>
      </c>
      <c r="D1108" s="2" t="str">
        <f t="shared" si="16"/>
        <v>Error?</v>
      </c>
    </row>
    <row r="1109" spans="1:4" x14ac:dyDescent="0.2">
      <c r="A1109" s="5">
        <v>1048</v>
      </c>
      <c r="B1109" s="138">
        <f>'Expenditures 15-22'!K36</f>
        <v>2130</v>
      </c>
      <c r="C1109" s="2" t="s">
        <v>573</v>
      </c>
      <c r="D1109" s="2" t="str">
        <f t="shared" si="16"/>
        <v>Error?</v>
      </c>
    </row>
    <row r="1110" spans="1:4" x14ac:dyDescent="0.2">
      <c r="A1110" s="5">
        <v>1049</v>
      </c>
      <c r="B1110" s="138">
        <f>'Expenditures 15-22'!K37</f>
        <v>83610</v>
      </c>
      <c r="C1110" s="2" t="s">
        <v>573</v>
      </c>
      <c r="D1110" s="2" t="str">
        <f t="shared" si="16"/>
        <v>Error?</v>
      </c>
    </row>
    <row r="1111" spans="1:4" x14ac:dyDescent="0.2">
      <c r="A1111" s="5">
        <v>1050</v>
      </c>
      <c r="B1111" s="138">
        <f>'Expenditures 15-22'!K38</f>
        <v>81656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167396</v>
      </c>
      <c r="C1115" s="2" t="s">
        <v>573</v>
      </c>
      <c r="D1115" s="2" t="str">
        <f t="shared" si="16"/>
        <v>Error?</v>
      </c>
    </row>
    <row r="1116" spans="1:4" x14ac:dyDescent="0.2">
      <c r="A1116" s="5">
        <v>1055</v>
      </c>
      <c r="B1116" s="138">
        <f>'Expenditures 15-22'!K44</f>
        <v>21026</v>
      </c>
      <c r="C1116" s="2" t="s">
        <v>573</v>
      </c>
      <c r="D1116" s="2" t="str">
        <f t="shared" si="16"/>
        <v>Error?</v>
      </c>
    </row>
    <row r="1117" spans="1:4" x14ac:dyDescent="0.2">
      <c r="A1117" s="5">
        <v>1056</v>
      </c>
      <c r="B1117" s="138">
        <f>'Expenditures 15-22'!K45</f>
        <v>461782</v>
      </c>
      <c r="C1117" s="2" t="s">
        <v>573</v>
      </c>
      <c r="D1117" s="2" t="str">
        <f t="shared" si="16"/>
        <v>Error?</v>
      </c>
    </row>
    <row r="1118" spans="1:4" x14ac:dyDescent="0.2">
      <c r="A1118" s="5">
        <v>1057</v>
      </c>
      <c r="B1118" s="138">
        <f>'Expenditures 15-22'!K46</f>
        <v>12482</v>
      </c>
      <c r="C1118" s="2" t="s">
        <v>573</v>
      </c>
      <c r="D1118" s="2" t="str">
        <f t="shared" si="16"/>
        <v>Error?</v>
      </c>
    </row>
    <row r="1119" spans="1:4" x14ac:dyDescent="0.2">
      <c r="A1119" s="5">
        <v>1058</v>
      </c>
      <c r="B1119" s="138">
        <f>'Expenditures 15-22'!K47</f>
        <v>495290</v>
      </c>
      <c r="C1119" s="2" t="s">
        <v>573</v>
      </c>
      <c r="D1119" s="2" t="str">
        <f t="shared" si="16"/>
        <v>Error?</v>
      </c>
    </row>
    <row r="1120" spans="1:4" x14ac:dyDescent="0.2">
      <c r="A1120" s="5">
        <v>1059</v>
      </c>
      <c r="B1120" s="138">
        <f>'Expenditures 15-22'!K49</f>
        <v>73670</v>
      </c>
      <c r="C1120" s="2" t="s">
        <v>573</v>
      </c>
      <c r="D1120" s="2" t="str">
        <f t="shared" si="16"/>
        <v>Error?</v>
      </c>
    </row>
    <row r="1121" spans="1:4" x14ac:dyDescent="0.2">
      <c r="A1121" s="5">
        <v>1060</v>
      </c>
      <c r="B1121" s="138">
        <f>'Expenditures 15-22'!K50</f>
        <v>208099</v>
      </c>
      <c r="C1121" s="2" t="s">
        <v>573</v>
      </c>
      <c r="D1121" s="2" t="str">
        <f t="shared" si="16"/>
        <v>Error?</v>
      </c>
    </row>
    <row r="1122" spans="1:4" x14ac:dyDescent="0.2">
      <c r="A1122" s="5">
        <v>1061</v>
      </c>
      <c r="B1122" s="138">
        <f>'Expenditures 15-22'!K53</f>
        <v>283612</v>
      </c>
      <c r="C1122" s="2" t="s">
        <v>573</v>
      </c>
      <c r="D1122" s="2" t="str">
        <f t="shared" si="16"/>
        <v>Error?</v>
      </c>
    </row>
    <row r="1123" spans="1:4" x14ac:dyDescent="0.2">
      <c r="A1123" s="5">
        <v>1062</v>
      </c>
      <c r="B1123" s="138">
        <f>'Expenditures 15-22'!K55</f>
        <v>436127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436127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157093</v>
      </c>
      <c r="C1127" s="2" t="s">
        <v>573</v>
      </c>
      <c r="D1127" s="2" t="str">
        <f t="shared" si="16"/>
        <v>Error?</v>
      </c>
    </row>
    <row r="1128" spans="1:4" x14ac:dyDescent="0.2">
      <c r="A1128" s="5">
        <v>1067</v>
      </c>
      <c r="B1128" s="138">
        <f>'Expenditures 15-22'!K61</f>
        <v>11</v>
      </c>
      <c r="C1128" s="2" t="s">
        <v>573</v>
      </c>
      <c r="D1128" s="2" t="str">
        <f t="shared" si="16"/>
        <v>Error?</v>
      </c>
    </row>
    <row r="1129" spans="1:4" x14ac:dyDescent="0.2">
      <c r="A1129" s="5">
        <v>1068</v>
      </c>
      <c r="B1129" s="138">
        <f>'Expenditures 15-22'!K62</f>
        <v>28603</v>
      </c>
      <c r="C1129" s="2" t="s">
        <v>573</v>
      </c>
      <c r="D1129" s="2" t="str">
        <f t="shared" si="16"/>
        <v>Error?</v>
      </c>
    </row>
    <row r="1130" spans="1:4" x14ac:dyDescent="0.2">
      <c r="A1130" s="5">
        <v>1069</v>
      </c>
      <c r="B1130" s="138">
        <f>'Expenditures 15-22'!K63</f>
        <v>350119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535826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200</v>
      </c>
      <c r="C1142" s="2" t="s">
        <v>573</v>
      </c>
      <c r="D1142" s="2" t="str">
        <f t="shared" si="16"/>
        <v>Error?</v>
      </c>
    </row>
    <row r="1143" spans="1:4" x14ac:dyDescent="0.2">
      <c r="A1143" s="5">
        <v>1082</v>
      </c>
      <c r="B1143" s="138">
        <f>'Expenditures 15-22'!K74</f>
        <v>1918451</v>
      </c>
      <c r="C1143" s="2" t="s">
        <v>573</v>
      </c>
      <c r="D1143" s="2" t="str">
        <f t="shared" si="16"/>
        <v>Error?</v>
      </c>
    </row>
    <row r="1144" spans="1:4" x14ac:dyDescent="0.2">
      <c r="A1144" s="5">
        <v>1083</v>
      </c>
      <c r="B1144" s="138">
        <f>'Expenditures 15-22'!K75</f>
        <v>13376</v>
      </c>
      <c r="C1144" s="2" t="s">
        <v>573</v>
      </c>
      <c r="D1144" s="2" t="str">
        <f t="shared" si="16"/>
        <v>Error?</v>
      </c>
    </row>
    <row r="1145" spans="1:4" x14ac:dyDescent="0.2">
      <c r="A1145" s="5">
        <v>1084</v>
      </c>
      <c r="B1145" s="138">
        <f>'Expenditures 15-22'!K102</f>
        <v>429610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7090152</v>
      </c>
      <c r="C1152" s="2" t="s">
        <v>573</v>
      </c>
      <c r="D1152" s="2" t="str">
        <f t="shared" si="17"/>
        <v>Error?</v>
      </c>
    </row>
    <row r="1153" spans="1:4" x14ac:dyDescent="0.2">
      <c r="A1153" s="5">
        <v>1092</v>
      </c>
      <c r="B1153" s="138">
        <f>'Expenditures 15-22'!K115</f>
        <v>-32082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377890</v>
      </c>
      <c r="D1221" s="2" t="str">
        <f t="shared" si="18"/>
        <v>Error?</v>
      </c>
    </row>
    <row r="1222" spans="1:4" x14ac:dyDescent="0.2">
      <c r="A1222" s="10">
        <v>1161</v>
      </c>
      <c r="D1222" s="2" t="str">
        <f t="shared" si="18"/>
        <v>OK</v>
      </c>
    </row>
    <row r="1223" spans="1:4" x14ac:dyDescent="0.2">
      <c r="A1223" s="5">
        <v>1162</v>
      </c>
      <c r="B1223" s="138">
        <f>'Expenditures 15-22'!C127</f>
        <v>377890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377890</v>
      </c>
      <c r="C1225" s="2" t="s">
        <v>573</v>
      </c>
      <c r="D1225" s="2" t="str">
        <f t="shared" si="18"/>
        <v>Error?</v>
      </c>
    </row>
    <row r="1226" spans="1:4" x14ac:dyDescent="0.2">
      <c r="A1226" s="5">
        <v>1165</v>
      </c>
      <c r="B1226" s="138">
        <f>'Expenditures 15-22'!C151</f>
        <v>377890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71185</v>
      </c>
      <c r="D1229" s="2" t="str">
        <f t="shared" si="18"/>
        <v>Error?</v>
      </c>
    </row>
    <row r="1230" spans="1:4" x14ac:dyDescent="0.2">
      <c r="A1230" s="10">
        <v>1169</v>
      </c>
      <c r="D1230" s="2" t="str">
        <f t="shared" si="18"/>
        <v>OK</v>
      </c>
    </row>
    <row r="1231" spans="1:4" x14ac:dyDescent="0.2">
      <c r="A1231" s="5">
        <v>1170</v>
      </c>
      <c r="B1231" s="138">
        <f>'Expenditures 15-22'!D127</f>
        <v>71185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71185</v>
      </c>
      <c r="C1233" s="2" t="s">
        <v>573</v>
      </c>
      <c r="D1233" s="2" t="str">
        <f t="shared" si="18"/>
        <v>Error?</v>
      </c>
    </row>
    <row r="1234" spans="1:4" x14ac:dyDescent="0.2">
      <c r="A1234" s="5">
        <v>1173</v>
      </c>
      <c r="B1234" s="138">
        <f>'Expenditures 15-22'!D151</f>
        <v>71185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282044</v>
      </c>
      <c r="D1237" s="2" t="str">
        <f t="shared" si="18"/>
        <v>Error?</v>
      </c>
    </row>
    <row r="1238" spans="1:4" x14ac:dyDescent="0.2">
      <c r="A1238" s="10">
        <v>1177</v>
      </c>
      <c r="D1238" s="2" t="str">
        <f t="shared" si="18"/>
        <v>OK</v>
      </c>
    </row>
    <row r="1239" spans="1:4" x14ac:dyDescent="0.2">
      <c r="A1239" s="5">
        <v>1178</v>
      </c>
      <c r="B1239" s="138">
        <f>'Expenditures 15-22'!E127</f>
        <v>282044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282044</v>
      </c>
      <c r="C1241" s="2" t="s">
        <v>573</v>
      </c>
      <c r="D1241" s="2" t="str">
        <f t="shared" si="18"/>
        <v>Error?</v>
      </c>
    </row>
    <row r="1242" spans="1:4" x14ac:dyDescent="0.2">
      <c r="A1242" s="5">
        <v>1181</v>
      </c>
      <c r="B1242" s="138">
        <f>'Expenditures 15-22'!E151</f>
        <v>282044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269487</v>
      </c>
      <c r="D1245" s="2" t="str">
        <f t="shared" si="18"/>
        <v>Error?</v>
      </c>
    </row>
    <row r="1246" spans="1:4" x14ac:dyDescent="0.2">
      <c r="A1246" s="10">
        <v>1185</v>
      </c>
      <c r="D1246" s="2" t="str">
        <f t="shared" si="18"/>
        <v>OK</v>
      </c>
    </row>
    <row r="1247" spans="1:4" x14ac:dyDescent="0.2">
      <c r="A1247" s="5">
        <v>1186</v>
      </c>
      <c r="B1247" s="138">
        <f>'Expenditures 15-22'!F127</f>
        <v>269487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269487</v>
      </c>
      <c r="C1249" s="2" t="s">
        <v>573</v>
      </c>
      <c r="D1249" s="2" t="str">
        <f t="shared" si="18"/>
        <v>Error?</v>
      </c>
    </row>
    <row r="1250" spans="1:4" x14ac:dyDescent="0.2">
      <c r="A1250" s="5">
        <v>1189</v>
      </c>
      <c r="B1250" s="138">
        <f>'Expenditures 15-22'!F151</f>
        <v>269487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121842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121842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121842</v>
      </c>
      <c r="C1258" s="2" t="s">
        <v>573</v>
      </c>
      <c r="D1258" s="2" t="str">
        <f t="shared" si="18"/>
        <v>Error?</v>
      </c>
    </row>
    <row r="1259" spans="1:4" x14ac:dyDescent="0.2">
      <c r="A1259" s="5">
        <v>1198</v>
      </c>
      <c r="B1259" s="138">
        <f>'Expenditures 15-22'!G151</f>
        <v>121842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30512</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30512</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1122448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1122448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1122448</v>
      </c>
      <c r="C1281" s="2" t="s">
        <v>573</v>
      </c>
      <c r="D1281" s="2" t="str">
        <f t="shared" si="19"/>
        <v>Error?</v>
      </c>
    </row>
    <row r="1282" spans="1:4" x14ac:dyDescent="0.2">
      <c r="A1282" s="5">
        <v>1221</v>
      </c>
      <c r="B1282" s="138">
        <f>'Expenditures 15-22'!K139</f>
        <v>30512</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1152960</v>
      </c>
      <c r="C1288" s="2" t="s">
        <v>573</v>
      </c>
      <c r="D1288" s="2" t="str">
        <f t="shared" si="19"/>
        <v>Error?</v>
      </c>
    </row>
    <row r="1289" spans="1:4" x14ac:dyDescent="0.2">
      <c r="A1289" s="5">
        <v>1228</v>
      </c>
      <c r="B1289" s="138">
        <f>'Expenditures 15-22'!K152</f>
        <v>-34193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355054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1275071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1630125</v>
      </c>
      <c r="C1317" s="2" t="s">
        <v>573</v>
      </c>
      <c r="D1317" s="2" t="str">
        <f t="shared" si="19"/>
        <v>Error?</v>
      </c>
    </row>
    <row r="1318" spans="1:4" x14ac:dyDescent="0.2">
      <c r="A1318" s="5">
        <v>1257</v>
      </c>
      <c r="B1318" s="138">
        <f>'Expenditures 15-22'!H174</f>
        <v>1630125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355054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1275071</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1630125</v>
      </c>
      <c r="C1331" s="2" t="s">
        <v>573</v>
      </c>
      <c r="D1331" s="2" t="str">
        <f t="shared" si="19"/>
        <v>Error?</v>
      </c>
    </row>
    <row r="1332" spans="1:4" x14ac:dyDescent="0.2">
      <c r="A1332" s="5">
        <v>1271</v>
      </c>
      <c r="B1332" s="138">
        <f>'Expenditures 15-22'!K174</f>
        <v>1630125</v>
      </c>
      <c r="C1332" s="2" t="s">
        <v>573</v>
      </c>
      <c r="D1332" s="2" t="str">
        <f t="shared" si="19"/>
        <v>Error?</v>
      </c>
    </row>
    <row r="1333" spans="1:4" x14ac:dyDescent="0.2">
      <c r="A1333" s="5">
        <v>1272</v>
      </c>
      <c r="B1333" s="138">
        <f>'Expenditures 15-22'!K175</f>
        <v>-71479</v>
      </c>
      <c r="C1333" s="2" t="s">
        <v>573</v>
      </c>
      <c r="D1333" s="2" t="str">
        <f t="shared" si="19"/>
        <v>Error?</v>
      </c>
    </row>
    <row r="1334" spans="1:4" x14ac:dyDescent="0.2">
      <c r="A1334" s="10">
        <v>1273</v>
      </c>
      <c r="D1334" s="2" t="str">
        <f t="shared" si="19"/>
        <v>OK</v>
      </c>
    </row>
    <row r="1335" spans="1:4" x14ac:dyDescent="0.2">
      <c r="A1335" s="5">
        <v>1274</v>
      </c>
      <c r="B1335" s="138">
        <f>'Expenditures 15-22'!C182</f>
        <v>343041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343041</v>
      </c>
      <c r="C1339" s="2" t="s">
        <v>573</v>
      </c>
      <c r="D1339" s="2" t="str">
        <f t="shared" si="19"/>
        <v>Error?</v>
      </c>
    </row>
    <row r="1340" spans="1:4" x14ac:dyDescent="0.2">
      <c r="A1340" s="5">
        <v>1279</v>
      </c>
      <c r="B1340" s="138">
        <f>'Expenditures 15-22'!C210</f>
        <v>343041</v>
      </c>
      <c r="C1340" s="2" t="s">
        <v>573</v>
      </c>
      <c r="D1340" s="2" t="str">
        <f t="shared" si="19"/>
        <v>Error?</v>
      </c>
    </row>
    <row r="1341" spans="1:4" x14ac:dyDescent="0.2">
      <c r="A1341" s="5">
        <v>1280</v>
      </c>
      <c r="B1341" s="138">
        <f>'Expenditures 15-22'!D182</f>
        <v>32723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32723</v>
      </c>
      <c r="C1345" s="2" t="s">
        <v>573</v>
      </c>
      <c r="D1345" s="2" t="str">
        <f t="shared" si="20"/>
        <v>Error?</v>
      </c>
    </row>
    <row r="1346" spans="1:4" x14ac:dyDescent="0.2">
      <c r="A1346" s="5">
        <v>1285</v>
      </c>
      <c r="B1346" s="138">
        <f>'Expenditures 15-22'!D210</f>
        <v>32723</v>
      </c>
      <c r="C1346" s="2" t="s">
        <v>573</v>
      </c>
      <c r="D1346" s="2" t="str">
        <f t="shared" si="20"/>
        <v>Error?</v>
      </c>
    </row>
    <row r="1347" spans="1:4" x14ac:dyDescent="0.2">
      <c r="A1347" s="5">
        <v>1286</v>
      </c>
      <c r="B1347" s="138">
        <f>'Expenditures 15-22'!E182</f>
        <v>44481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44481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44481</v>
      </c>
      <c r="C1353" s="2" t="s">
        <v>573</v>
      </c>
      <c r="D1353" s="2" t="str">
        <f t="shared" si="20"/>
        <v>Error?</v>
      </c>
    </row>
    <row r="1354" spans="1:4" x14ac:dyDescent="0.2">
      <c r="A1354" s="5">
        <v>1293</v>
      </c>
      <c r="B1354" s="138">
        <f>'Expenditures 15-22'!F182</f>
        <v>101600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101600</v>
      </c>
      <c r="C1358" s="2" t="s">
        <v>573</v>
      </c>
      <c r="D1358" s="2" t="str">
        <f t="shared" si="20"/>
        <v>Error?</v>
      </c>
    </row>
    <row r="1359" spans="1:4" x14ac:dyDescent="0.2">
      <c r="A1359" s="5">
        <v>1298</v>
      </c>
      <c r="B1359" s="138">
        <f>'Expenditures 15-22'!F210</f>
        <v>101600</v>
      </c>
      <c r="C1359" s="2" t="s">
        <v>573</v>
      </c>
      <c r="D1359" s="2" t="str">
        <f t="shared" si="20"/>
        <v>Error?</v>
      </c>
    </row>
    <row r="1360" spans="1:4" x14ac:dyDescent="0.2">
      <c r="A1360" s="5">
        <v>1299</v>
      </c>
      <c r="B1360" s="138">
        <f>'Expenditures 15-22'!G182</f>
        <v>175933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175933</v>
      </c>
      <c r="C1364" s="2" t="s">
        <v>573</v>
      </c>
      <c r="D1364" s="2" t="str">
        <f t="shared" si="20"/>
        <v>Error?</v>
      </c>
    </row>
    <row r="1365" spans="1:4" x14ac:dyDescent="0.2">
      <c r="A1365" s="5">
        <v>1304</v>
      </c>
      <c r="B1365" s="138">
        <f>'Expenditures 15-22'!G210</f>
        <v>175933</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697778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697778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697778</v>
      </c>
      <c r="C1388" s="2" t="s">
        <v>573</v>
      </c>
      <c r="D1388" s="2" t="str">
        <f t="shared" si="20"/>
        <v>Error?</v>
      </c>
    </row>
    <row r="1389" spans="1:4" x14ac:dyDescent="0.2">
      <c r="A1389" s="5">
        <v>1328</v>
      </c>
      <c r="B1389" s="138">
        <f>'Expenditures 15-22'!K211</f>
        <v>141603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6479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103290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926</v>
      </c>
      <c r="D1412" s="2" t="str">
        <f t="shared" si="21"/>
        <v>Error?</v>
      </c>
    </row>
    <row r="1413" spans="1:4" x14ac:dyDescent="0.2">
      <c r="A1413" s="5">
        <v>1352</v>
      </c>
      <c r="B1413" s="138">
        <f>'Expenditures 15-22'!D234</f>
        <v>11547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12473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16140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16140</v>
      </c>
      <c r="C1421" s="2" t="s">
        <v>573</v>
      </c>
      <c r="D1421" s="2" t="str">
        <f t="shared" si="21"/>
        <v>Error?</v>
      </c>
    </row>
    <row r="1422" spans="1:4" x14ac:dyDescent="0.2">
      <c r="A1422" s="5">
        <v>1361</v>
      </c>
      <c r="B1422" s="138">
        <f>'Expenditures 15-22'!D245</f>
        <v>566</v>
      </c>
      <c r="D1422" s="2" t="str">
        <f t="shared" si="21"/>
        <v>Error?</v>
      </c>
    </row>
    <row r="1423" spans="1:4" x14ac:dyDescent="0.2">
      <c r="A1423" s="5">
        <v>1362</v>
      </c>
      <c r="B1423" s="138">
        <f>'Expenditures 15-22'!D246</f>
        <v>7208</v>
      </c>
      <c r="D1423" s="2" t="str">
        <f t="shared" si="21"/>
        <v>Error?</v>
      </c>
    </row>
    <row r="1424" spans="1:4" x14ac:dyDescent="0.2">
      <c r="A1424" s="5">
        <v>1363</v>
      </c>
      <c r="B1424" s="138">
        <f>'Expenditures 15-22'!D257</f>
        <v>7791</v>
      </c>
      <c r="C1424" s="2" t="s">
        <v>573</v>
      </c>
      <c r="D1424" s="2" t="str">
        <f t="shared" si="21"/>
        <v>Error?</v>
      </c>
    </row>
    <row r="1425" spans="1:4" x14ac:dyDescent="0.2">
      <c r="A1425" s="5">
        <v>1364</v>
      </c>
      <c r="B1425" s="138">
        <f>'Expenditures 15-22'!D259</f>
        <v>17154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17154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20419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62452</v>
      </c>
      <c r="D1431" s="2" t="str">
        <f t="shared" si="21"/>
        <v>Error?</v>
      </c>
    </row>
    <row r="1432" spans="1:4" x14ac:dyDescent="0.2">
      <c r="A1432" s="5">
        <v>1371</v>
      </c>
      <c r="B1432" s="138">
        <f>'Expenditures 15-22'!D267</f>
        <v>45597</v>
      </c>
      <c r="D1432" s="2" t="str">
        <f t="shared" si="21"/>
        <v>Error?</v>
      </c>
    </row>
    <row r="1433" spans="1:4" x14ac:dyDescent="0.2">
      <c r="A1433" s="5">
        <v>1372</v>
      </c>
      <c r="B1433" s="138">
        <f>'Expenditures 15-22'!D268</f>
        <v>17149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145617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199175</v>
      </c>
      <c r="C1446" s="2" t="s">
        <v>573</v>
      </c>
      <c r="D1446" s="2" t="str">
        <f t="shared" si="21"/>
        <v>Error?</v>
      </c>
    </row>
    <row r="1447" spans="1:4" x14ac:dyDescent="0.2">
      <c r="A1447" s="5">
        <v>1386</v>
      </c>
      <c r="B1447" s="138">
        <f>'Expenditures 15-22'!D280</f>
        <v>202</v>
      </c>
      <c r="D1447" s="2" t="str">
        <f t="shared" si="21"/>
        <v>Error?</v>
      </c>
    </row>
    <row r="1448" spans="1:4" x14ac:dyDescent="0.2">
      <c r="A1448" s="5">
        <v>1387</v>
      </c>
      <c r="B1448" s="138">
        <f>'Expenditures 15-22'!D295</f>
        <v>302667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6479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103290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926</v>
      </c>
      <c r="C1476" s="2" t="s">
        <v>573</v>
      </c>
      <c r="D1476" s="2" t="str">
        <f t="shared" si="22"/>
        <v>Error?</v>
      </c>
    </row>
    <row r="1477" spans="1:4" x14ac:dyDescent="0.2">
      <c r="A1477" s="5">
        <v>1416</v>
      </c>
      <c r="B1477" s="138">
        <f>'Expenditures 15-22'!K234</f>
        <v>11547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12473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16140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16140</v>
      </c>
      <c r="C1485" s="2" t="s">
        <v>573</v>
      </c>
      <c r="D1485" s="2" t="str">
        <f t="shared" si="22"/>
        <v>Error?</v>
      </c>
    </row>
    <row r="1486" spans="1:4" x14ac:dyDescent="0.2">
      <c r="A1486" s="5">
        <v>1425</v>
      </c>
      <c r="B1486" s="138">
        <f>'Expenditures 15-22'!K245</f>
        <v>566</v>
      </c>
      <c r="C1486" s="2" t="s">
        <v>573</v>
      </c>
      <c r="D1486" s="2" t="str">
        <f t="shared" si="22"/>
        <v>Error?</v>
      </c>
    </row>
    <row r="1487" spans="1:4" x14ac:dyDescent="0.2">
      <c r="A1487" s="5">
        <v>1426</v>
      </c>
      <c r="B1487" s="138">
        <f>'Expenditures 15-22'!K246</f>
        <v>7208</v>
      </c>
      <c r="C1487" s="2" t="s">
        <v>573</v>
      </c>
      <c r="D1487" s="2" t="str">
        <f t="shared" si="22"/>
        <v>Error?</v>
      </c>
    </row>
    <row r="1488" spans="1:4" x14ac:dyDescent="0.2">
      <c r="A1488" s="5">
        <v>1427</v>
      </c>
      <c r="B1488" s="138">
        <f>'Expenditures 15-22'!K257</f>
        <v>7791</v>
      </c>
      <c r="C1488" s="2" t="s">
        <v>573</v>
      </c>
      <c r="D1488" s="2" t="str">
        <f t="shared" si="22"/>
        <v>Error?</v>
      </c>
    </row>
    <row r="1489" spans="1:4" x14ac:dyDescent="0.2">
      <c r="A1489" s="5">
        <v>1428</v>
      </c>
      <c r="B1489" s="138">
        <f>'Expenditures 15-22'!K259</f>
        <v>17154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17154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20419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62452</v>
      </c>
      <c r="C1495" s="2" t="s">
        <v>573</v>
      </c>
      <c r="D1495" s="2" t="str">
        <f t="shared" si="22"/>
        <v>Error?</v>
      </c>
    </row>
    <row r="1496" spans="1:4" x14ac:dyDescent="0.2">
      <c r="A1496" s="5">
        <v>1435</v>
      </c>
      <c r="B1496" s="138">
        <f>'Expenditures 15-22'!K267</f>
        <v>45597</v>
      </c>
      <c r="C1496" s="2" t="s">
        <v>573</v>
      </c>
      <c r="D1496" s="2" t="str">
        <f t="shared" si="22"/>
        <v>Error?</v>
      </c>
    </row>
    <row r="1497" spans="1:4" x14ac:dyDescent="0.2">
      <c r="A1497" s="5">
        <v>1436</v>
      </c>
      <c r="B1497" s="138">
        <f>'Expenditures 15-22'!K268</f>
        <v>17149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145617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199175</v>
      </c>
      <c r="C1510" s="2" t="s">
        <v>573</v>
      </c>
      <c r="D1510" s="2" t="str">
        <f t="shared" si="22"/>
        <v>Error?</v>
      </c>
    </row>
    <row r="1511" spans="1:4" x14ac:dyDescent="0.2">
      <c r="A1511" s="5">
        <v>1450</v>
      </c>
      <c r="B1511" s="138">
        <f>'Expenditures 15-22'!K280</f>
        <v>202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302667</v>
      </c>
      <c r="C1517" s="2" t="s">
        <v>573</v>
      </c>
      <c r="D1517" s="2" t="str">
        <f t="shared" si="22"/>
        <v>Error?</v>
      </c>
    </row>
    <row r="1518" spans="1:4" x14ac:dyDescent="0.2">
      <c r="A1518" s="5">
        <v>1457</v>
      </c>
      <c r="B1518" s="138">
        <f>'Expenditures 15-22'!K296</f>
        <v>55871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8861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6558610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6526528</v>
      </c>
      <c r="C1630" s="2" t="s">
        <v>573</v>
      </c>
      <c r="D1630" s="2" t="str">
        <f t="shared" si="24"/>
        <v>Error?</v>
      </c>
    </row>
    <row r="1631" spans="1:4" x14ac:dyDescent="0.2">
      <c r="A1631" s="5">
        <v>1570</v>
      </c>
      <c r="B1631" s="138">
        <f>'Acct Summary 7-8'!D79</f>
        <v>2330536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2296343</v>
      </c>
      <c r="C1644" s="2" t="s">
        <v>573</v>
      </c>
      <c r="D1644" s="2" t="str">
        <f t="shared" si="24"/>
        <v>Error?</v>
      </c>
    </row>
    <row r="1645" spans="1:4" x14ac:dyDescent="0.2">
      <c r="A1645" s="5">
        <v>1584</v>
      </c>
      <c r="B1645" s="138">
        <f>'Acct Summary 7-8'!E79</f>
        <v>931735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860256</v>
      </c>
      <c r="C1658" s="2" t="s">
        <v>573</v>
      </c>
      <c r="D1658" s="2" t="str">
        <f t="shared" si="24"/>
        <v>Error?</v>
      </c>
    </row>
    <row r="1659" spans="1:4" x14ac:dyDescent="0.2">
      <c r="A1659" s="5">
        <v>1598</v>
      </c>
      <c r="B1659" s="138">
        <f>'Acct Summary 7-8'!F79</f>
        <v>657966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799569</v>
      </c>
      <c r="C1672" s="2" t="s">
        <v>573</v>
      </c>
      <c r="D1672" s="2" t="str">
        <f t="shared" si="25"/>
        <v>Error?</v>
      </c>
    </row>
    <row r="1673" spans="1:4" x14ac:dyDescent="0.2">
      <c r="A1673" s="5">
        <v>1612</v>
      </c>
      <c r="B1673" s="138">
        <f>'Acct Summary 7-8'!G79</f>
        <v>142684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198555</v>
      </c>
      <c r="C1686" s="2" t="s">
        <v>573</v>
      </c>
      <c r="D1686" s="2" t="str">
        <f t="shared" si="25"/>
        <v>Error?</v>
      </c>
    </row>
    <row r="1687" spans="1:4" x14ac:dyDescent="0.2">
      <c r="A1687" s="5">
        <v>1626</v>
      </c>
      <c r="B1687" s="138">
        <f>'Acct Summary 7-8'!H79</f>
        <v>27729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36590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4826593</v>
      </c>
      <c r="C1744" s="2" t="s">
        <v>573</v>
      </c>
      <c r="D1744" s="2" t="str">
        <f t="shared" si="26"/>
        <v>Error?</v>
      </c>
    </row>
    <row r="1745" spans="1:5" x14ac:dyDescent="0.2">
      <c r="A1745" s="5">
        <v>1684</v>
      </c>
      <c r="B1745" s="138">
        <f>'Tax Sched 23'!B5</f>
        <v>923970</v>
      </c>
      <c r="C1745" s="2" t="s">
        <v>573</v>
      </c>
      <c r="D1745" s="2" t="str">
        <f t="shared" si="26"/>
        <v>Error?</v>
      </c>
    </row>
    <row r="1746" spans="1:5" x14ac:dyDescent="0.2">
      <c r="A1746" s="5">
        <v>1685</v>
      </c>
      <c r="B1746" s="138">
        <f>'Tax Sched 23'!B6</f>
        <v>1551036</v>
      </c>
      <c r="C1746" s="2" t="s">
        <v>573</v>
      </c>
      <c r="D1746" s="2" t="str">
        <f t="shared" si="26"/>
        <v>Error?</v>
      </c>
    </row>
    <row r="1747" spans="1:5" x14ac:dyDescent="0.2">
      <c r="A1747" s="5">
        <v>1686</v>
      </c>
      <c r="B1747" s="138">
        <f>'Tax Sched 23'!B7</f>
        <v>379732</v>
      </c>
      <c r="C1747" s="2" t="s">
        <v>573</v>
      </c>
      <c r="D1747" s="2" t="str">
        <f t="shared" si="26"/>
        <v>Error?</v>
      </c>
    </row>
    <row r="1748" spans="1:5" x14ac:dyDescent="0.2">
      <c r="A1748" s="5">
        <v>1687</v>
      </c>
      <c r="B1748" s="138">
        <f>'Tax Sched 23'!B8</f>
        <v>171849</v>
      </c>
      <c r="C1748" s="2" t="s">
        <v>573</v>
      </c>
      <c r="D1748" s="2" t="str">
        <f t="shared" si="26"/>
        <v>Error?</v>
      </c>
    </row>
    <row r="1749" spans="1:5" x14ac:dyDescent="0.2">
      <c r="A1749" s="5">
        <v>1688</v>
      </c>
      <c r="B1749" s="138">
        <f>'Tax Sched 23'!B10</f>
        <v>61992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197823</v>
      </c>
      <c r="C1752" s="2" t="s">
        <v>573</v>
      </c>
      <c r="D1752" s="2" t="str">
        <f t="shared" si="26"/>
        <v>Error?</v>
      </c>
    </row>
    <row r="1753" spans="1:5" x14ac:dyDescent="0.2">
      <c r="A1753" s="5">
        <v>1692</v>
      </c>
      <c r="B1753" s="138">
        <f>'Tax Sched 23'!B12</f>
        <v>1627</v>
      </c>
      <c r="C1753" s="2" t="s">
        <v>573</v>
      </c>
      <c r="D1753" s="2" t="str">
        <f t="shared" si="26"/>
        <v>Error?</v>
      </c>
    </row>
    <row r="1754" spans="1:5" x14ac:dyDescent="0.2">
      <c r="A1754" s="5">
        <v>1693</v>
      </c>
      <c r="B1754" s="138">
        <f>'Tax Sched 23'!B14</f>
        <v>76400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8473236</v>
      </c>
      <c r="C1759" s="2" t="s">
        <v>573</v>
      </c>
      <c r="D1759" s="2" t="str">
        <f t="shared" si="26"/>
        <v>Error?</v>
      </c>
    </row>
    <row r="1760" spans="1:5" x14ac:dyDescent="0.2">
      <c r="A1760" s="5">
        <v>1699</v>
      </c>
      <c r="B1760" s="138">
        <f>'Tax Sched 23'!D4</f>
        <v>2337867</v>
      </c>
      <c r="C1760" s="2" t="s">
        <v>573</v>
      </c>
      <c r="D1760" s="2" t="str">
        <f t="shared" si="26"/>
        <v>Error?</v>
      </c>
    </row>
    <row r="1761" spans="1:5" x14ac:dyDescent="0.2">
      <c r="A1761" s="5">
        <v>1700</v>
      </c>
      <c r="B1761" s="138">
        <f>'Tax Sched 23'!D5</f>
        <v>485627</v>
      </c>
      <c r="C1761" s="2" t="s">
        <v>573</v>
      </c>
      <c r="D1761" s="2" t="str">
        <f t="shared" si="26"/>
        <v>Error?</v>
      </c>
    </row>
    <row r="1762" spans="1:5" s="8" customFormat="1" x14ac:dyDescent="0.2">
      <c r="A1762" s="5">
        <v>1701</v>
      </c>
      <c r="B1762" s="138">
        <f>'Tax Sched 23'!D6</f>
        <v>776024</v>
      </c>
      <c r="C1762" s="2" t="s">
        <v>573</v>
      </c>
      <c r="D1762" s="2" t="str">
        <f t="shared" si="26"/>
        <v>Error?</v>
      </c>
      <c r="E1762" s="9"/>
    </row>
    <row r="1763" spans="1:5" x14ac:dyDescent="0.2">
      <c r="A1763" s="5">
        <v>1702</v>
      </c>
      <c r="B1763" s="138">
        <f>'Tax Sched 23'!D7</f>
        <v>186810</v>
      </c>
      <c r="C1763" s="2" t="s">
        <v>573</v>
      </c>
      <c r="D1763" s="2" t="str">
        <f t="shared" si="26"/>
        <v>Error?</v>
      </c>
    </row>
    <row r="1764" spans="1:5" x14ac:dyDescent="0.2">
      <c r="A1764" s="5">
        <v>1703</v>
      </c>
      <c r="B1764" s="138">
        <f>'Tax Sched 23'!D8</f>
        <v>84108</v>
      </c>
      <c r="C1764" s="2" t="s">
        <v>573</v>
      </c>
      <c r="D1764" s="2" t="str">
        <f t="shared" si="26"/>
        <v>Error?</v>
      </c>
    </row>
    <row r="1765" spans="1:5" x14ac:dyDescent="0.2">
      <c r="A1765" s="5">
        <v>1704</v>
      </c>
      <c r="B1765" s="138">
        <f>'Tax Sched 23'!D10</f>
        <v>29979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96149</v>
      </c>
      <c r="C1768" s="2" t="s">
        <v>573</v>
      </c>
      <c r="D1768" s="2" t="str">
        <f t="shared" si="26"/>
        <v>Error?</v>
      </c>
    </row>
    <row r="1769" spans="1:5" x14ac:dyDescent="0.2">
      <c r="A1769" s="5">
        <v>1708</v>
      </c>
      <c r="B1769" s="138">
        <f>'Tax Sched 23'!D12</f>
        <v>889</v>
      </c>
      <c r="C1769" s="2" t="s">
        <v>573</v>
      </c>
      <c r="D1769" s="2" t="str">
        <f t="shared" si="26"/>
        <v>Error?</v>
      </c>
    </row>
    <row r="1770" spans="1:5" x14ac:dyDescent="0.2">
      <c r="A1770" s="5">
        <v>1709</v>
      </c>
      <c r="B1770" s="138">
        <f>'Tax Sched 23'!D14</f>
        <v>37006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4174498</v>
      </c>
      <c r="C1775" s="2" t="s">
        <v>573</v>
      </c>
      <c r="D1775" s="2" t="str">
        <f t="shared" si="26"/>
        <v>Error?</v>
      </c>
    </row>
    <row r="1776" spans="1:5" x14ac:dyDescent="0.2">
      <c r="A1776" s="5">
        <v>1715</v>
      </c>
      <c r="B1776" s="138">
        <f>'Tax Sched 23'!C4</f>
        <v>2488726</v>
      </c>
      <c r="D1776" s="2" t="str">
        <f t="shared" si="26"/>
        <v>Error?</v>
      </c>
    </row>
    <row r="1777" spans="1:4" x14ac:dyDescent="0.2">
      <c r="A1777" s="5">
        <v>1716</v>
      </c>
      <c r="B1777" s="138">
        <f>'Tax Sched 23'!C5</f>
        <v>438343</v>
      </c>
      <c r="D1777" s="2" t="str">
        <f t="shared" si="26"/>
        <v>Error?</v>
      </c>
    </row>
    <row r="1778" spans="1:4" x14ac:dyDescent="0.2">
      <c r="A1778" s="5">
        <v>1717</v>
      </c>
      <c r="B1778" s="138">
        <f>'Tax Sched 23'!C6</f>
        <v>775012</v>
      </c>
      <c r="D1778" s="2" t="str">
        <f t="shared" si="26"/>
        <v>Error?</v>
      </c>
    </row>
    <row r="1779" spans="1:4" x14ac:dyDescent="0.2">
      <c r="A1779" s="5">
        <v>1718</v>
      </c>
      <c r="B1779" s="138">
        <f>'Tax Sched 23'!C7</f>
        <v>192922</v>
      </c>
      <c r="D1779" s="2" t="str">
        <f t="shared" si="26"/>
        <v>Error?</v>
      </c>
    </row>
    <row r="1780" spans="1:4" x14ac:dyDescent="0.2">
      <c r="A1780" s="5">
        <v>1719</v>
      </c>
      <c r="B1780" s="138">
        <f>'Tax Sched 23'!C8</f>
        <v>87741</v>
      </c>
      <c r="D1780" s="2" t="str">
        <f t="shared" si="26"/>
        <v>Error?</v>
      </c>
    </row>
    <row r="1781" spans="1:4" x14ac:dyDescent="0.2">
      <c r="A1781" s="5">
        <v>1720</v>
      </c>
      <c r="B1781" s="138">
        <f>'Tax Sched 23'!C10</f>
        <v>32013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101674</v>
      </c>
      <c r="D1784" s="2" t="str">
        <f t="shared" si="26"/>
        <v>Error?</v>
      </c>
    </row>
    <row r="1785" spans="1:4" x14ac:dyDescent="0.2">
      <c r="A1785" s="5">
        <v>1724</v>
      </c>
      <c r="B1785" s="138">
        <f>'Tax Sched 23'!C12</f>
        <v>738</v>
      </c>
      <c r="D1785" s="2" t="str">
        <f t="shared" si="26"/>
        <v>Error?</v>
      </c>
    </row>
    <row r="1786" spans="1:4" x14ac:dyDescent="0.2">
      <c r="A1786" s="5">
        <v>1725</v>
      </c>
      <c r="B1786" s="138">
        <f>'Tax Sched 23'!C14</f>
        <v>39394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4298738</v>
      </c>
      <c r="C1791" s="2" t="s">
        <v>573</v>
      </c>
      <c r="D1791" s="2" t="str">
        <f t="shared" ref="D1791:D1854" si="27">IF(ISBLANK(B1791),"OK",IF(A1791-B1791=0,"OK","Error?"))</f>
        <v>Error?</v>
      </c>
    </row>
    <row r="1792" spans="1:4" x14ac:dyDescent="0.2">
      <c r="A1792" s="5">
        <v>1731</v>
      </c>
      <c r="B1792" s="138">
        <f>'Tax Sched 23'!F4</f>
        <v>2735794</v>
      </c>
      <c r="C1792" s="2" t="s">
        <v>573</v>
      </c>
      <c r="D1792" s="2" t="str">
        <f t="shared" si="27"/>
        <v>Error?</v>
      </c>
    </row>
    <row r="1793" spans="1:4" x14ac:dyDescent="0.2">
      <c r="A1793" s="5">
        <v>1732</v>
      </c>
      <c r="B1793" s="138">
        <f>'Tax Sched 23'!F5</f>
        <v>481865</v>
      </c>
      <c r="C1793" s="2" t="s">
        <v>573</v>
      </c>
      <c r="D1793" s="2" t="str">
        <f t="shared" si="27"/>
        <v>Error?</v>
      </c>
    </row>
    <row r="1794" spans="1:4" x14ac:dyDescent="0.2">
      <c r="A1794" s="5">
        <v>1733</v>
      </c>
      <c r="B1794" s="138">
        <f>'Tax Sched 23'!F6</f>
        <v>851961</v>
      </c>
      <c r="C1794" s="2" t="s">
        <v>573</v>
      </c>
      <c r="D1794" s="2" t="str">
        <f t="shared" si="27"/>
        <v>Error?</v>
      </c>
    </row>
    <row r="1795" spans="1:4" x14ac:dyDescent="0.2">
      <c r="A1795" s="5">
        <v>1734</v>
      </c>
      <c r="B1795" s="138">
        <f>'Tax Sched 23'!F7</f>
        <v>212078</v>
      </c>
      <c r="C1795" s="2" t="s">
        <v>573</v>
      </c>
      <c r="D1795" s="2" t="str">
        <f t="shared" si="27"/>
        <v>Error?</v>
      </c>
    </row>
    <row r="1796" spans="1:4" x14ac:dyDescent="0.2">
      <c r="A1796" s="5">
        <v>1735</v>
      </c>
      <c r="B1796" s="138">
        <f>'Tax Sched 23'!F8</f>
        <v>96456</v>
      </c>
      <c r="C1796" s="2" t="s">
        <v>573</v>
      </c>
      <c r="D1796" s="2" t="str">
        <f t="shared" si="27"/>
        <v>Error?</v>
      </c>
    </row>
    <row r="1797" spans="1:4" x14ac:dyDescent="0.2">
      <c r="A1797" s="5">
        <v>1736</v>
      </c>
      <c r="B1797" s="138">
        <f>'Tax Sched 23'!F10</f>
        <v>35197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111769</v>
      </c>
      <c r="C1800" s="2" t="s">
        <v>573</v>
      </c>
      <c r="D1800" s="2" t="str">
        <f t="shared" si="27"/>
        <v>Error?</v>
      </c>
    </row>
    <row r="1801" spans="1:4" x14ac:dyDescent="0.2">
      <c r="A1801" s="5">
        <v>1740</v>
      </c>
      <c r="B1801" s="138">
        <f>'Tax Sched 23'!F12</f>
        <v>812</v>
      </c>
      <c r="C1801" s="2" t="s">
        <v>573</v>
      </c>
      <c r="D1801" s="2" t="str">
        <f t="shared" si="27"/>
        <v>Error?</v>
      </c>
    </row>
    <row r="1802" spans="1:4" x14ac:dyDescent="0.2">
      <c r="A1802" s="5">
        <v>1741</v>
      </c>
      <c r="B1802" s="138">
        <f>'Tax Sched 23'!F14</f>
        <v>43310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4725539</v>
      </c>
      <c r="C1807" s="2" t="s">
        <v>573</v>
      </c>
      <c r="D1807" s="2" t="str">
        <f t="shared" si="27"/>
        <v>Error?</v>
      </c>
    </row>
    <row r="1808" spans="1:4" x14ac:dyDescent="0.2">
      <c r="A1808" s="5">
        <v>1747</v>
      </c>
      <c r="B1808" s="138">
        <f>'Tax Sched 23'!E4</f>
        <v>5224520</v>
      </c>
      <c r="D1808" s="2" t="str">
        <f t="shared" si="27"/>
        <v>Error?</v>
      </c>
    </row>
    <row r="1809" spans="1:4" x14ac:dyDescent="0.2">
      <c r="A1809" s="5">
        <v>1748</v>
      </c>
      <c r="B1809" s="138">
        <f>'Tax Sched 23'!E5</f>
        <v>920208</v>
      </c>
      <c r="D1809" s="2" t="str">
        <f t="shared" si="27"/>
        <v>Error?</v>
      </c>
    </row>
    <row r="1810" spans="1:4" x14ac:dyDescent="0.2">
      <c r="A1810" s="5">
        <v>1749</v>
      </c>
      <c r="B1810" s="138">
        <f>'Tax Sched 23'!E6</f>
        <v>1626973</v>
      </c>
      <c r="D1810" s="2" t="str">
        <f t="shared" si="27"/>
        <v>Error?</v>
      </c>
    </row>
    <row r="1811" spans="1:4" x14ac:dyDescent="0.2">
      <c r="A1811" s="5">
        <v>1750</v>
      </c>
      <c r="B1811" s="138">
        <f>'Tax Sched 23'!E7</f>
        <v>405000</v>
      </c>
      <c r="D1811" s="2" t="str">
        <f t="shared" si="27"/>
        <v>Error?</v>
      </c>
    </row>
    <row r="1812" spans="1:4" x14ac:dyDescent="0.2">
      <c r="A1812" s="5">
        <v>1751</v>
      </c>
      <c r="B1812" s="138">
        <f>'Tax Sched 23'!E8</f>
        <v>184197</v>
      </c>
      <c r="D1812" s="2" t="str">
        <f t="shared" si="27"/>
        <v>Error?</v>
      </c>
    </row>
    <row r="1813" spans="1:4" x14ac:dyDescent="0.2">
      <c r="A1813" s="5">
        <v>1752</v>
      </c>
      <c r="B1813" s="138">
        <f>'Tax Sched 23'!E10</f>
        <v>67210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213443</v>
      </c>
      <c r="D1816" s="2" t="str">
        <f t="shared" si="27"/>
        <v>Error?</v>
      </c>
    </row>
    <row r="1817" spans="1:4" x14ac:dyDescent="0.2">
      <c r="A1817" s="5">
        <v>1756</v>
      </c>
      <c r="B1817" s="138">
        <f>'Tax Sched 23'!E12</f>
        <v>1550</v>
      </c>
      <c r="D1817" s="2" t="str">
        <f t="shared" si="27"/>
        <v>Error?</v>
      </c>
    </row>
    <row r="1818" spans="1:4" x14ac:dyDescent="0.2">
      <c r="A1818" s="5">
        <v>1757</v>
      </c>
      <c r="B1818" s="138">
        <f>'Tax Sched 23'!E14</f>
        <v>82704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9024277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11943171</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76400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76400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76400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434100</v>
      </c>
      <c r="D2008" s="2" t="str">
        <f t="shared" si="30"/>
        <v>Error?</v>
      </c>
    </row>
    <row r="2009" spans="1:4" x14ac:dyDescent="0.2">
      <c r="A2009" s="5">
        <v>1948</v>
      </c>
      <c r="B2009" s="138">
        <f>'Cap Outlay Deprec 26'!C8</f>
        <v>19920344</v>
      </c>
      <c r="D2009" s="2" t="str">
        <f t="shared" si="30"/>
        <v>Error?</v>
      </c>
    </row>
    <row r="2010" spans="1:4" x14ac:dyDescent="0.2">
      <c r="A2010" s="5">
        <v>1949</v>
      </c>
      <c r="B2010" s="138">
        <f>'Cap Outlay Deprec 26'!C10</f>
        <v>1176145</v>
      </c>
      <c r="D2010" s="2" t="str">
        <f t="shared" si="30"/>
        <v>Error?</v>
      </c>
    </row>
    <row r="2011" spans="1:4" x14ac:dyDescent="0.2">
      <c r="A2011" s="5">
        <v>1950</v>
      </c>
      <c r="B2011" s="138">
        <f>'Cap Outlay Deprec 26'!C12</f>
        <v>2027344</v>
      </c>
      <c r="D2011" s="2" t="str">
        <f t="shared" si="30"/>
        <v>Error?</v>
      </c>
    </row>
    <row r="2012" spans="1:4" x14ac:dyDescent="0.2">
      <c r="A2012" s="5">
        <v>1951</v>
      </c>
      <c r="B2012" s="138">
        <f>'Cap Outlay Deprec 26'!C13</f>
        <v>2089264</v>
      </c>
      <c r="D2012" s="2" t="str">
        <f t="shared" si="30"/>
        <v>Error?</v>
      </c>
    </row>
    <row r="2013" spans="1:4" x14ac:dyDescent="0.2">
      <c r="A2013" s="5">
        <v>1952</v>
      </c>
      <c r="B2013" s="138">
        <f>'Cap Outlay Deprec 26'!C16</f>
        <v>25647197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58541</v>
      </c>
      <c r="D2017" s="2" t="str">
        <f t="shared" si="30"/>
        <v>Error?</v>
      </c>
    </row>
    <row r="2018" spans="1:4" x14ac:dyDescent="0.2">
      <c r="A2018" s="5">
        <v>1957</v>
      </c>
      <c r="B2018" s="138">
        <f>'Cap Outlay Deprec 26'!D13</f>
        <v>172823</v>
      </c>
      <c r="D2018" s="2" t="str">
        <f t="shared" si="30"/>
        <v>Error?</v>
      </c>
    </row>
    <row r="2019" spans="1:4" x14ac:dyDescent="0.2">
      <c r="A2019" s="5">
        <v>1958</v>
      </c>
      <c r="B2019" s="138">
        <f>'Cap Outlay Deprec 26'!D16</f>
        <v>231364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306051</v>
      </c>
      <c r="D2024" s="2" t="str">
        <f t="shared" si="30"/>
        <v>Error?</v>
      </c>
    </row>
    <row r="2025" spans="1:4" x14ac:dyDescent="0.2">
      <c r="A2025" s="5">
        <v>1964</v>
      </c>
      <c r="B2025" s="138">
        <f>'Cap Outlay Deprec 26'!E16</f>
        <v>306051</v>
      </c>
      <c r="C2025" s="2" t="s">
        <v>573</v>
      </c>
      <c r="D2025" s="2" t="str">
        <f t="shared" si="30"/>
        <v>Error?</v>
      </c>
    </row>
    <row r="2026" spans="1:4" x14ac:dyDescent="0.2">
      <c r="A2026" s="5">
        <v>1965</v>
      </c>
      <c r="B2026" s="138">
        <f>'Cap Outlay Deprec 26'!F5</f>
        <v>434100</v>
      </c>
      <c r="C2026" s="2" t="s">
        <v>573</v>
      </c>
      <c r="D2026" s="2" t="str">
        <f t="shared" si="30"/>
        <v>Error?</v>
      </c>
    </row>
    <row r="2027" spans="1:4" x14ac:dyDescent="0.2">
      <c r="A2027" s="5">
        <v>1966</v>
      </c>
      <c r="B2027" s="138">
        <f>'Cap Outlay Deprec 26'!F8</f>
        <v>19920344</v>
      </c>
      <c r="C2027" s="2" t="s">
        <v>573</v>
      </c>
      <c r="D2027" s="2" t="str">
        <f t="shared" si="30"/>
        <v>Error?</v>
      </c>
    </row>
    <row r="2028" spans="1:4" x14ac:dyDescent="0.2">
      <c r="A2028" s="5">
        <v>1967</v>
      </c>
      <c r="B2028" s="138">
        <f>'Cap Outlay Deprec 26'!F10</f>
        <v>1176145</v>
      </c>
      <c r="C2028" s="2" t="s">
        <v>573</v>
      </c>
      <c r="D2028" s="2" t="str">
        <f t="shared" si="30"/>
        <v>Error?</v>
      </c>
    </row>
    <row r="2029" spans="1:4" x14ac:dyDescent="0.2">
      <c r="A2029" s="5">
        <v>1968</v>
      </c>
      <c r="B2029" s="138">
        <f>'Cap Outlay Deprec 26'!F12</f>
        <v>2085885</v>
      </c>
      <c r="C2029" s="2" t="s">
        <v>573</v>
      </c>
      <c r="D2029" s="2" t="str">
        <f t="shared" si="30"/>
        <v>Error?</v>
      </c>
    </row>
    <row r="2030" spans="1:4" x14ac:dyDescent="0.2">
      <c r="A2030" s="5">
        <v>1969</v>
      </c>
      <c r="B2030" s="138">
        <f>'Cap Outlay Deprec 26'!F13</f>
        <v>1956036</v>
      </c>
      <c r="C2030" s="2" t="s">
        <v>573</v>
      </c>
      <c r="D2030" s="2" t="str">
        <f t="shared" si="30"/>
        <v>Error?</v>
      </c>
    </row>
    <row r="2031" spans="1:4" x14ac:dyDescent="0.2">
      <c r="A2031" s="5">
        <v>1970</v>
      </c>
      <c r="B2031" s="138">
        <f>'Cap Outlay Deprec 26'!F16</f>
        <v>25572510</v>
      </c>
      <c r="C2031" s="2" t="s">
        <v>573</v>
      </c>
      <c r="D2031" s="2" t="str">
        <f t="shared" si="30"/>
        <v>Error?</v>
      </c>
    </row>
    <row r="2032" spans="1:4" x14ac:dyDescent="0.2">
      <c r="A2032" s="10">
        <v>1971</v>
      </c>
      <c r="D2032" s="2" t="str">
        <f t="shared" si="30"/>
        <v>OK</v>
      </c>
    </row>
    <row r="2033" spans="1:4" x14ac:dyDescent="0.2">
      <c r="A2033" s="5">
        <v>1972</v>
      </c>
      <c r="B2033" s="138">
        <f>'Cap Outlay Deprec 26'!H8</f>
        <v>6163201</v>
      </c>
      <c r="D2033" s="2" t="str">
        <f t="shared" si="30"/>
        <v>Error?</v>
      </c>
    </row>
    <row r="2034" spans="1:4" x14ac:dyDescent="0.2">
      <c r="A2034" s="5">
        <v>1973</v>
      </c>
      <c r="B2034" s="138">
        <f>'Cap Outlay Deprec 26'!H10</f>
        <v>774110</v>
      </c>
      <c r="D2034" s="2" t="str">
        <f t="shared" si="30"/>
        <v>Error?</v>
      </c>
    </row>
    <row r="2035" spans="1:4" x14ac:dyDescent="0.2">
      <c r="A2035" s="5">
        <v>1974</v>
      </c>
      <c r="B2035" s="138">
        <f>'Cap Outlay Deprec 26'!H12</f>
        <v>1751656</v>
      </c>
      <c r="D2035" s="2" t="str">
        <f t="shared" si="30"/>
        <v>Error?</v>
      </c>
    </row>
    <row r="2036" spans="1:4" x14ac:dyDescent="0.2">
      <c r="A2036" s="5">
        <v>1975</v>
      </c>
      <c r="B2036" s="138">
        <f>'Cap Outlay Deprec 26'!H13</f>
        <v>1561581</v>
      </c>
      <c r="D2036" s="2" t="str">
        <f t="shared" si="30"/>
        <v>Error?</v>
      </c>
    </row>
    <row r="2037" spans="1:4" x14ac:dyDescent="0.2">
      <c r="A2037" s="5">
        <v>1976</v>
      </c>
      <c r="B2037" s="138">
        <f>'Cap Outlay Deprec 26'!H16</f>
        <v>10250548</v>
      </c>
      <c r="C2037" s="2" t="s">
        <v>573</v>
      </c>
      <c r="D2037" s="2" t="str">
        <f t="shared" si="30"/>
        <v>Error?</v>
      </c>
    </row>
    <row r="2038" spans="1:4" x14ac:dyDescent="0.2">
      <c r="A2038" s="10">
        <v>1977</v>
      </c>
      <c r="D2038" s="2" t="str">
        <f t="shared" si="30"/>
        <v>OK</v>
      </c>
    </row>
    <row r="2039" spans="1:4" x14ac:dyDescent="0.2">
      <c r="A2039" s="5">
        <v>1978</v>
      </c>
      <c r="B2039" s="138">
        <f>'Cap Outlay Deprec 26'!I8</f>
        <v>398407</v>
      </c>
      <c r="D2039" s="2" t="str">
        <f t="shared" si="30"/>
        <v>Error?</v>
      </c>
    </row>
    <row r="2040" spans="1:4" x14ac:dyDescent="0.2">
      <c r="A2040" s="5">
        <v>1979</v>
      </c>
      <c r="B2040" s="138">
        <f>'Cap Outlay Deprec 26'!I10</f>
        <v>59884</v>
      </c>
      <c r="D2040" s="2" t="str">
        <f t="shared" si="30"/>
        <v>Error?</v>
      </c>
    </row>
    <row r="2041" spans="1:4" x14ac:dyDescent="0.2">
      <c r="A2041" s="5">
        <v>1980</v>
      </c>
      <c r="B2041" s="138">
        <f>'Cap Outlay Deprec 26'!I12</f>
        <v>60362</v>
      </c>
      <c r="D2041" s="2" t="str">
        <f t="shared" si="30"/>
        <v>Error?</v>
      </c>
    </row>
    <row r="2042" spans="1:4" x14ac:dyDescent="0.2">
      <c r="A2042" s="5">
        <v>1981</v>
      </c>
      <c r="B2042" s="138">
        <f>'Cap Outlay Deprec 26'!I13</f>
        <v>199031</v>
      </c>
      <c r="D2042" s="2" t="str">
        <f t="shared" si="30"/>
        <v>Error?</v>
      </c>
    </row>
    <row r="2043" spans="1:4" x14ac:dyDescent="0.2">
      <c r="A2043" s="5">
        <v>1982</v>
      </c>
      <c r="B2043" s="138">
        <f>'Cap Outlay Deprec 26'!I16</f>
        <v>717684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306051</v>
      </c>
      <c r="D2048" s="2" t="str">
        <f t="shared" si="31"/>
        <v>Error?</v>
      </c>
    </row>
    <row r="2049" spans="1:4" x14ac:dyDescent="0.2">
      <c r="A2049" s="5">
        <v>1988</v>
      </c>
      <c r="B2049" s="138">
        <f>'Cap Outlay Deprec 26'!J16</f>
        <v>306051</v>
      </c>
      <c r="C2049" s="2" t="s">
        <v>573</v>
      </c>
      <c r="D2049" s="2" t="str">
        <f t="shared" si="31"/>
        <v>Error?</v>
      </c>
    </row>
    <row r="2050" spans="1:4" x14ac:dyDescent="0.2">
      <c r="A2050" s="10">
        <v>1989</v>
      </c>
      <c r="D2050" s="2" t="str">
        <f t="shared" si="31"/>
        <v>OK</v>
      </c>
    </row>
    <row r="2051" spans="1:4" x14ac:dyDescent="0.2">
      <c r="A2051" s="5">
        <v>1990</v>
      </c>
      <c r="B2051" s="138">
        <f>'Cap Outlay Deprec 26'!K8</f>
        <v>6561608</v>
      </c>
      <c r="C2051" s="2" t="s">
        <v>573</v>
      </c>
      <c r="D2051" s="2" t="str">
        <f t="shared" si="31"/>
        <v>Error?</v>
      </c>
    </row>
    <row r="2052" spans="1:4" x14ac:dyDescent="0.2">
      <c r="A2052" s="5">
        <v>1991</v>
      </c>
      <c r="B2052" s="138">
        <f>'Cap Outlay Deprec 26'!K10</f>
        <v>833994</v>
      </c>
      <c r="C2052" s="2" t="s">
        <v>573</v>
      </c>
      <c r="D2052" s="2" t="str">
        <f t="shared" si="31"/>
        <v>Error?</v>
      </c>
    </row>
    <row r="2053" spans="1:4" x14ac:dyDescent="0.2">
      <c r="A2053" s="5">
        <v>1992</v>
      </c>
      <c r="B2053" s="138">
        <f>'Cap Outlay Deprec 26'!K12</f>
        <v>1812018</v>
      </c>
      <c r="C2053" s="2" t="s">
        <v>573</v>
      </c>
      <c r="D2053" s="2" t="str">
        <f t="shared" si="31"/>
        <v>Error?</v>
      </c>
    </row>
    <row r="2054" spans="1:4" x14ac:dyDescent="0.2">
      <c r="A2054" s="5">
        <v>1993</v>
      </c>
      <c r="B2054" s="138">
        <f>'Cap Outlay Deprec 26'!K13</f>
        <v>1454561</v>
      </c>
      <c r="C2054" s="2" t="s">
        <v>573</v>
      </c>
      <c r="D2054" s="2" t="str">
        <f t="shared" si="31"/>
        <v>Error?</v>
      </c>
    </row>
    <row r="2055" spans="1:4" x14ac:dyDescent="0.2">
      <c r="A2055" s="5">
        <v>1994</v>
      </c>
      <c r="B2055" s="138">
        <f>'Cap Outlay Deprec 26'!K16</f>
        <v>10662181</v>
      </c>
      <c r="C2055" s="2" t="s">
        <v>573</v>
      </c>
      <c r="D2055" s="2" t="str">
        <f t="shared" si="31"/>
        <v>Error?</v>
      </c>
    </row>
    <row r="2056" spans="1:4" x14ac:dyDescent="0.2">
      <c r="A2056" s="5">
        <v>1995</v>
      </c>
      <c r="B2056" s="138">
        <f>'Cap Outlay Deprec 26'!L5</f>
        <v>434100</v>
      </c>
      <c r="C2056" s="2" t="s">
        <v>573</v>
      </c>
      <c r="D2056" s="2" t="str">
        <f t="shared" si="31"/>
        <v>Error?</v>
      </c>
    </row>
    <row r="2057" spans="1:4" x14ac:dyDescent="0.2">
      <c r="A2057" s="5">
        <v>1996</v>
      </c>
      <c r="B2057" s="138">
        <f>'Cap Outlay Deprec 26'!L8</f>
        <v>13358736</v>
      </c>
      <c r="C2057" s="2" t="s">
        <v>573</v>
      </c>
      <c r="D2057" s="2" t="str">
        <f t="shared" si="31"/>
        <v>Error?</v>
      </c>
    </row>
    <row r="2058" spans="1:4" x14ac:dyDescent="0.2">
      <c r="A2058" s="5">
        <v>1997</v>
      </c>
      <c r="B2058" s="138">
        <f>'Cap Outlay Deprec 26'!L10</f>
        <v>342151</v>
      </c>
      <c r="C2058" s="2" t="s">
        <v>573</v>
      </c>
      <c r="D2058" s="2" t="str">
        <f t="shared" si="31"/>
        <v>Error?</v>
      </c>
    </row>
    <row r="2059" spans="1:4" x14ac:dyDescent="0.2">
      <c r="A2059" s="5">
        <v>1998</v>
      </c>
      <c r="B2059" s="138">
        <f>'Cap Outlay Deprec 26'!L12</f>
        <v>273867</v>
      </c>
      <c r="C2059" s="2" t="s">
        <v>573</v>
      </c>
      <c r="D2059" s="2" t="str">
        <f t="shared" si="31"/>
        <v>Error?</v>
      </c>
    </row>
    <row r="2060" spans="1:4" x14ac:dyDescent="0.2">
      <c r="A2060" s="5">
        <v>1999</v>
      </c>
      <c r="B2060" s="138">
        <f>'Cap Outlay Deprec 26'!L13</f>
        <v>501475</v>
      </c>
      <c r="C2060" s="2" t="s">
        <v>573</v>
      </c>
      <c r="D2060" s="2" t="str">
        <f t="shared" si="31"/>
        <v>Error?</v>
      </c>
    </row>
    <row r="2061" spans="1:4" x14ac:dyDescent="0.2">
      <c r="A2061" s="5">
        <v>2000</v>
      </c>
      <c r="B2061" s="138">
        <f>'Cap Outlay Deprec 26'!L16</f>
        <v>14910329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429610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429610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30512</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30512</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174173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36590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5542367</v>
      </c>
      <c r="C2551" s="2" t="s">
        <v>573</v>
      </c>
      <c r="D2551" s="2" t="str">
        <f t="shared" si="38"/>
        <v>Error?</v>
      </c>
    </row>
    <row r="2552" spans="1:4" x14ac:dyDescent="0.2">
      <c r="A2552" s="10">
        <v>2491</v>
      </c>
      <c r="D2552" s="2" t="str">
        <f t="shared" si="38"/>
        <v>OK</v>
      </c>
    </row>
    <row r="2553" spans="1:4" x14ac:dyDescent="0.2">
      <c r="A2553" s="5">
        <v>2492</v>
      </c>
      <c r="B2553" s="138">
        <f>'Acct Summary 7-8'!C6</f>
        <v>1114318</v>
      </c>
      <c r="C2553" s="2" t="s">
        <v>573</v>
      </c>
      <c r="D2553" s="2" t="str">
        <f t="shared" si="38"/>
        <v>Error?</v>
      </c>
    </row>
    <row r="2554" spans="1:4" x14ac:dyDescent="0.2">
      <c r="A2554" s="5">
        <v>2493</v>
      </c>
      <c r="B2554" s="138">
        <f>'Acct Summary 7-8'!C7</f>
        <v>401385</v>
      </c>
      <c r="C2554" s="2" t="s">
        <v>573</v>
      </c>
      <c r="D2554" s="2" t="str">
        <f t="shared" si="38"/>
        <v>Error?</v>
      </c>
    </row>
    <row r="2555" spans="1:4" x14ac:dyDescent="0.2">
      <c r="A2555" s="5">
        <v>2494</v>
      </c>
      <c r="B2555" s="138">
        <f>'Acct Summary 7-8'!C8</f>
        <v>7058070</v>
      </c>
      <c r="C2555" s="2" t="s">
        <v>573</v>
      </c>
      <c r="D2555" s="2" t="str">
        <f t="shared" si="38"/>
        <v>Error?</v>
      </c>
    </row>
    <row r="2556" spans="1:4" x14ac:dyDescent="0.2">
      <c r="A2556" s="5">
        <v>2495</v>
      </c>
      <c r="B2556" s="138">
        <f>'Acct Summary 7-8'!C12</f>
        <v>4728715</v>
      </c>
      <c r="C2556" s="2" t="s">
        <v>573</v>
      </c>
      <c r="D2556" s="2" t="str">
        <f t="shared" si="38"/>
        <v>Error?</v>
      </c>
    </row>
    <row r="2557" spans="1:4" x14ac:dyDescent="0.2">
      <c r="A2557" s="5">
        <v>2496</v>
      </c>
      <c r="B2557" s="138">
        <f>'Acct Summary 7-8'!C13</f>
        <v>1918451</v>
      </c>
      <c r="C2557" s="2" t="s">
        <v>573</v>
      </c>
      <c r="D2557" s="2" t="str">
        <f t="shared" si="38"/>
        <v>Error?</v>
      </c>
    </row>
    <row r="2558" spans="1:4" x14ac:dyDescent="0.2">
      <c r="A2558" s="5">
        <v>2497</v>
      </c>
      <c r="B2558" s="138">
        <f>'Acct Summary 7-8'!C14</f>
        <v>13376</v>
      </c>
      <c r="C2558" s="2" t="s">
        <v>573</v>
      </c>
      <c r="D2558" s="2" t="str">
        <f t="shared" si="38"/>
        <v>Error?</v>
      </c>
    </row>
    <row r="2559" spans="1:4" x14ac:dyDescent="0.2">
      <c r="A2559" s="5">
        <v>2498</v>
      </c>
      <c r="B2559" s="138">
        <f>'Acct Summary 7-8'!C15</f>
        <v>429610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7090152</v>
      </c>
      <c r="C2561" s="2" t="s">
        <v>573</v>
      </c>
      <c r="D2561" s="2" t="str">
        <f t="shared" si="39"/>
        <v>Error?</v>
      </c>
    </row>
    <row r="2562" spans="1:4" x14ac:dyDescent="0.2">
      <c r="A2562" s="5">
        <v>2501</v>
      </c>
      <c r="B2562" s="138">
        <f>'Acct Summary 7-8'!C20</f>
        <v>-32082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1118767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1118767</v>
      </c>
      <c r="C2568" s="2" t="s">
        <v>573</v>
      </c>
      <c r="D2568" s="2" t="str">
        <f t="shared" si="39"/>
        <v>Error?</v>
      </c>
    </row>
    <row r="2569" spans="1:4" x14ac:dyDescent="0.2">
      <c r="A2569" s="5">
        <v>2508</v>
      </c>
      <c r="B2569" s="138">
        <f>'Acct Summary 7-8'!D13</f>
        <v>1122448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30512</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1152960</v>
      </c>
      <c r="C2573" s="2" t="s">
        <v>573</v>
      </c>
      <c r="D2573" s="2" t="str">
        <f t="shared" si="39"/>
        <v>Error?</v>
      </c>
    </row>
    <row r="2574" spans="1:4" x14ac:dyDescent="0.2">
      <c r="A2574" s="5">
        <v>2513</v>
      </c>
      <c r="B2574" s="138">
        <f>'Acct Summary 7-8'!D20</f>
        <v>-34193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475845</v>
      </c>
      <c r="C2591" s="2" t="s">
        <v>573</v>
      </c>
      <c r="D2591" s="2" t="str">
        <f t="shared" si="39"/>
        <v>Error?</v>
      </c>
    </row>
    <row r="2592" spans="1:4" x14ac:dyDescent="0.2">
      <c r="A2592" s="10">
        <v>2531</v>
      </c>
      <c r="D2592" s="2" t="str">
        <f t="shared" si="39"/>
        <v>OK</v>
      </c>
    </row>
    <row r="2593" spans="1:4" x14ac:dyDescent="0.2">
      <c r="A2593" s="5">
        <v>2532</v>
      </c>
      <c r="B2593" s="138">
        <f>'Acct Summary 7-8'!F6</f>
        <v>363536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839381</v>
      </c>
      <c r="C2595" s="2" t="s">
        <v>573</v>
      </c>
      <c r="D2595" s="2" t="str">
        <f t="shared" si="39"/>
        <v>Error?</v>
      </c>
    </row>
    <row r="2596" spans="1:4" x14ac:dyDescent="0.2">
      <c r="A2596" s="5">
        <v>2535</v>
      </c>
      <c r="B2596" s="138">
        <f>'Acct Summary 7-8'!F13</f>
        <v>697778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697778</v>
      </c>
      <c r="C2600" s="2" t="s">
        <v>573</v>
      </c>
      <c r="D2600" s="2" t="str">
        <f t="shared" si="39"/>
        <v>Error?</v>
      </c>
    </row>
    <row r="2601" spans="1:4" x14ac:dyDescent="0.2">
      <c r="A2601" s="5">
        <v>2540</v>
      </c>
      <c r="B2601" s="138">
        <f>'Acct Summary 7-8'!F20</f>
        <v>141603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358538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358538</v>
      </c>
      <c r="C2606" s="2" t="s">
        <v>573</v>
      </c>
      <c r="D2606" s="2" t="str">
        <f t="shared" si="39"/>
        <v>Error?</v>
      </c>
    </row>
    <row r="2607" spans="1:4" x14ac:dyDescent="0.2">
      <c r="A2607" s="5">
        <v>2546</v>
      </c>
      <c r="B2607" s="138">
        <f>'Acct Summary 7-8'!G12</f>
        <v>103290</v>
      </c>
      <c r="C2607" s="2" t="s">
        <v>573</v>
      </c>
      <c r="D2607" s="2" t="str">
        <f t="shared" si="39"/>
        <v>Error?</v>
      </c>
    </row>
    <row r="2608" spans="1:4" x14ac:dyDescent="0.2">
      <c r="A2608" s="5">
        <v>2547</v>
      </c>
      <c r="B2608" s="138">
        <f>'Acct Summary 7-8'!G13</f>
        <v>199175</v>
      </c>
      <c r="C2608" s="2" t="s">
        <v>573</v>
      </c>
      <c r="D2608" s="2" t="str">
        <f t="shared" si="39"/>
        <v>Error?</v>
      </c>
    </row>
    <row r="2609" spans="1:4" x14ac:dyDescent="0.2">
      <c r="A2609" s="5">
        <v>2548</v>
      </c>
      <c r="B2609" s="138">
        <f>'Acct Summary 7-8'!G14</f>
        <v>202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302667</v>
      </c>
      <c r="C2612" s="2" t="s">
        <v>573</v>
      </c>
      <c r="D2612" s="2" t="str">
        <f t="shared" si="39"/>
        <v>Error?</v>
      </c>
    </row>
    <row r="2613" spans="1:4" x14ac:dyDescent="0.2">
      <c r="A2613" s="5">
        <v>2552</v>
      </c>
      <c r="B2613" s="138">
        <f>'Acct Summary 7-8'!G20</f>
        <v>55871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1558646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1558646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1630125</v>
      </c>
      <c r="C2634" s="2" t="s">
        <v>573</v>
      </c>
      <c r="D2634" s="2" t="str">
        <f t="shared" si="40"/>
        <v>Error?</v>
      </c>
    </row>
    <row r="2635" spans="1:4" x14ac:dyDescent="0.2">
      <c r="A2635" s="5">
        <v>2574</v>
      </c>
      <c r="B2635" s="138">
        <f>'Acct Summary 7-8'!E17</f>
        <v>1630125</v>
      </c>
      <c r="C2635" s="2" t="s">
        <v>573</v>
      </c>
      <c r="D2635" s="2" t="str">
        <f t="shared" si="40"/>
        <v>Error?</v>
      </c>
    </row>
    <row r="2636" spans="1:4" x14ac:dyDescent="0.2">
      <c r="A2636" s="5">
        <v>2575</v>
      </c>
      <c r="B2636" s="138">
        <f>'Acct Summary 7-8'!E20</f>
        <v>-71479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8861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8861</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8861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1250</v>
      </c>
      <c r="D2718" s="2" t="str">
        <f t="shared" si="41"/>
        <v>Error?</v>
      </c>
    </row>
    <row r="2719" spans="1:4" x14ac:dyDescent="0.2">
      <c r="A2719" s="5">
        <v>2658</v>
      </c>
      <c r="B2719" s="138">
        <f>'Expenditures 15-22'!D51</f>
        <v>173</v>
      </c>
      <c r="D2719" s="2" t="str">
        <f t="shared" si="41"/>
        <v>Error?</v>
      </c>
    </row>
    <row r="2720" spans="1:4" x14ac:dyDescent="0.2">
      <c r="A2720" s="5">
        <v>2659</v>
      </c>
      <c r="B2720" s="138">
        <f>'Expenditures 15-22'!E51</f>
        <v>420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1843</v>
      </c>
      <c r="C2724" s="2" t="s">
        <v>573</v>
      </c>
      <c r="D2724" s="2" t="str">
        <f t="shared" si="41"/>
        <v>Error?</v>
      </c>
    </row>
    <row r="2725" spans="1:4" x14ac:dyDescent="0.2">
      <c r="A2725" s="5">
        <v>2664</v>
      </c>
      <c r="B2725" s="138">
        <f>'Expenditures 15-22'!D247</f>
        <v>17</v>
      </c>
      <c r="D2725" s="2" t="str">
        <f t="shared" si="41"/>
        <v>Error?</v>
      </c>
    </row>
    <row r="2726" spans="1:4" x14ac:dyDescent="0.2">
      <c r="A2726" s="5">
        <v>2665</v>
      </c>
      <c r="B2726" s="138">
        <f>'Expenditures 15-22'!K247</f>
        <v>17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1919387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2068377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248579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2068377</v>
      </c>
      <c r="D2912" s="2" t="str">
        <f t="shared" si="44"/>
        <v>Error?</v>
      </c>
    </row>
    <row r="2913" spans="1:4" x14ac:dyDescent="0.2">
      <c r="A2913" s="5">
        <v>2852</v>
      </c>
      <c r="B2913" s="138">
        <f>'Assets-Liab 5-6'!I41</f>
        <v>2068377</v>
      </c>
      <c r="C2913" s="2" t="s">
        <v>573</v>
      </c>
      <c r="D2913" s="2" t="str">
        <f t="shared" si="44"/>
        <v>Error?</v>
      </c>
    </row>
    <row r="2914" spans="1:4" x14ac:dyDescent="0.2">
      <c r="A2914" s="5">
        <v>2853</v>
      </c>
      <c r="B2914" s="138">
        <f>'Assets-Liab 5-6'!L33</f>
        <v>248579</v>
      </c>
      <c r="D2914" s="2" t="str">
        <f t="shared" si="44"/>
        <v>Error?</v>
      </c>
    </row>
    <row r="2915" spans="1:4" x14ac:dyDescent="0.2">
      <c r="A2915" s="10">
        <v>2854</v>
      </c>
      <c r="D2915" s="2" t="str">
        <f t="shared" si="44"/>
        <v>OK</v>
      </c>
    </row>
    <row r="2916" spans="1:4" x14ac:dyDescent="0.2">
      <c r="A2916" s="5">
        <v>2855</v>
      </c>
      <c r="B2916" s="138">
        <f>'Assets-Liab 5-6'!L34</f>
        <v>248579</v>
      </c>
      <c r="C2916" s="2" t="s">
        <v>573</v>
      </c>
      <c r="D2916" s="2" t="str">
        <f t="shared" si="44"/>
        <v>Error?</v>
      </c>
    </row>
    <row r="2917" spans="1:4" x14ac:dyDescent="0.2">
      <c r="A2917" s="5">
        <v>2856</v>
      </c>
      <c r="B2917" s="138">
        <f>'Assets-Liab 5-6'!L41</f>
        <v>248579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374710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54900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374710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54900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30512</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30512</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78074</v>
      </c>
      <c r="D3055" s="2" t="str">
        <f t="shared" si="46"/>
        <v>Error?</v>
      </c>
    </row>
    <row r="3056" spans="1:4" x14ac:dyDescent="0.2">
      <c r="A3056" s="5">
        <v>2995</v>
      </c>
      <c r="B3056" s="138">
        <f>'Expenditures 15-22'!D10</f>
        <v>13467</v>
      </c>
      <c r="D3056" s="2" t="str">
        <f t="shared" si="46"/>
        <v>Error?</v>
      </c>
    </row>
    <row r="3057" spans="1:4" x14ac:dyDescent="0.2">
      <c r="A3057" s="5">
        <v>2996</v>
      </c>
      <c r="B3057" s="138">
        <f>'Expenditures 15-22'!E10</f>
        <v>6140</v>
      </c>
      <c r="D3057" s="2" t="str">
        <f t="shared" si="46"/>
        <v>Error?</v>
      </c>
    </row>
    <row r="3058" spans="1:4" x14ac:dyDescent="0.2">
      <c r="A3058" s="5">
        <v>2997</v>
      </c>
      <c r="B3058" s="138">
        <f>'Expenditures 15-22'!F10</f>
        <v>11513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109194</v>
      </c>
      <c r="C3062" s="2" t="s">
        <v>573</v>
      </c>
      <c r="D3062" s="2" t="str">
        <f t="shared" si="46"/>
        <v>Error?</v>
      </c>
    </row>
    <row r="3063" spans="1:4" x14ac:dyDescent="0.2">
      <c r="A3063" s="10">
        <v>3002</v>
      </c>
      <c r="D3063" s="2" t="str">
        <f t="shared" si="46"/>
        <v>OK</v>
      </c>
    </row>
    <row r="3064" spans="1:4" x14ac:dyDescent="0.2">
      <c r="A3064" s="5">
        <v>3003</v>
      </c>
      <c r="B3064" s="138">
        <f>'Expenditures 15-22'!D219</f>
        <v>6896</v>
      </c>
      <c r="D3064" s="2" t="str">
        <f t="shared" si="46"/>
        <v>Error?</v>
      </c>
    </row>
    <row r="3065" spans="1:4" x14ac:dyDescent="0.2">
      <c r="A3065" s="5">
        <v>3004</v>
      </c>
      <c r="B3065" s="138">
        <f>'Expenditures 15-22'!K219</f>
        <v>6896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108197</v>
      </c>
      <c r="C3225" s="2" t="s">
        <v>573</v>
      </c>
      <c r="D3225" s="2" t="str">
        <f t="shared" si="49"/>
        <v>Error?</v>
      </c>
    </row>
    <row r="3226" spans="1:4" x14ac:dyDescent="0.2">
      <c r="A3226" s="5">
        <v>3165</v>
      </c>
      <c r="B3226" s="138">
        <f>'Acct Summary 7-8'!I8</f>
        <v>108197</v>
      </c>
      <c r="C3226" s="2" t="s">
        <v>573</v>
      </c>
      <c r="D3226" s="2" t="str">
        <f t="shared" si="49"/>
        <v>Error?</v>
      </c>
    </row>
    <row r="3227" spans="1:4" x14ac:dyDescent="0.2">
      <c r="A3227" s="5">
        <v>3166</v>
      </c>
      <c r="B3227" s="138">
        <f>'Acct Summary 7-8'!I20</f>
        <v>108197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-32082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-34193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141603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55871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-71479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8861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108197</v>
      </c>
      <c r="C3320" s="2" t="s">
        <v>573</v>
      </c>
      <c r="D3320" s="2" t="str">
        <f t="shared" si="50"/>
        <v>Error?</v>
      </c>
    </row>
    <row r="3321" spans="1:4" x14ac:dyDescent="0.2">
      <c r="A3321" s="5">
        <v>3260</v>
      </c>
      <c r="B3321" s="138">
        <f>'Acct Summary 7-8'!I79</f>
        <v>1960180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2068377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582090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99148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682205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47725</v>
      </c>
      <c r="D3387" s="2" t="str">
        <f t="shared" si="51"/>
        <v>Error?</v>
      </c>
    </row>
    <row r="3388" spans="1:4" x14ac:dyDescent="0.2">
      <c r="A3388" s="5">
        <v>3327</v>
      </c>
      <c r="B3388" s="138">
        <f>'Expenditures 15-22'!D217</f>
        <v>41824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47725</v>
      </c>
      <c r="C3390" s="2" t="s">
        <v>573</v>
      </c>
      <c r="D3390" s="2" t="str">
        <f t="shared" si="51"/>
        <v>Error?</v>
      </c>
    </row>
    <row r="3391" spans="1:4" x14ac:dyDescent="0.2">
      <c r="A3391" s="5">
        <v>3330</v>
      </c>
      <c r="B3391" s="138">
        <f>'Expenditures 15-22'!K217</f>
        <v>41824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2571849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443475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748834</v>
      </c>
      <c r="D3417" s="2" t="str">
        <f t="shared" si="52"/>
        <v>Error?</v>
      </c>
    </row>
    <row r="3418" spans="1:4" x14ac:dyDescent="0.2">
      <c r="A3418" s="10">
        <v>3357</v>
      </c>
      <c r="D3418" s="2" t="str">
        <f t="shared" si="52"/>
        <v>OK</v>
      </c>
    </row>
    <row r="3419" spans="1:4" x14ac:dyDescent="0.2">
      <c r="A3419" s="5">
        <v>3358</v>
      </c>
      <c r="B3419" s="138">
        <f>'Assets-Liab 5-6'!F4</f>
        <v>549079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147908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36590</v>
      </c>
      <c r="D3425" s="2" t="str">
        <f t="shared" si="52"/>
        <v>Error?</v>
      </c>
    </row>
    <row r="3426" spans="1:4" x14ac:dyDescent="0.2">
      <c r="A3426" s="10">
        <v>3365</v>
      </c>
      <c r="D3426" s="2" t="str">
        <f t="shared" si="52"/>
        <v>OK</v>
      </c>
    </row>
    <row r="3427" spans="1:4" x14ac:dyDescent="0.2">
      <c r="A3427" s="5">
        <v>3366</v>
      </c>
      <c r="B3427" s="138">
        <f>'Assets-Liab 5-6'!I4</f>
        <v>148990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248579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181977</v>
      </c>
      <c r="C3446" s="2" t="s">
        <v>573</v>
      </c>
      <c r="D3446" s="2" t="str">
        <f t="shared" si="52"/>
        <v>Error?</v>
      </c>
    </row>
    <row r="3447" spans="1:4" x14ac:dyDescent="0.2">
      <c r="A3447" s="5">
        <v>3386</v>
      </c>
      <c r="B3447" s="138">
        <f>'Tax Sched 23'!D16</f>
        <v>88977</v>
      </c>
      <c r="C3447" s="2" t="s">
        <v>573</v>
      </c>
      <c r="D3447" s="2" t="str">
        <f t="shared" si="52"/>
        <v>Error?</v>
      </c>
    </row>
    <row r="3448" spans="1:4" x14ac:dyDescent="0.2">
      <c r="A3448" s="5">
        <v>3387</v>
      </c>
      <c r="B3448" s="138">
        <f>'Tax Sched 23'!C16</f>
        <v>93000</v>
      </c>
      <c r="D3448" s="2" t="str">
        <f t="shared" si="52"/>
        <v>Error?</v>
      </c>
    </row>
    <row r="3449" spans="1:4" x14ac:dyDescent="0.2">
      <c r="A3449" s="5">
        <v>3388</v>
      </c>
      <c r="B3449" s="138">
        <f>'Tax Sched 23'!F16</f>
        <v>102237</v>
      </c>
      <c r="C3449" s="2" t="s">
        <v>573</v>
      </c>
      <c r="D3449" s="2" t="str">
        <f t="shared" si="52"/>
        <v>Error?</v>
      </c>
    </row>
    <row r="3450" spans="1:4" x14ac:dyDescent="0.2">
      <c r="A3450" s="5">
        <v>3389</v>
      </c>
      <c r="B3450" s="138">
        <f>'Tax Sched 23'!E16</f>
        <v>195237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4243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435619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439862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439862</v>
      </c>
      <c r="D3567" s="2" t="str">
        <f t="shared" si="54"/>
        <v>Error?</v>
      </c>
    </row>
    <row r="3568" spans="1:4" x14ac:dyDescent="0.2">
      <c r="A3568" s="5">
        <v>3507</v>
      </c>
      <c r="B3568" s="138">
        <f>'Assets-Liab 5-6'!K41</f>
        <v>439862</v>
      </c>
      <c r="C3568" s="2" t="s">
        <v>573</v>
      </c>
      <c r="D3568" s="2" t="str">
        <f t="shared" si="54"/>
        <v>Error?</v>
      </c>
    </row>
    <row r="3569" spans="1:4" x14ac:dyDescent="0.2">
      <c r="A3569" s="5">
        <v>3508</v>
      </c>
      <c r="B3569" s="138">
        <f>'Acct Summary 7-8'!K4</f>
        <v>3495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3495</v>
      </c>
      <c r="C3571" s="2" t="s">
        <v>573</v>
      </c>
      <c r="D3571" s="2" t="str">
        <f t="shared" si="54"/>
        <v>Error?</v>
      </c>
    </row>
    <row r="3572" spans="1:4" x14ac:dyDescent="0.2">
      <c r="A3572" s="5">
        <v>3511</v>
      </c>
      <c r="B3572" s="138">
        <f>'Acct Summary 7-8'!K13</f>
        <v>4032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4032</v>
      </c>
      <c r="C3575" s="2" t="s">
        <v>573</v>
      </c>
      <c r="D3575" s="2" t="str">
        <f t="shared" si="54"/>
        <v>Error?</v>
      </c>
    </row>
    <row r="3576" spans="1:4" x14ac:dyDescent="0.2">
      <c r="A3576" s="5">
        <v>3515</v>
      </c>
      <c r="B3576" s="138">
        <f>'Acct Summary 7-8'!K20</f>
        <v>-537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-537</v>
      </c>
      <c r="C3588" s="2" t="s">
        <v>573</v>
      </c>
      <c r="D3588" s="2" t="str">
        <f t="shared" si="55"/>
        <v>Error?</v>
      </c>
    </row>
    <row r="3589" spans="1:4" x14ac:dyDescent="0.2">
      <c r="A3589" s="5">
        <v>3528</v>
      </c>
      <c r="B3589" s="138">
        <f>'Acct Summary 7-8'!K79</f>
        <v>440399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439862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4032</v>
      </c>
      <c r="D3632" s="2" t="str">
        <f t="shared" si="55"/>
        <v>Error?</v>
      </c>
    </row>
    <row r="3633" spans="1:4" x14ac:dyDescent="0.2">
      <c r="A3633" s="5">
        <v>3572</v>
      </c>
      <c r="B3633" s="138">
        <f>'Expenditures 15-22'!E350</f>
        <v>4032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4032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4032</v>
      </c>
      <c r="C3669" s="2" t="s">
        <v>573</v>
      </c>
      <c r="D3669" s="2" t="str">
        <f t="shared" si="56"/>
        <v>Error?</v>
      </c>
    </row>
    <row r="3670" spans="1:4" x14ac:dyDescent="0.2">
      <c r="A3670" s="5">
        <v>3609</v>
      </c>
      <c r="B3670" s="138">
        <f>'Expenditures 15-22'!K350</f>
        <v>4032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4032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4032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-537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100237</v>
      </c>
      <c r="C3725" s="2" t="s">
        <v>573</v>
      </c>
      <c r="D3725" s="2" t="str">
        <f t="shared" si="57"/>
        <v>Error?</v>
      </c>
    </row>
    <row r="3726" spans="1:4" x14ac:dyDescent="0.2">
      <c r="A3726" s="5">
        <v>3665</v>
      </c>
      <c r="B3726" s="138">
        <f>'Tax Sched 23'!D13</f>
        <v>51062</v>
      </c>
      <c r="C3726" s="2" t="s">
        <v>573</v>
      </c>
      <c r="D3726" s="2" t="str">
        <f t="shared" si="57"/>
        <v>Error?</v>
      </c>
    </row>
    <row r="3727" spans="1:4" x14ac:dyDescent="0.2">
      <c r="A3727" s="5">
        <v>3666</v>
      </c>
      <c r="B3727" s="138">
        <f>'Tax Sched 23'!C13</f>
        <v>49175</v>
      </c>
      <c r="D3727" s="2" t="str">
        <f t="shared" si="57"/>
        <v>Error?</v>
      </c>
    </row>
    <row r="3728" spans="1:4" x14ac:dyDescent="0.2">
      <c r="A3728" s="5">
        <v>3667</v>
      </c>
      <c r="B3728" s="138">
        <f>'Tax Sched 23'!F13</f>
        <v>54060</v>
      </c>
      <c r="C3728" s="2" t="s">
        <v>573</v>
      </c>
      <c r="D3728" s="2" t="str">
        <f t="shared" si="57"/>
        <v>Error?</v>
      </c>
    </row>
    <row r="3729" spans="1:4" x14ac:dyDescent="0.2">
      <c r="A3729" s="5">
        <v>3668</v>
      </c>
      <c r="B3729" s="138">
        <f>'Tax Sched 23'!E13</f>
        <v>103235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2622782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9680852</v>
      </c>
      <c r="C4122" s="2" t="s">
        <v>573</v>
      </c>
      <c r="D4122" s="2" t="str">
        <f t="shared" si="63"/>
        <v>Error?</v>
      </c>
    </row>
    <row r="4123" spans="1:4" x14ac:dyDescent="0.2">
      <c r="A4123" s="5">
        <v>4062</v>
      </c>
      <c r="B4123" s="138">
        <f>'Acct Summary 7-8'!D10</f>
        <v>1118767</v>
      </c>
      <c r="C4123" s="2" t="s">
        <v>573</v>
      </c>
      <c r="D4123" s="2" t="str">
        <f t="shared" si="63"/>
        <v>Error?</v>
      </c>
    </row>
    <row r="4124" spans="1:4" x14ac:dyDescent="0.2">
      <c r="A4124" s="5">
        <v>4063</v>
      </c>
      <c r="B4124" s="138">
        <f>'Acct Summary 7-8'!E10</f>
        <v>1558646</v>
      </c>
      <c r="C4124" s="2" t="s">
        <v>573</v>
      </c>
      <c r="D4124" s="2" t="str">
        <f t="shared" si="63"/>
        <v>Error?</v>
      </c>
    </row>
    <row r="4125" spans="1:4" x14ac:dyDescent="0.2">
      <c r="A4125" s="5">
        <v>4064</v>
      </c>
      <c r="B4125" s="138">
        <f>'Acct Summary 7-8'!F10</f>
        <v>839381</v>
      </c>
      <c r="C4125" s="2" t="s">
        <v>573</v>
      </c>
      <c r="D4125" s="2" t="str">
        <f t="shared" si="63"/>
        <v>Error?</v>
      </c>
    </row>
    <row r="4126" spans="1:4" x14ac:dyDescent="0.2">
      <c r="A4126" s="5">
        <v>4065</v>
      </c>
      <c r="B4126" s="138">
        <f>'Acct Summary 7-8'!G10</f>
        <v>358538</v>
      </c>
      <c r="C4126" s="2" t="s">
        <v>573</v>
      </c>
      <c r="D4126" s="2" t="str">
        <f t="shared" si="63"/>
        <v>Error?</v>
      </c>
    </row>
    <row r="4127" spans="1:4" x14ac:dyDescent="0.2">
      <c r="A4127" s="5">
        <v>4066</v>
      </c>
      <c r="B4127" s="138">
        <f>'Acct Summary 7-8'!H10</f>
        <v>8861</v>
      </c>
      <c r="C4127" s="2" t="s">
        <v>573</v>
      </c>
      <c r="D4127" s="2" t="str">
        <f t="shared" si="63"/>
        <v>Error?</v>
      </c>
    </row>
    <row r="4128" spans="1:4" x14ac:dyDescent="0.2">
      <c r="A4128" s="5">
        <v>4067</v>
      </c>
      <c r="B4128" s="138">
        <f>'Acct Summary 7-8'!I10</f>
        <v>108197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3495</v>
      </c>
      <c r="C4130" s="2" t="s">
        <v>573</v>
      </c>
      <c r="D4130" s="2" t="str">
        <f t="shared" si="63"/>
        <v>Error?</v>
      </c>
    </row>
    <row r="4131" spans="1:4" x14ac:dyDescent="0.2">
      <c r="A4131" s="5">
        <v>4070</v>
      </c>
      <c r="B4131" s="138">
        <f>'Acct Summary 7-8'!C18</f>
        <v>2622782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9712934</v>
      </c>
      <c r="C4136" s="2" t="s">
        <v>573</v>
      </c>
      <c r="D4136" s="2" t="str">
        <f t="shared" si="63"/>
        <v>Error?</v>
      </c>
    </row>
    <row r="4137" spans="1:4" x14ac:dyDescent="0.2">
      <c r="A4137" s="5">
        <v>4076</v>
      </c>
      <c r="B4137" s="138">
        <f>'Acct Summary 7-8'!D19</f>
        <v>1152960</v>
      </c>
      <c r="C4137" s="2" t="s">
        <v>573</v>
      </c>
      <c r="D4137" s="2" t="str">
        <f t="shared" si="63"/>
        <v>Error?</v>
      </c>
    </row>
    <row r="4138" spans="1:4" x14ac:dyDescent="0.2">
      <c r="A4138" s="5">
        <v>4077</v>
      </c>
      <c r="B4138" s="138">
        <f>'Acct Summary 7-8'!E19</f>
        <v>1630125</v>
      </c>
      <c r="C4138" s="2" t="s">
        <v>573</v>
      </c>
      <c r="D4138" s="2" t="str">
        <f t="shared" si="63"/>
        <v>Error?</v>
      </c>
    </row>
    <row r="4139" spans="1:4" x14ac:dyDescent="0.2">
      <c r="A4139" s="5">
        <v>4078</v>
      </c>
      <c r="B4139" s="138">
        <f>'Acct Summary 7-8'!F19</f>
        <v>697778</v>
      </c>
      <c r="C4139" s="2" t="s">
        <v>573</v>
      </c>
      <c r="D4139" s="2" t="str">
        <f t="shared" si="63"/>
        <v>Error?</v>
      </c>
    </row>
    <row r="4140" spans="1:4" x14ac:dyDescent="0.2">
      <c r="A4140" s="5">
        <v>4079</v>
      </c>
      <c r="B4140" s="138">
        <f>'Acct Summary 7-8'!G19</f>
        <v>302667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4032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10668100</v>
      </c>
      <c r="C4171" s="2" t="s">
        <v>573</v>
      </c>
      <c r="D4171" s="2" t="str">
        <f t="shared" si="64"/>
        <v>Error?</v>
      </c>
    </row>
    <row r="4172" spans="1:4" x14ac:dyDescent="0.2">
      <c r="A4172" s="5">
        <v>4111</v>
      </c>
      <c r="B4172" s="138">
        <f>'Short-Term Long-Term Debt 24'!J49</f>
        <v>9807844</v>
      </c>
      <c r="C4172" s="2" t="s">
        <v>573</v>
      </c>
      <c r="D4172" s="2" t="str">
        <f t="shared" si="64"/>
        <v>Error?</v>
      </c>
    </row>
    <row r="4173" spans="1:4" x14ac:dyDescent="0.2">
      <c r="A4173" s="5">
        <v>4112</v>
      </c>
      <c r="B4173" s="138">
        <f>'Short-Term Long-Term Debt 24'!H49</f>
        <v>1275071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750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2697.4</v>
      </c>
      <c r="C4265" s="2" t="s">
        <v>573</v>
      </c>
      <c r="D4265" s="2" t="str">
        <f t="shared" si="65"/>
        <v>Error?</v>
      </c>
      <c r="E4265" s="128"/>
    </row>
    <row r="4266" spans="1:5" x14ac:dyDescent="0.2">
      <c r="A4266" s="12">
        <v>4205</v>
      </c>
      <c r="B4266" s="138">
        <f>('FP Info 3'!F10)*100000</f>
        <v>475.1</v>
      </c>
      <c r="C4266" s="2" t="s">
        <v>573</v>
      </c>
      <c r="D4266" s="2" t="str">
        <f t="shared" si="65"/>
        <v>Error?</v>
      </c>
      <c r="E4266" s="128"/>
    </row>
    <row r="4267" spans="1:5" x14ac:dyDescent="0.2">
      <c r="A4267" s="12">
        <v>4206</v>
      </c>
      <c r="B4267" s="138">
        <f>('FP Info 3'!H10)*100000</f>
        <v>209.1</v>
      </c>
      <c r="C4267" s="2" t="s">
        <v>573</v>
      </c>
      <c r="D4267" s="2" t="str">
        <f t="shared" si="65"/>
        <v>Error?</v>
      </c>
      <c r="E4267" s="128"/>
    </row>
    <row r="4268" spans="1:5" x14ac:dyDescent="0.2">
      <c r="A4268" s="12">
        <v>4207</v>
      </c>
      <c r="B4268" s="138">
        <f>('FP Info 3'!J10)*100000</f>
        <v>3382.0000000000005</v>
      </c>
      <c r="C4268" s="2" t="s">
        <v>573</v>
      </c>
      <c r="D4268" s="2" t="str">
        <f t="shared" si="65"/>
        <v>Error?</v>
      </c>
    </row>
    <row r="4269" spans="1:5" x14ac:dyDescent="0.2">
      <c r="A4269" s="12">
        <v>4208</v>
      </c>
      <c r="B4269" s="138">
        <f>'FP Info 3'!J16</f>
        <v>11690817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2823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9682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17725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21126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34.699999999999996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6574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7395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193687261</v>
      </c>
      <c r="D4995" s="2" t="str">
        <f t="shared" si="77"/>
        <v>Error?</v>
      </c>
    </row>
    <row r="4996" spans="1:4" x14ac:dyDescent="0.2">
      <c r="A4996" s="12">
        <v>4935</v>
      </c>
      <c r="B4996" s="138">
        <f>'FP Info 3'!H31</f>
        <v>26728842.018000003</v>
      </c>
      <c r="D4996" s="2" t="str">
        <f t="shared" si="77"/>
        <v>Error?</v>
      </c>
    </row>
    <row r="4997" spans="1:4" x14ac:dyDescent="0.2">
      <c r="A4997" s="12">
        <v>4936</v>
      </c>
      <c r="B4997" s="138">
        <f>'FP Info 3'!H37</f>
        <v>10668100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100237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4826593</v>
      </c>
      <c r="D5061" s="2" t="str">
        <f t="shared" si="78"/>
        <v>Error?</v>
      </c>
    </row>
    <row r="5062" spans="1:4" x14ac:dyDescent="0.2">
      <c r="A5062" s="10">
        <v>5001</v>
      </c>
      <c r="D5062" s="2" t="str">
        <f t="shared" si="78"/>
        <v>OK</v>
      </c>
    </row>
    <row r="5063" spans="1:4" x14ac:dyDescent="0.2">
      <c r="A5063" s="5">
        <v>5002</v>
      </c>
      <c r="B5063" s="138">
        <f>'Revenues 9-14'!C7</f>
        <v>76400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5003230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74052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74052</v>
      </c>
      <c r="C5071" s="2" t="s">
        <v>573</v>
      </c>
      <c r="D5071" s="2" t="str">
        <f t="shared" si="78"/>
        <v>Error?</v>
      </c>
    </row>
    <row r="5072" spans="1:4" x14ac:dyDescent="0.2">
      <c r="A5072" s="5">
        <v>5011</v>
      </c>
      <c r="B5072" s="138">
        <f>'Revenues 9-14'!C20</f>
        <v>3500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3500</v>
      </c>
      <c r="C5087" s="2" t="s">
        <v>573</v>
      </c>
      <c r="D5087" s="2" t="str">
        <f t="shared" si="78"/>
        <v>Error?</v>
      </c>
    </row>
    <row r="5088" spans="1:4" x14ac:dyDescent="0.2">
      <c r="A5088" s="5">
        <v>5027</v>
      </c>
      <c r="B5088" s="138">
        <f>'Revenues 9-14'!C65</f>
        <v>131565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131565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1439</v>
      </c>
      <c r="D5092" s="2" t="str">
        <f t="shared" si="78"/>
        <v>Error?</v>
      </c>
    </row>
    <row r="5093" spans="1:4" x14ac:dyDescent="0.2">
      <c r="A5093" s="5">
        <v>5032</v>
      </c>
      <c r="B5093" s="138">
        <f>'Revenues 9-14'!C72</f>
        <v>486</v>
      </c>
      <c r="D5093" s="2" t="str">
        <f t="shared" si="78"/>
        <v>Error?</v>
      </c>
    </row>
    <row r="5094" spans="1:4" x14ac:dyDescent="0.2">
      <c r="A5094" s="5">
        <v>5033</v>
      </c>
      <c r="B5094" s="138">
        <f>'Revenues 9-14'!C73</f>
        <v>5585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144396</v>
      </c>
      <c r="C5096" s="2" t="s">
        <v>573</v>
      </c>
      <c r="D5096" s="2" t="str">
        <f t="shared" si="78"/>
        <v>Error?</v>
      </c>
    </row>
    <row r="5097" spans="1:4" x14ac:dyDescent="0.2">
      <c r="A5097" s="5">
        <v>5036</v>
      </c>
      <c r="B5097" s="138">
        <f>'Revenues 9-14'!C77</f>
        <v>26166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23999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50165</v>
      </c>
      <c r="C5102" s="2" t="s">
        <v>573</v>
      </c>
      <c r="D5102" s="2" t="str">
        <f t="shared" si="78"/>
        <v>Error?</v>
      </c>
    </row>
    <row r="5103" spans="1:4" x14ac:dyDescent="0.2">
      <c r="A5103" s="5">
        <v>5042</v>
      </c>
      <c r="B5103" s="138">
        <f>'Revenues 9-14'!C84</f>
        <v>68279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68279</v>
      </c>
      <c r="C5112" s="2" t="s">
        <v>573</v>
      </c>
      <c r="D5112" s="2" t="str">
        <f t="shared" si="78"/>
        <v>Error?</v>
      </c>
    </row>
    <row r="5113" spans="1:4" x14ac:dyDescent="0.2">
      <c r="A5113" s="5">
        <v>5052</v>
      </c>
      <c r="B5113" s="138">
        <f>'Revenues 9-14'!C95</f>
        <v>95</v>
      </c>
      <c r="D5113" s="2" t="str">
        <f t="shared" si="78"/>
        <v>Error?</v>
      </c>
    </row>
    <row r="5114" spans="1:4" x14ac:dyDescent="0.2">
      <c r="A5114" s="5">
        <v>5053</v>
      </c>
      <c r="B5114" s="138">
        <f>'Revenues 9-14'!C96</f>
        <v>420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32887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20179</v>
      </c>
      <c r="D5119" s="2" t="str">
        <f t="shared" ref="D5119:D5182" si="79">IF(ISBLANK(B5119),"OK",IF(A5119-B5119=0,"OK","Error?"))</f>
        <v>Error?</v>
      </c>
    </row>
    <row r="5120" spans="1:4" x14ac:dyDescent="0.2">
      <c r="A5120" s="5">
        <v>5059</v>
      </c>
      <c r="B5120" s="138">
        <f>'Revenues 9-14'!C108</f>
        <v>67180</v>
      </c>
      <c r="C5120" s="2" t="s">
        <v>573</v>
      </c>
      <c r="D5120" s="2" t="str">
        <f t="shared" si="79"/>
        <v>Error?</v>
      </c>
    </row>
    <row r="5121" spans="1:4" x14ac:dyDescent="0.2">
      <c r="A5121" s="5">
        <v>5060</v>
      </c>
      <c r="B5121" s="138">
        <f>'Revenues 9-14'!C109</f>
        <v>5542367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765612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765612</v>
      </c>
      <c r="C5132" s="2" t="s">
        <v>573</v>
      </c>
      <c r="D5132" s="2" t="str">
        <f t="shared" si="79"/>
        <v>Error?</v>
      </c>
    </row>
    <row r="5133" spans="1:4" x14ac:dyDescent="0.2">
      <c r="A5133" s="5">
        <v>5072</v>
      </c>
      <c r="B5133" s="138">
        <f>'Revenues 9-14'!C125</f>
        <v>25486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4095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29581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7186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13766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2709</v>
      </c>
      <c r="D5167" s="2" t="str">
        <f t="shared" si="79"/>
        <v>Error?</v>
      </c>
    </row>
    <row r="5168" spans="1:4" x14ac:dyDescent="0.2">
      <c r="A5168" s="5">
        <v>5107</v>
      </c>
      <c r="B5168" s="138">
        <f>'Revenues 9-14'!C148</f>
        <v>11555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283700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348706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1114318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118152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35758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153910</v>
      </c>
      <c r="C5246" s="2" t="s">
        <v>573</v>
      </c>
      <c r="D5246" s="2" t="str">
        <f t="shared" si="80"/>
        <v>Error?</v>
      </c>
    </row>
    <row r="5247" spans="1:4" x14ac:dyDescent="0.2">
      <c r="A5247" s="5">
        <v>5186</v>
      </c>
      <c r="B5247" s="138">
        <f>'Revenues 9-14'!C200</f>
        <v>118465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17725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118465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74168</v>
      </c>
      <c r="D5278" s="2" t="str">
        <f t="shared" si="81"/>
        <v>Error?</v>
      </c>
    </row>
    <row r="5279" spans="1:4" x14ac:dyDescent="0.2">
      <c r="A5279" s="5">
        <v>5218</v>
      </c>
      <c r="B5279" s="138">
        <f>'Revenues 9-14'!C214</f>
        <v>3486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77654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401385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401385</v>
      </c>
      <c r="C5326" s="2" t="s">
        <v>573</v>
      </c>
      <c r="D5326" s="2" t="str">
        <f t="shared" si="82"/>
        <v>Error?</v>
      </c>
    </row>
    <row r="5327" spans="1:5" x14ac:dyDescent="0.2">
      <c r="A5327" s="5">
        <v>5266</v>
      </c>
      <c r="B5327" s="138">
        <f>'Revenues 9-14'!C268</f>
        <v>7058070</v>
      </c>
      <c r="C5327" s="2" t="s">
        <v>573</v>
      </c>
      <c r="D5327" s="2" t="str">
        <f t="shared" si="82"/>
        <v>Error?</v>
      </c>
    </row>
    <row r="5328" spans="1:5" x14ac:dyDescent="0.2">
      <c r="A5328" s="5">
        <v>5267</v>
      </c>
      <c r="B5328" s="138">
        <f>'Revenues 9-14'!D5</f>
        <v>923970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923970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32605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32605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3045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101043</v>
      </c>
      <c r="D5354" s="2" t="str">
        <f t="shared" si="82"/>
        <v>Error?</v>
      </c>
    </row>
    <row r="5355" spans="1:4" x14ac:dyDescent="0.2">
      <c r="A5355" s="5">
        <v>5294</v>
      </c>
      <c r="B5355" s="138">
        <f>'Revenues 9-14'!D108</f>
        <v>162192</v>
      </c>
      <c r="C5355" s="2" t="s">
        <v>573</v>
      </c>
      <c r="D5355" s="2" t="str">
        <f t="shared" si="82"/>
        <v>Error?</v>
      </c>
    </row>
    <row r="5356" spans="1:4" x14ac:dyDescent="0.2">
      <c r="A5356" s="5">
        <v>5295</v>
      </c>
      <c r="B5356" s="138">
        <f>'Revenues 9-14'!D109</f>
        <v>1118767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1118767</v>
      </c>
      <c r="C5508" s="2" t="s">
        <v>573</v>
      </c>
      <c r="D5508" s="2" t="str">
        <f t="shared" si="85"/>
        <v>Error?</v>
      </c>
    </row>
    <row r="5509" spans="1:4" x14ac:dyDescent="0.2">
      <c r="A5509" s="5">
        <v>5448</v>
      </c>
      <c r="B5509" s="138">
        <f>'Revenues 9-14'!E5</f>
        <v>1551036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1551036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7610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7610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1558646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1558646</v>
      </c>
      <c r="C5552" s="2" t="s">
        <v>573</v>
      </c>
      <c r="D5552" s="2" t="str">
        <f t="shared" si="85"/>
        <v>Error?</v>
      </c>
    </row>
    <row r="5553" spans="1:4" x14ac:dyDescent="0.2">
      <c r="A5553" s="5">
        <v>5492</v>
      </c>
      <c r="B5553" s="138">
        <f>'Revenues 9-14'!F5</f>
        <v>379732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379732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85</v>
      </c>
      <c r="D5565" s="2" t="str">
        <f t="shared" si="85"/>
        <v>Error?</v>
      </c>
    </row>
    <row r="5566" spans="1:4" x14ac:dyDescent="0.2">
      <c r="A5566" s="5">
        <v>5505</v>
      </c>
      <c r="B5566" s="138">
        <f>'Revenues 9-14'!F45</f>
        <v>1527</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1612</v>
      </c>
      <c r="C5579" s="2" t="s">
        <v>573</v>
      </c>
      <c r="D5579" s="2" t="str">
        <f t="shared" si="86"/>
        <v>Error?</v>
      </c>
    </row>
    <row r="5580" spans="1:4" x14ac:dyDescent="0.2">
      <c r="A5580" s="5">
        <v>5519</v>
      </c>
      <c r="B5580" s="138">
        <f>'Revenues 9-14'!F65</f>
        <v>4501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4501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90000</v>
      </c>
      <c r="D5586" s="2" t="str">
        <f t="shared" si="86"/>
        <v>Error?</v>
      </c>
    </row>
    <row r="5587" spans="1:4" x14ac:dyDescent="0.2">
      <c r="A5587" s="5">
        <v>5526</v>
      </c>
      <c r="B5587" s="138">
        <f>'Revenues 9-14'!F108</f>
        <v>90000</v>
      </c>
      <c r="C5587" s="2" t="s">
        <v>573</v>
      </c>
      <c r="D5587" s="2" t="str">
        <f t="shared" si="86"/>
        <v>Error?</v>
      </c>
    </row>
    <row r="5588" spans="1:4" x14ac:dyDescent="0.2">
      <c r="A5588" s="5">
        <v>5527</v>
      </c>
      <c r="B5588" s="138">
        <f>'Revenues 9-14'!F109</f>
        <v>475845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162403</v>
      </c>
      <c r="D5615" s="2" t="str">
        <f t="shared" si="86"/>
        <v>Error?</v>
      </c>
    </row>
    <row r="5616" spans="1:4" x14ac:dyDescent="0.2">
      <c r="A5616" s="10">
        <v>5555</v>
      </c>
      <c r="D5616" s="2" t="str">
        <f t="shared" si="86"/>
        <v>OK</v>
      </c>
    </row>
    <row r="5617" spans="1:5" x14ac:dyDescent="0.2">
      <c r="A5617" s="5">
        <v>5556</v>
      </c>
      <c r="B5617" s="138">
        <f>'Revenues 9-14'!F153</f>
        <v>172429</v>
      </c>
      <c r="D5617" s="2" t="str">
        <f t="shared" si="86"/>
        <v>Error?</v>
      </c>
    </row>
    <row r="5618" spans="1:5" x14ac:dyDescent="0.2">
      <c r="A5618" s="5">
        <v>5557</v>
      </c>
      <c r="B5618" s="138">
        <f>'Revenues 9-14'!F155</f>
        <v>334832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28704</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363536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363536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839381</v>
      </c>
      <c r="C5720" s="2" t="s">
        <v>573</v>
      </c>
      <c r="D5720" s="2" t="str">
        <f t="shared" si="88"/>
        <v>Error?</v>
      </c>
    </row>
    <row r="5721" spans="1:4" x14ac:dyDescent="0.2">
      <c r="A5721" s="5">
        <v>5660</v>
      </c>
      <c r="B5721" s="138">
        <f>'Revenues 9-14'!G5</f>
        <v>171849</v>
      </c>
      <c r="D5721" s="2" t="str">
        <f t="shared" si="88"/>
        <v>Error?</v>
      </c>
    </row>
    <row r="5722" spans="1:4" x14ac:dyDescent="0.2">
      <c r="A5722" s="5">
        <v>5661</v>
      </c>
      <c r="B5722" s="138">
        <f>'Revenues 9-14'!G7</f>
        <v>0</v>
      </c>
      <c r="D5722" s="2" t="str">
        <f t="shared" si="88"/>
        <v>Error?</v>
      </c>
    </row>
    <row r="5723" spans="1:4" x14ac:dyDescent="0.2">
      <c r="A5723" s="5">
        <v>5662</v>
      </c>
      <c r="B5723" s="138">
        <f>'Revenues 9-14'!G8</f>
        <v>181977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353826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3500</v>
      </c>
      <c r="C5730" s="2" t="s">
        <v>573</v>
      </c>
      <c r="D5730" s="2" t="str">
        <f t="shared" si="88"/>
        <v>Error?</v>
      </c>
    </row>
    <row r="5731" spans="1:4" x14ac:dyDescent="0.2">
      <c r="A5731" s="5">
        <v>5670</v>
      </c>
      <c r="B5731" s="138">
        <f>'Revenues 9-14'!G65</f>
        <v>1212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1212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358538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282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282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8579</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8861</v>
      </c>
      <c r="C5915" s="2" t="s">
        <v>573</v>
      </c>
      <c r="D5915" s="2" t="str">
        <f t="shared" si="91"/>
        <v>Error?</v>
      </c>
    </row>
    <row r="5916" spans="1:4" x14ac:dyDescent="0.2">
      <c r="A5916" s="5">
        <v>5855</v>
      </c>
      <c r="B5916" s="138">
        <f>'Revenues 9-14'!I5</f>
        <v>61992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61992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46205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46205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108197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1627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1627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1868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1868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3495</v>
      </c>
      <c r="C6023" s="2" t="s">
        <v>573</v>
      </c>
      <c r="D6023" s="2" t="str">
        <f t="shared" si="93"/>
        <v>Error?</v>
      </c>
    </row>
    <row r="6024" spans="1:5" x14ac:dyDescent="0.2">
      <c r="A6024" s="5">
        <v>5963</v>
      </c>
      <c r="B6024" s="138">
        <f>'Revenues 9-14'!G109</f>
        <v>358538</v>
      </c>
      <c r="C6024" s="2" t="s">
        <v>573</v>
      </c>
      <c r="D6024" s="2" t="str">
        <f t="shared" si="93"/>
        <v>Error?</v>
      </c>
    </row>
    <row r="6025" spans="1:5" x14ac:dyDescent="0.2">
      <c r="A6025" s="5">
        <v>5964</v>
      </c>
      <c r="B6025" s="138">
        <f>'Revenues 9-14'!H109</f>
        <v>8861</v>
      </c>
      <c r="C6025" s="2" t="s">
        <v>573</v>
      </c>
      <c r="D6025" s="2" t="str">
        <f t="shared" si="93"/>
        <v>Error?</v>
      </c>
    </row>
    <row r="6026" spans="1:5" x14ac:dyDescent="0.2">
      <c r="A6026" s="5">
        <v>5965</v>
      </c>
      <c r="B6026" s="138">
        <f>'Revenues 9-14'!I109</f>
        <v>108197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3495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136886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10560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834.66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771</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72</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41466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41466</v>
      </c>
      <c r="D6215" s="2" t="str">
        <f t="shared" si="96"/>
        <v>Error?</v>
      </c>
      <c r="E6215" s="2" t="s">
        <v>190</v>
      </c>
    </row>
    <row r="6216" spans="1:5" x14ac:dyDescent="0.2">
      <c r="A6216">
        <v>6155</v>
      </c>
      <c r="B6216" s="138">
        <f>'Assets-Liab 5-6'!J41</f>
        <v>41466</v>
      </c>
      <c r="D6216" s="2" t="str">
        <f t="shared" si="96"/>
        <v>Error?</v>
      </c>
      <c r="E6216" s="2" t="s">
        <v>190</v>
      </c>
    </row>
    <row r="6217" spans="1:5" x14ac:dyDescent="0.2">
      <c r="A6217">
        <v>6156</v>
      </c>
      <c r="B6217" s="138">
        <f>'Assets-Liab 5-6'!J4</f>
        <v>41466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201316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201316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201316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206260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206260</v>
      </c>
      <c r="D6229" s="2" t="str">
        <f t="shared" si="96"/>
        <v>Error?</v>
      </c>
      <c r="E6229" s="2" t="s">
        <v>190</v>
      </c>
    </row>
    <row r="6230" spans="1:5" x14ac:dyDescent="0.2">
      <c r="A6230">
        <v>6169</v>
      </c>
      <c r="B6230" s="138">
        <f>'Acct Summary 7-8'!J20</f>
        <v>-4944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-4944</v>
      </c>
      <c r="D6263" s="2" t="str">
        <f t="shared" si="96"/>
        <v>Error?</v>
      </c>
      <c r="E6263" s="2" t="s">
        <v>190</v>
      </c>
    </row>
    <row r="6264" spans="1:5" x14ac:dyDescent="0.2">
      <c r="A6264">
        <v>6203</v>
      </c>
      <c r="B6264" s="138">
        <f>'Acct Summary 7-8'!J79</f>
        <v>46410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41466</v>
      </c>
      <c r="D6266" s="2" t="str">
        <f t="shared" si="96"/>
        <v>Error?</v>
      </c>
      <c r="E6266" s="2" t="s">
        <v>190</v>
      </c>
    </row>
    <row r="6267" spans="1:5" x14ac:dyDescent="0.2">
      <c r="A6267">
        <v>6206</v>
      </c>
      <c r="B6267" s="138">
        <f>'Acct Summary 7-8'!C82</f>
        <v>-32082</v>
      </c>
      <c r="D6267" s="2" t="str">
        <f t="shared" si="96"/>
        <v>Error?</v>
      </c>
      <c r="E6267" s="2" t="s">
        <v>190</v>
      </c>
    </row>
    <row r="6268" spans="1:5" x14ac:dyDescent="0.2">
      <c r="A6268">
        <v>6207</v>
      </c>
      <c r="B6268" s="138">
        <f>'Acct Summary 7-8'!D82</f>
        <v>-34193</v>
      </c>
      <c r="D6268" s="2" t="str">
        <f t="shared" si="96"/>
        <v>Error?</v>
      </c>
      <c r="E6268" s="2" t="s">
        <v>190</v>
      </c>
    </row>
    <row r="6269" spans="1:5" x14ac:dyDescent="0.2">
      <c r="A6269">
        <v>6208</v>
      </c>
      <c r="B6269" s="138">
        <f>'Acct Summary 7-8'!E82</f>
        <v>-71479</v>
      </c>
      <c r="D6269" s="2" t="str">
        <f t="shared" si="96"/>
        <v>Error?</v>
      </c>
      <c r="E6269" s="2" t="s">
        <v>190</v>
      </c>
    </row>
    <row r="6270" spans="1:5" x14ac:dyDescent="0.2">
      <c r="A6270">
        <v>6209</v>
      </c>
      <c r="B6270" s="138">
        <f>'Acct Summary 7-8'!F82</f>
        <v>141603</v>
      </c>
      <c r="D6270" s="2" t="str">
        <f t="shared" si="96"/>
        <v>Error?</v>
      </c>
      <c r="E6270" s="2" t="s">
        <v>190</v>
      </c>
    </row>
    <row r="6271" spans="1:5" x14ac:dyDescent="0.2">
      <c r="A6271">
        <v>6210</v>
      </c>
      <c r="B6271" s="138">
        <f>'Acct Summary 7-8'!G82</f>
        <v>55871</v>
      </c>
      <c r="D6271" s="2" t="str">
        <f t="shared" ref="D6271:D6334" si="97">IF(ISBLANK(B6271),"OK",IF(A6271-B6271=0,"OK","Error?"))</f>
        <v>Error?</v>
      </c>
      <c r="E6271" s="2" t="s">
        <v>190</v>
      </c>
    </row>
    <row r="6272" spans="1:5" x14ac:dyDescent="0.2">
      <c r="A6272">
        <v>6211</v>
      </c>
      <c r="B6272" s="138">
        <f>'Acct Summary 7-8'!H82</f>
        <v>8861</v>
      </c>
      <c r="D6272" s="2" t="str">
        <f t="shared" si="97"/>
        <v>Error?</v>
      </c>
      <c r="E6272" s="2" t="s">
        <v>190</v>
      </c>
    </row>
    <row r="6273" spans="1:5" x14ac:dyDescent="0.2">
      <c r="A6273">
        <v>6212</v>
      </c>
      <c r="B6273" s="138">
        <f>'Acct Summary 7-8'!I82</f>
        <v>108197</v>
      </c>
      <c r="D6273" s="2" t="str">
        <f t="shared" si="97"/>
        <v>Error?</v>
      </c>
      <c r="E6273" s="2" t="s">
        <v>190</v>
      </c>
    </row>
    <row r="6274" spans="1:5" x14ac:dyDescent="0.2">
      <c r="A6274">
        <v>6213</v>
      </c>
      <c r="B6274" s="138">
        <f>'Acct Summary 7-8'!J82</f>
        <v>-4944</v>
      </c>
      <c r="D6274" s="2" t="str">
        <f t="shared" si="97"/>
        <v>Error?</v>
      </c>
      <c r="E6274" s="2" t="s">
        <v>190</v>
      </c>
    </row>
    <row r="6275" spans="1:5" x14ac:dyDescent="0.2">
      <c r="A6275">
        <v>6214</v>
      </c>
      <c r="B6275" s="138">
        <f>'Acct Summary 7-8'!K82</f>
        <v>-537</v>
      </c>
      <c r="D6275" s="2" t="str">
        <f t="shared" si="97"/>
        <v>Error?</v>
      </c>
      <c r="E6275" s="2" t="s">
        <v>190</v>
      </c>
    </row>
    <row r="6276" spans="1:5" x14ac:dyDescent="0.2">
      <c r="A6276">
        <v>6215</v>
      </c>
      <c r="B6276" s="138">
        <f>'Acct Summary 7-8'!C83</f>
        <v>-4.91563048530551E-3</v>
      </c>
      <c r="D6276" s="2" t="str">
        <f t="shared" si="97"/>
        <v>Error?</v>
      </c>
      <c r="E6276" s="2" t="s">
        <v>190</v>
      </c>
    </row>
    <row r="6277" spans="1:5" x14ac:dyDescent="0.2">
      <c r="A6277">
        <v>6216</v>
      </c>
      <c r="B6277" s="138">
        <f>'Acct Summary 7-8'!D83</f>
        <v>-1.4890197152603073E-2</v>
      </c>
      <c r="D6277" s="2" t="str">
        <f t="shared" si="97"/>
        <v>Error?</v>
      </c>
      <c r="E6277" s="2" t="s">
        <v>190</v>
      </c>
    </row>
    <row r="6278" spans="1:5" x14ac:dyDescent="0.2">
      <c r="A6278">
        <v>6217</v>
      </c>
      <c r="B6278" s="138">
        <f>'Acct Summary 7-8'!E83</f>
        <v>-8.3090382397797868E-2</v>
      </c>
      <c r="D6278" s="2" t="str">
        <f t="shared" si="97"/>
        <v>Error?</v>
      </c>
      <c r="E6278" s="2" t="s">
        <v>190</v>
      </c>
    </row>
    <row r="6279" spans="1:5" x14ac:dyDescent="0.2">
      <c r="A6279">
        <v>6218</v>
      </c>
      <c r="B6279" s="138">
        <f>'Acct Summary 7-8'!F83</f>
        <v>0.17709916217362104</v>
      </c>
      <c r="D6279" s="2" t="str">
        <f t="shared" si="97"/>
        <v>Error?</v>
      </c>
      <c r="E6279" s="2" t="s">
        <v>190</v>
      </c>
    </row>
    <row r="6280" spans="1:5" x14ac:dyDescent="0.2">
      <c r="A6280">
        <v>6219</v>
      </c>
      <c r="B6280" s="138">
        <f>'Acct Summary 7-8'!G83</f>
        <v>0.28138802850595551</v>
      </c>
      <c r="D6280" s="2" t="str">
        <f t="shared" si="97"/>
        <v>Error?</v>
      </c>
      <c r="E6280" s="2" t="s">
        <v>190</v>
      </c>
    </row>
    <row r="6281" spans="1:5" x14ac:dyDescent="0.2">
      <c r="A6281">
        <v>6220</v>
      </c>
      <c r="B6281" s="138">
        <f>'Acct Summary 7-8'!H83</f>
        <v>0.24216999180103854</v>
      </c>
      <c r="D6281" s="2" t="str">
        <f t="shared" si="97"/>
        <v>Error?</v>
      </c>
      <c r="E6281" s="2" t="s">
        <v>190</v>
      </c>
    </row>
    <row r="6282" spans="1:5" x14ac:dyDescent="0.2">
      <c r="A6282">
        <v>6221</v>
      </c>
      <c r="B6282" s="138">
        <f>'Acct Summary 7-8'!I83</f>
        <v>5.2310096273551682E-2</v>
      </c>
      <c r="D6282" s="2" t="str">
        <f t="shared" si="97"/>
        <v>Error?</v>
      </c>
      <c r="E6282" s="2" t="s">
        <v>190</v>
      </c>
    </row>
    <row r="6283" spans="1:5" x14ac:dyDescent="0.2">
      <c r="A6283">
        <v>6222</v>
      </c>
      <c r="B6283" s="138">
        <f>'Acct Summary 7-8'!J83</f>
        <v>-0.11923021270438432</v>
      </c>
      <c r="D6283" s="2" t="str">
        <f t="shared" si="97"/>
        <v>Error?</v>
      </c>
      <c r="E6283" s="2" t="s">
        <v>190</v>
      </c>
    </row>
    <row r="6284" spans="1:5" x14ac:dyDescent="0.2">
      <c r="A6284">
        <v>6223</v>
      </c>
      <c r="B6284" s="138">
        <f>'Acct Summary 7-8'!K83</f>
        <v>-1.2208374444712205E-3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197823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197823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3493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3493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58104</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7025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201316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5830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139725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186880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206260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201316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366</v>
      </c>
      <c r="D7073" s="2" t="str">
        <f t="shared" si="109"/>
        <v>Error?</v>
      </c>
    </row>
    <row r="7074" spans="1:4" x14ac:dyDescent="0.2">
      <c r="A7074">
        <v>7013</v>
      </c>
      <c r="B7074" s="138">
        <f>'Expenditures 15-22'!K216</f>
        <v>366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63422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63422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16417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16417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66131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66131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10123</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10123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50167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50167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206260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206260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206260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206260</v>
      </c>
      <c r="D7224" s="2" t="str">
        <f t="shared" si="111"/>
        <v>Error?</v>
      </c>
    </row>
    <row r="7225" spans="1:4" x14ac:dyDescent="0.2">
      <c r="A7225">
        <v>7164</v>
      </c>
      <c r="B7225" s="138">
        <f>'Expenditures 15-22'!K343</f>
        <v>-4944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42945</v>
      </c>
      <c r="D7246" s="2" t="str">
        <f t="shared" si="112"/>
        <v>Error?</v>
      </c>
    </row>
    <row r="7247" spans="1:4" x14ac:dyDescent="0.2">
      <c r="A7247">
        <f t="shared" si="113"/>
        <v>7186</v>
      </c>
      <c r="B7247" s="138">
        <f>'Expenditures 15-22'!E7</f>
        <v>3191</v>
      </c>
      <c r="D7247" s="2" t="str">
        <f t="shared" si="112"/>
        <v>Error?</v>
      </c>
    </row>
    <row r="7248" spans="1:4" x14ac:dyDescent="0.2">
      <c r="A7248">
        <f t="shared" si="113"/>
        <v>7187</v>
      </c>
      <c r="B7248" s="138">
        <f>'Expenditures 15-22'!F7</f>
        <v>1019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717684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27729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282</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7025</v>
      </c>
      <c r="D7712" s="2" t="str">
        <f t="shared" si="126"/>
        <v>Error?</v>
      </c>
      <c r="E7712" s="2" t="s">
        <v>827</v>
      </c>
    </row>
    <row r="7713" spans="1:6" x14ac:dyDescent="0.2">
      <c r="A7713">
        <v>7652</v>
      </c>
      <c r="B7713" s="138">
        <f>'Rest Tax Levies-Tort Im 25'!J8</f>
        <v>8579</v>
      </c>
      <c r="D7713" s="2" t="str">
        <f t="shared" si="126"/>
        <v>Error?</v>
      </c>
      <c r="E7713" s="2" t="s">
        <v>827</v>
      </c>
    </row>
    <row r="7714" spans="1:6" x14ac:dyDescent="0.2">
      <c r="A7714">
        <v>7653</v>
      </c>
      <c r="B7714" s="138">
        <f>'Rest Tax Levies-Tort Im 25'!K9</f>
        <v>11555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8861</v>
      </c>
      <c r="D7718" s="2" t="str">
        <f t="shared" si="126"/>
        <v>Error?</v>
      </c>
      <c r="E7718" s="2" t="s">
        <v>827</v>
      </c>
    </row>
    <row r="7719" spans="1:6" x14ac:dyDescent="0.2">
      <c r="A7719">
        <v>7658</v>
      </c>
      <c r="B7719" s="138">
        <f>'Rest Tax Levies-Tort Im 25'!K12</f>
        <v>18580</v>
      </c>
      <c r="D7719" s="2" t="str">
        <f t="shared" si="126"/>
        <v>Error?</v>
      </c>
      <c r="E7719" s="2" t="s">
        <v>827</v>
      </c>
    </row>
    <row r="7720" spans="1:6" x14ac:dyDescent="0.2">
      <c r="A7720">
        <v>7659</v>
      </c>
      <c r="B7720" s="138">
        <f>'Rest Tax Levies-Tort Im 25'!H14</f>
        <v>76400</v>
      </c>
      <c r="D7720" s="2" t="str">
        <f t="shared" si="126"/>
        <v>Error?</v>
      </c>
      <c r="E7720" s="2" t="s">
        <v>827</v>
      </c>
    </row>
    <row r="7721" spans="1:6" x14ac:dyDescent="0.2">
      <c r="A7721">
        <v>7660</v>
      </c>
      <c r="B7721" s="138">
        <f>'Rest Tax Levies-Tort Im 25'!K14</f>
        <v>18580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8579</v>
      </c>
      <c r="D7731" s="2" t="str">
        <f t="shared" si="126"/>
        <v>Error?</v>
      </c>
      <c r="E7731" s="2" t="s">
        <v>827</v>
      </c>
    </row>
    <row r="7732" spans="1:6" x14ac:dyDescent="0.2">
      <c r="A7732">
        <v>7671</v>
      </c>
      <c r="B7732" s="138">
        <f>'Rest Tax Levies-Tort Im 25'!J24</f>
        <v>36590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36590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390" t="s">
        <v>1065</v>
      </c>
      <c r="B35" s="2390"/>
      <c r="C35" s="2390"/>
      <c r="D35" s="2390"/>
      <c r="E35" s="239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387" t="s">
        <v>691</v>
      </c>
      <c r="B40" s="2387"/>
      <c r="C40" s="2387"/>
      <c r="D40" s="2387"/>
      <c r="E40" s="2387"/>
    </row>
    <row r="41" spans="1:5" x14ac:dyDescent="0.2">
      <c r="A41" s="2388" t="s">
        <v>1608</v>
      </c>
      <c r="B41" s="2388"/>
      <c r="C41" s="2388"/>
      <c r="D41" s="2388"/>
      <c r="E41" s="2388"/>
    </row>
    <row r="42" spans="1:5" ht="12.75" customHeight="1" x14ac:dyDescent="0.2">
      <c r="A42" s="2389" t="s">
        <v>1022</v>
      </c>
      <c r="B42" s="2389"/>
      <c r="C42" s="2389"/>
      <c r="D42" s="2389"/>
      <c r="E42" s="238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topLeftCell="A4"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1" t="s">
        <v>1690</v>
      </c>
      <c r="B1" s="2392"/>
      <c r="C1" s="2392"/>
      <c r="D1" s="2392"/>
      <c r="E1" s="2392"/>
      <c r="F1" s="2393"/>
    </row>
    <row r="2" spans="1:8" ht="45" customHeight="1" x14ac:dyDescent="0.2">
      <c r="A2" s="2401" t="s">
        <v>1987</v>
      </c>
      <c r="B2" s="2402"/>
      <c r="C2" s="2402"/>
      <c r="D2" s="2402"/>
      <c r="E2" s="2402"/>
      <c r="F2" s="2403"/>
      <c r="G2" s="1074"/>
      <c r="H2" s="1074"/>
    </row>
    <row r="3" spans="1:8" ht="57" customHeight="1" x14ac:dyDescent="0.2">
      <c r="A3" s="2404" t="s">
        <v>1686</v>
      </c>
      <c r="B3" s="2405"/>
      <c r="C3" s="2405"/>
      <c r="D3" s="2405"/>
      <c r="E3" s="2405"/>
      <c r="F3" s="2406"/>
      <c r="G3" s="1074"/>
      <c r="H3" s="1074"/>
    </row>
    <row r="4" spans="1:8" ht="14.25" customHeight="1" x14ac:dyDescent="0.2">
      <c r="A4" s="2410" t="s">
        <v>1988</v>
      </c>
      <c r="B4" s="2411"/>
      <c r="C4" s="2411"/>
      <c r="D4" s="2411"/>
      <c r="E4" s="2411"/>
      <c r="F4" s="2412"/>
      <c r="G4" s="1074"/>
      <c r="H4" s="1074"/>
    </row>
    <row r="5" spans="1:8" ht="14.25" customHeight="1" x14ac:dyDescent="0.2">
      <c r="A5" s="2413" t="s">
        <v>1984</v>
      </c>
      <c r="B5" s="2414"/>
      <c r="C5" s="2414"/>
      <c r="D5" s="2414"/>
      <c r="E5" s="2414"/>
      <c r="F5" s="2415"/>
      <c r="G5" s="1074"/>
      <c r="H5" s="1074"/>
    </row>
    <row r="6" spans="1:8" s="1075" customFormat="1" ht="41.25" customHeight="1" x14ac:dyDescent="0.2">
      <c r="A6" s="2407" t="s">
        <v>1691</v>
      </c>
      <c r="B6" s="2408"/>
      <c r="C6" s="2408"/>
      <c r="D6" s="2408"/>
      <c r="E6" s="2408"/>
      <c r="F6" s="240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7058070</v>
      </c>
      <c r="C8" s="1815">
        <f>'Acct Summary 7-8'!D8</f>
        <v>1118767</v>
      </c>
      <c r="D8" s="1815">
        <f>'Acct Summary 7-8'!F8</f>
        <v>839381</v>
      </c>
      <c r="E8" s="1815">
        <f>'Acct Summary 7-8'!I8</f>
        <v>108197</v>
      </c>
      <c r="F8" s="1815">
        <f>SUM(B8:E8)</f>
        <v>9124415</v>
      </c>
    </row>
    <row r="9" spans="1:8" s="1079" customFormat="1" ht="14.25" customHeight="1" thickBot="1" x14ac:dyDescent="0.25">
      <c r="A9" s="1078" t="s">
        <v>1369</v>
      </c>
      <c r="B9" s="1816">
        <f>'Acct Summary 7-8'!C17</f>
        <v>7090152</v>
      </c>
      <c r="C9" s="1816">
        <f>'Acct Summary 7-8'!D17</f>
        <v>1152960</v>
      </c>
      <c r="D9" s="1816">
        <f>'Acct Summary 7-8'!F17</f>
        <v>697778</v>
      </c>
      <c r="E9" s="1815"/>
      <c r="F9" s="1815">
        <f>SUM(B9:E9)</f>
        <v>8940890</v>
      </c>
    </row>
    <row r="10" spans="1:8" s="1079" customFormat="1" ht="14.25" thickTop="1" thickBot="1" x14ac:dyDescent="0.25">
      <c r="A10" s="1080" t="s">
        <v>1370</v>
      </c>
      <c r="B10" s="1817">
        <f>(B8-B9)</f>
        <v>-32082</v>
      </c>
      <c r="C10" s="1817">
        <f>(C8-C9)</f>
        <v>-34193</v>
      </c>
      <c r="D10" s="1817">
        <f>(D8-D9)</f>
        <v>141603</v>
      </c>
      <c r="E10" s="1816">
        <f>(E8-E9)</f>
        <v>108197</v>
      </c>
      <c r="F10" s="1818">
        <f>SUM(F8-F9)</f>
        <v>183525</v>
      </c>
    </row>
    <row r="11" spans="1:8" s="1079" customFormat="1" ht="14.25" thickTop="1" thickBot="1" x14ac:dyDescent="0.25">
      <c r="A11" s="1081" t="s">
        <v>1985</v>
      </c>
      <c r="B11" s="1819">
        <f>'Acct Summary 7-8'!C81</f>
        <v>6526528</v>
      </c>
      <c r="C11" s="1819">
        <f>'Acct Summary 7-8'!D81</f>
        <v>2296343</v>
      </c>
      <c r="D11" s="1819">
        <f>'Acct Summary 7-8'!F81</f>
        <v>799569</v>
      </c>
      <c r="E11" s="1819">
        <f>'Acct Summary 7-8'!I81</f>
        <v>2068377</v>
      </c>
      <c r="F11" s="1820">
        <f>SUM(B11:E11)</f>
        <v>11690817</v>
      </c>
    </row>
    <row r="12" spans="1:8" ht="16.5" customHeight="1" thickTop="1" x14ac:dyDescent="0.2">
      <c r="A12" s="1082"/>
      <c r="B12" s="1083"/>
      <c r="C12" s="2395" t="str">
        <f>IF(AND(F10&lt;0,F11&gt;=0,ABS(F10*3)&gt;ABS(F11)),A16,IF(AND(F10&lt;0,F11&gt;0,ABS(F10*3)&lt;=ABS(F11)),A17,IF(AND(F10&lt;0,F11&lt;0),A16,IF(F11=0,A19,A18))))</f>
        <v>Balanced - no deficit reduction plan is required.</v>
      </c>
      <c r="D12" s="2396"/>
      <c r="E12" s="2396"/>
      <c r="F12" s="2397"/>
    </row>
    <row r="13" spans="1:8" ht="19.5" customHeight="1" x14ac:dyDescent="0.2">
      <c r="A13" s="1084"/>
      <c r="B13" s="1085"/>
      <c r="C13" s="2395"/>
      <c r="D13" s="2396"/>
      <c r="E13" s="2396"/>
      <c r="F13" s="2397"/>
      <c r="H13" s="1074"/>
    </row>
    <row r="14" spans="1:8" ht="19.5" customHeight="1" x14ac:dyDescent="0.2">
      <c r="A14" s="1084"/>
      <c r="B14" s="1085"/>
      <c r="C14" s="2395"/>
      <c r="D14" s="2396"/>
      <c r="E14" s="2396"/>
      <c r="F14" s="2397"/>
      <c r="H14" s="1074"/>
    </row>
    <row r="15" spans="1:8" ht="17.25" customHeight="1" x14ac:dyDescent="0.2">
      <c r="A15" s="1084"/>
      <c r="B15" s="1085"/>
      <c r="C15" s="2398"/>
      <c r="D15" s="2399"/>
      <c r="E15" s="2399"/>
      <c r="F15" s="2400"/>
      <c r="H15" s="1074"/>
    </row>
    <row r="16" spans="1:8" s="310" customFormat="1" ht="51.75" hidden="1" customHeight="1" x14ac:dyDescent="0.2">
      <c r="A16" s="2394" t="s">
        <v>1687</v>
      </c>
      <c r="B16" s="2394"/>
      <c r="C16" s="2394"/>
      <c r="D16" s="2394"/>
      <c r="E16" s="239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CC"/>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6" t="s">
        <v>1191</v>
      </c>
      <c r="B2" s="2416"/>
      <c r="C2" s="2416"/>
      <c r="D2" s="2416"/>
      <c r="E2" s="2416"/>
      <c r="F2" s="2416"/>
      <c r="G2" s="2416"/>
      <c r="H2" s="2416"/>
      <c r="I2" s="2416"/>
      <c r="J2" s="2416"/>
      <c r="K2" s="2416"/>
      <c r="L2" s="2416"/>
    </row>
    <row r="3" spans="1:29" ht="13.5" customHeight="1" x14ac:dyDescent="0.2">
      <c r="A3" s="2447" t="s">
        <v>1190</v>
      </c>
      <c r="B3" s="2447"/>
      <c r="C3" s="2447"/>
      <c r="D3" s="2447"/>
      <c r="E3" s="2447"/>
      <c r="F3" s="2447"/>
      <c r="G3" s="2447"/>
      <c r="H3" s="2447"/>
      <c r="I3" s="2447"/>
      <c r="J3" s="2447"/>
      <c r="K3" s="2447"/>
      <c r="L3" s="2447"/>
    </row>
    <row r="4" spans="1:29" ht="13.5" customHeight="1" x14ac:dyDescent="0.2">
      <c r="A4" s="2416" t="s">
        <v>1989</v>
      </c>
      <c r="B4" s="2437"/>
      <c r="C4" s="2437"/>
      <c r="D4" s="2437"/>
      <c r="E4" s="2437"/>
      <c r="F4" s="2437"/>
      <c r="G4" s="2437"/>
      <c r="H4" s="2437"/>
      <c r="I4" s="2437"/>
      <c r="J4" s="2437"/>
      <c r="K4" s="2437"/>
      <c r="L4" s="243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38" t="str">
        <f>COVER!A17</f>
        <v>New Berlin CUSD 16</v>
      </c>
      <c r="B7" s="2439"/>
      <c r="C7" s="2439"/>
      <c r="D7" s="2440"/>
      <c r="E7" s="2441">
        <f>COVER!A13</f>
        <v>51084016026</v>
      </c>
      <c r="F7" s="2442"/>
      <c r="G7" s="2448" t="str">
        <f>COVER!T23</f>
        <v>066-003847</v>
      </c>
      <c r="H7" s="2449"/>
      <c r="I7" s="2449"/>
      <c r="J7" s="2449"/>
      <c r="K7" s="2449"/>
      <c r="L7" s="245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51"/>
      <c r="B9" s="2452"/>
      <c r="C9" s="2452"/>
      <c r="D9" s="2452"/>
      <c r="E9" s="2452"/>
      <c r="F9" s="2453"/>
      <c r="G9" s="2422" t="str">
        <f>COVER!T13</f>
        <v xml:space="preserve">LMHN, Ltd. CPA's </v>
      </c>
      <c r="H9" s="2454"/>
      <c r="I9" s="2454"/>
      <c r="J9" s="2454"/>
      <c r="K9" s="2454"/>
      <c r="L9" s="2455"/>
    </row>
    <row r="10" spans="1:29" ht="13.5" customHeight="1" x14ac:dyDescent="0.2">
      <c r="A10" s="2428" t="str">
        <f>COVER!A38</f>
        <v>Adam Ehrman</v>
      </c>
      <c r="B10" s="2429"/>
      <c r="C10" s="2429"/>
      <c r="D10" s="2429"/>
      <c r="E10" s="2429"/>
      <c r="F10" s="2430"/>
      <c r="G10" s="2422" t="str">
        <f>COVER!T17</f>
        <v>900 N. Webster, PO Box 87</v>
      </c>
      <c r="H10" s="2423"/>
      <c r="I10" s="2423"/>
      <c r="J10" s="2423"/>
      <c r="K10" s="2423"/>
      <c r="L10" s="2424"/>
    </row>
    <row r="11" spans="1:29" ht="13.5" customHeight="1" x14ac:dyDescent="0.2">
      <c r="A11" s="1184" t="s">
        <v>1519</v>
      </c>
      <c r="B11" s="1185"/>
      <c r="C11" s="1186"/>
      <c r="D11" s="1191"/>
      <c r="E11" s="1186"/>
      <c r="F11" s="1190"/>
      <c r="G11" s="2422" t="str">
        <f>COVER!T19</f>
        <v>Taylorville</v>
      </c>
      <c r="H11" s="2423"/>
      <c r="I11" s="2423"/>
      <c r="J11" s="2423"/>
      <c r="K11" s="2423"/>
      <c r="L11" s="2424"/>
    </row>
    <row r="12" spans="1:29" ht="13.5" customHeight="1" x14ac:dyDescent="0.2">
      <c r="A12" s="2431" t="s">
        <v>1518</v>
      </c>
      <c r="B12" s="2432"/>
      <c r="C12" s="2432"/>
      <c r="D12" s="2432"/>
      <c r="E12" s="2432"/>
      <c r="F12" s="2433"/>
      <c r="G12" s="2425"/>
      <c r="H12" s="2426"/>
      <c r="I12" s="2426"/>
      <c r="J12" s="2426"/>
      <c r="K12" s="2426"/>
      <c r="L12" s="2427"/>
    </row>
    <row r="13" spans="1:29" ht="13.5" customHeight="1" x14ac:dyDescent="0.2">
      <c r="A13" s="2422"/>
      <c r="B13" s="2423"/>
      <c r="C13" s="2423"/>
      <c r="D13" s="2423"/>
      <c r="E13" s="2423"/>
      <c r="F13" s="2424"/>
      <c r="G13" s="2417" t="s">
        <v>1520</v>
      </c>
      <c r="H13" s="2418"/>
      <c r="I13" s="2434" t="str">
        <f>COVER!T25</f>
        <v>rkh_cpa@yahoo,com</v>
      </c>
      <c r="J13" s="2435"/>
      <c r="K13" s="2435"/>
      <c r="L13" s="2436"/>
    </row>
    <row r="14" spans="1:29" ht="13.5" customHeight="1" x14ac:dyDescent="0.2">
      <c r="A14" s="2422" t="str">
        <f>COVER!A19</f>
        <v>600 N Cedar</v>
      </c>
      <c r="B14" s="2423"/>
      <c r="C14" s="2423"/>
      <c r="D14" s="2423"/>
      <c r="E14" s="2423"/>
      <c r="F14" s="2424"/>
      <c r="G14" s="1195" t="s">
        <v>1185</v>
      </c>
      <c r="H14" s="1193"/>
      <c r="I14" s="1193"/>
      <c r="J14" s="1193"/>
      <c r="K14" s="1193"/>
      <c r="L14" s="1194"/>
    </row>
    <row r="15" spans="1:29" ht="13.5" customHeight="1" x14ac:dyDescent="0.2">
      <c r="A15" s="2422" t="str">
        <f>COVER!A21</f>
        <v>New Berlin</v>
      </c>
      <c r="B15" s="2423"/>
      <c r="C15" s="2423"/>
      <c r="D15" s="2423"/>
      <c r="E15" s="2423"/>
      <c r="F15" s="2424"/>
      <c r="G15" s="2419" t="str">
        <f>COVER!T15</f>
        <v>Richard K. Hooper</v>
      </c>
      <c r="H15" s="2420"/>
      <c r="I15" s="2420"/>
      <c r="J15" s="2420"/>
      <c r="K15" s="2420"/>
      <c r="L15" s="2421"/>
    </row>
    <row r="16" spans="1:29" ht="12.2" customHeight="1" x14ac:dyDescent="0.2">
      <c r="A16" s="2444">
        <f>COVER!A25</f>
        <v>62670</v>
      </c>
      <c r="B16" s="2445"/>
      <c r="C16" s="2445"/>
      <c r="D16" s="2445"/>
      <c r="E16" s="2445"/>
      <c r="F16" s="2446"/>
      <c r="G16" s="2456"/>
      <c r="H16" s="2457"/>
      <c r="I16" s="2457"/>
      <c r="J16" s="2457"/>
      <c r="K16" s="2457"/>
      <c r="L16" s="2458"/>
    </row>
    <row r="17" spans="1:13" ht="12.2" customHeight="1" x14ac:dyDescent="0.2">
      <c r="A17" s="2459"/>
      <c r="B17" s="2445"/>
      <c r="C17" s="2445"/>
      <c r="D17" s="2445"/>
      <c r="E17" s="2445"/>
      <c r="F17" s="2446"/>
      <c r="G17" s="1195" t="s">
        <v>1184</v>
      </c>
      <c r="H17" s="1193"/>
      <c r="I17" s="1193"/>
      <c r="J17" s="1193"/>
      <c r="K17" s="1197" t="s">
        <v>1183</v>
      </c>
      <c r="L17" s="1190"/>
      <c r="M17" s="1183"/>
    </row>
    <row r="18" spans="1:13" ht="12.2" customHeight="1" x14ac:dyDescent="0.2">
      <c r="A18" s="2428"/>
      <c r="B18" s="2429"/>
      <c r="C18" s="2429"/>
      <c r="D18" s="2429"/>
      <c r="E18" s="2429"/>
      <c r="F18" s="2430"/>
      <c r="G18" s="2438">
        <f>COVER!T21</f>
        <v>2178249661</v>
      </c>
      <c r="H18" s="2439"/>
      <c r="I18" s="2439"/>
      <c r="J18" s="2439"/>
      <c r="K18" s="2438">
        <f>COVER!X21</f>
        <v>2178242415</v>
      </c>
      <c r="L18" s="244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CC"/>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0" t="str">
        <f>'Single Audit Cover'!A7</f>
        <v>New Berlin CUSD 16</v>
      </c>
      <c r="B1" s="2437"/>
      <c r="C1" s="2437"/>
      <c r="D1" s="2437"/>
    </row>
    <row r="2" spans="1:11" s="1212" customFormat="1" ht="12.75" x14ac:dyDescent="0.2">
      <c r="A2" s="2461">
        <f>'Single Audit Cover'!E7</f>
        <v>51084016026</v>
      </c>
      <c r="B2" s="2462"/>
      <c r="C2" s="2462"/>
      <c r="D2" s="2462"/>
    </row>
    <row r="3" spans="1:11" s="1212" customFormat="1" ht="12.75" x14ac:dyDescent="0.2">
      <c r="A3" s="2460" t="s">
        <v>1513</v>
      </c>
      <c r="B3" s="2437"/>
      <c r="C3" s="2437"/>
      <c r="D3" s="2437"/>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CC"/>
  </sheetPr>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4" t="str">
        <f>'Single Audit Cover'!A7</f>
        <v>New Berlin CUSD 16</v>
      </c>
      <c r="B1" s="2464"/>
      <c r="C1" s="2464"/>
      <c r="D1" s="2464"/>
      <c r="E1" s="2464"/>
    </row>
    <row r="2" spans="1:5" x14ac:dyDescent="0.2">
      <c r="A2" s="2465">
        <f>'Single Audit Cover'!E7</f>
        <v>51084016026</v>
      </c>
      <c r="B2" s="2465"/>
      <c r="C2" s="2465"/>
      <c r="D2" s="2465"/>
      <c r="E2" s="2465"/>
    </row>
    <row r="3" spans="1:5" ht="4.5" customHeight="1" x14ac:dyDescent="0.2"/>
    <row r="4" spans="1:5" x14ac:dyDescent="0.2">
      <c r="A4" s="2464" t="s">
        <v>1245</v>
      </c>
      <c r="B4" s="2464"/>
      <c r="C4" s="2464"/>
      <c r="D4" s="2464"/>
      <c r="E4" s="2464"/>
    </row>
    <row r="5" spans="1:5" x14ac:dyDescent="0.2">
      <c r="A5" s="2467" t="str">
        <f>'Single Audit Cover'!A4</f>
        <v>Year Ending June 30, 2019</v>
      </c>
      <c r="B5" s="2467"/>
      <c r="C5" s="2467"/>
      <c r="D5" s="2467"/>
      <c r="E5" s="2467"/>
    </row>
    <row r="6" spans="1:5" x14ac:dyDescent="0.2">
      <c r="A6" s="2464" t="s">
        <v>1244</v>
      </c>
      <c r="B6" s="2464"/>
      <c r="C6" s="2464"/>
      <c r="D6" s="2464"/>
      <c r="E6" s="2464"/>
    </row>
    <row r="8" spans="1:5" x14ac:dyDescent="0.2">
      <c r="A8" s="1257" t="s">
        <v>1243</v>
      </c>
    </row>
    <row r="10" spans="1:5" x14ac:dyDescent="0.2">
      <c r="A10" s="1258" t="s">
        <v>1242</v>
      </c>
      <c r="B10" s="1259" t="s">
        <v>1241</v>
      </c>
      <c r="C10" s="1259"/>
      <c r="D10" s="1260">
        <f>SUM('Acct Summary 7-8'!C7:K7)</f>
        <v>401385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10560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-9682</v>
      </c>
    </row>
    <row r="19" spans="1:4" ht="13.5" thickBot="1" x14ac:dyDescent="0.25">
      <c r="A19" s="1262" t="s">
        <v>1235</v>
      </c>
      <c r="D19" s="1263">
        <f>SUM(D10:D17)</f>
        <v>402263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66"/>
      <c r="B24" s="2466"/>
      <c r="D24" s="1265"/>
    </row>
    <row r="25" spans="1:4" x14ac:dyDescent="0.2">
      <c r="A25" s="2463"/>
      <c r="B25" s="2463"/>
      <c r="D25" s="1265"/>
    </row>
    <row r="26" spans="1:4" x14ac:dyDescent="0.2">
      <c r="A26" s="2463"/>
      <c r="B26" s="2463"/>
      <c r="D26" s="1265"/>
    </row>
    <row r="27" spans="1:4" x14ac:dyDescent="0.2">
      <c r="A27" s="2463"/>
      <c r="B27" s="2463"/>
      <c r="D27" s="1265"/>
    </row>
    <row r="28" spans="1:4" x14ac:dyDescent="0.2">
      <c r="A28" s="2463"/>
      <c r="B28" s="2463"/>
      <c r="D28" s="1265"/>
    </row>
    <row r="29" spans="1:4" x14ac:dyDescent="0.2">
      <c r="A29" s="2463"/>
      <c r="B29" s="2463"/>
      <c r="D29" s="1265"/>
    </row>
    <row r="30" spans="1:4" x14ac:dyDescent="0.2">
      <c r="A30" s="2463"/>
      <c r="B30" s="2463"/>
      <c r="D30" s="1265"/>
    </row>
    <row r="32" spans="1:4" x14ac:dyDescent="0.2">
      <c r="A32" s="1257" t="s">
        <v>1233</v>
      </c>
      <c r="D32" s="1260">
        <f>SUM(D19:D30)</f>
        <v>402263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63"/>
      <c r="B40" s="2463"/>
      <c r="D40" s="1265"/>
    </row>
    <row r="41" spans="1:4" x14ac:dyDescent="0.2">
      <c r="A41" s="2463"/>
      <c r="B41" s="2463"/>
      <c r="D41" s="1268"/>
    </row>
    <row r="42" spans="1:4" x14ac:dyDescent="0.2">
      <c r="A42" s="2463"/>
      <c r="B42" s="2463"/>
      <c r="D42" s="1268"/>
    </row>
    <row r="43" spans="1:4" x14ac:dyDescent="0.2">
      <c r="A43" s="2463"/>
      <c r="B43" s="2463"/>
      <c r="D43" s="1268"/>
    </row>
    <row r="44" spans="1:4" x14ac:dyDescent="0.2">
      <c r="A44" s="2463"/>
      <c r="B44" s="2463"/>
      <c r="D44" s="1268"/>
    </row>
    <row r="45" spans="1:4" x14ac:dyDescent="0.2">
      <c r="A45" s="2463"/>
      <c r="B45" s="2463"/>
      <c r="D45" s="1268"/>
    </row>
    <row r="47" spans="1:4" x14ac:dyDescent="0.2">
      <c r="B47" s="1269" t="s">
        <v>1227</v>
      </c>
      <c r="C47" s="1269"/>
      <c r="D47" s="1270">
        <f>SUM(D35:D45)</f>
        <v>0</v>
      </c>
    </row>
    <row r="49" spans="2:4" x14ac:dyDescent="0.2">
      <c r="B49" s="1269" t="s">
        <v>1226</v>
      </c>
      <c r="C49" s="1269"/>
      <c r="D49" s="1270">
        <f>D32-D47</f>
        <v>402263</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CC"/>
  </sheetPr>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47" t="str">
        <f>'Single Audit Cover'!A7</f>
        <v>New Berlin CUSD 16</v>
      </c>
      <c r="C1" s="2468"/>
      <c r="D1" s="2468"/>
      <c r="E1" s="2468"/>
      <c r="F1" s="2468"/>
      <c r="G1" s="2468"/>
      <c r="H1" s="2468"/>
      <c r="I1" s="2468"/>
      <c r="J1" s="2468"/>
      <c r="K1" s="2468"/>
      <c r="L1" s="2468"/>
      <c r="M1" s="2468"/>
    </row>
    <row r="2" spans="2:14" ht="15" x14ac:dyDescent="0.2">
      <c r="B2" s="2469">
        <f>'Single Audit Cover'!E7</f>
        <v>51084016026</v>
      </c>
      <c r="C2" s="2469"/>
      <c r="D2" s="2469"/>
      <c r="E2" s="2469"/>
      <c r="F2" s="2469"/>
      <c r="G2" s="2469"/>
      <c r="H2" s="2469"/>
      <c r="I2" s="2469"/>
      <c r="J2" s="2469"/>
      <c r="K2" s="2469"/>
      <c r="L2" s="2469"/>
      <c r="M2" s="2469"/>
      <c r="N2" s="1299"/>
    </row>
    <row r="3" spans="2:14" ht="15" x14ac:dyDescent="0.2">
      <c r="B3" s="2470" t="s">
        <v>1219</v>
      </c>
      <c r="C3" s="2470"/>
      <c r="D3" s="2470"/>
      <c r="E3" s="2470"/>
      <c r="F3" s="2470"/>
      <c r="G3" s="2470"/>
      <c r="H3" s="2470"/>
      <c r="I3" s="2470"/>
      <c r="J3" s="2470"/>
      <c r="K3" s="2470"/>
      <c r="L3" s="2470"/>
      <c r="M3" s="2470"/>
      <c r="N3" s="1299"/>
    </row>
    <row r="4" spans="2:14" ht="15" x14ac:dyDescent="0.2">
      <c r="B4" s="2471" t="str">
        <f>'Single Audit Cover'!A4</f>
        <v>Year Ending June 30, 2019</v>
      </c>
      <c r="C4" s="2471"/>
      <c r="D4" s="2471"/>
      <c r="E4" s="2471"/>
      <c r="F4" s="2471"/>
      <c r="G4" s="2471"/>
      <c r="H4" s="2471"/>
      <c r="I4" s="2471"/>
      <c r="J4" s="2471"/>
      <c r="K4" s="2471"/>
      <c r="L4" s="2471"/>
      <c r="M4" s="2471"/>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CC"/>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81" t="str">
        <f>'Single Audit Cover'!A7</f>
        <v>New Berlin CUSD 16</v>
      </c>
      <c r="B1" s="2481"/>
      <c r="C1" s="2481"/>
      <c r="D1" s="2481"/>
      <c r="E1" s="2481"/>
      <c r="F1" s="2481"/>
    </row>
    <row r="2" spans="1:7" ht="13.5" customHeight="1" x14ac:dyDescent="0.2">
      <c r="A2" s="2469">
        <f>'Single Audit Cover'!E7</f>
        <v>51084016026</v>
      </c>
      <c r="B2" s="2469"/>
      <c r="C2" s="2469"/>
      <c r="D2" s="2469"/>
      <c r="E2" s="2469"/>
      <c r="F2" s="2469"/>
      <c r="G2" s="1272"/>
    </row>
    <row r="3" spans="1:7" ht="15.75" customHeight="1" x14ac:dyDescent="0.2">
      <c r="A3" s="2482" t="s">
        <v>1271</v>
      </c>
      <c r="B3" s="2482"/>
      <c r="C3" s="2482"/>
      <c r="D3" s="2482"/>
      <c r="E3" s="2482"/>
      <c r="F3" s="2482"/>
    </row>
    <row r="4" spans="1:7" ht="13.5" customHeight="1" x14ac:dyDescent="0.2">
      <c r="A4" s="2483" t="str">
        <f>'Single Audit Cover'!A4</f>
        <v>Year Ending June 30, 2019</v>
      </c>
      <c r="B4" s="2483"/>
      <c r="C4" s="2483"/>
      <c r="D4" s="2483"/>
      <c r="E4" s="2483"/>
      <c r="F4" s="2483"/>
    </row>
    <row r="5" spans="1:7" ht="8.25" customHeight="1" x14ac:dyDescent="0.2">
      <c r="C5" s="317"/>
      <c r="D5" s="317"/>
    </row>
    <row r="6" spans="1:7" ht="13.5" customHeight="1" x14ac:dyDescent="0.2">
      <c r="A6" s="1273" t="s">
        <v>1728</v>
      </c>
      <c r="C6" s="317"/>
      <c r="D6" s="317"/>
    </row>
    <row r="7" spans="1:7" ht="60.95" customHeight="1" x14ac:dyDescent="0.2">
      <c r="A7" s="2480" t="s">
        <v>1729</v>
      </c>
      <c r="B7" s="2480"/>
      <c r="C7" s="2480"/>
      <c r="D7" s="2480"/>
      <c r="E7" s="2480"/>
      <c r="F7" s="2480"/>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80" t="s">
        <v>1731</v>
      </c>
      <c r="B13" s="2480"/>
      <c r="C13" s="2480"/>
      <c r="D13" s="2480"/>
      <c r="E13" s="2480"/>
      <c r="F13" s="2480"/>
    </row>
    <row r="14" spans="1:7" ht="9.75" customHeight="1" x14ac:dyDescent="0.2">
      <c r="C14" s="1257"/>
      <c r="D14" s="1257"/>
    </row>
    <row r="15" spans="1:7" ht="13.5" customHeight="1" x14ac:dyDescent="0.2">
      <c r="C15" s="1846" t="s">
        <v>1270</v>
      </c>
      <c r="D15" s="2478" t="s">
        <v>1269</v>
      </c>
      <c r="E15" s="2478"/>
      <c r="F15" s="2478"/>
    </row>
    <row r="16" spans="1:7" ht="13.5" customHeight="1" x14ac:dyDescent="0.2">
      <c r="A16" s="1279"/>
      <c r="B16" s="1273" t="s">
        <v>1268</v>
      </c>
      <c r="C16" s="1846" t="s">
        <v>1267</v>
      </c>
      <c r="D16" s="2479" t="s">
        <v>1588</v>
      </c>
      <c r="E16" s="2479"/>
      <c r="F16" s="2479"/>
    </row>
    <row r="17" spans="1:6" ht="20.45" customHeight="1" x14ac:dyDescent="0.2">
      <c r="A17" s="1280"/>
      <c r="B17" s="1281"/>
      <c r="C17" s="1282"/>
      <c r="D17" s="2473"/>
      <c r="E17" s="2473"/>
      <c r="F17" s="2473"/>
    </row>
    <row r="18" spans="1:6" ht="20.65" customHeight="1" x14ac:dyDescent="0.2">
      <c r="A18" s="1280"/>
      <c r="B18" s="1281"/>
      <c r="C18" s="1282"/>
      <c r="D18" s="2473"/>
      <c r="E18" s="2473"/>
      <c r="F18" s="2473"/>
    </row>
    <row r="19" spans="1:6" ht="20.65" customHeight="1" x14ac:dyDescent="0.2">
      <c r="A19" s="1280"/>
      <c r="B19" s="1281"/>
      <c r="C19" s="1282"/>
      <c r="D19" s="2473"/>
      <c r="E19" s="2473"/>
      <c r="F19" s="2473"/>
    </row>
    <row r="20" spans="1:6" ht="20.65" customHeight="1" x14ac:dyDescent="0.2">
      <c r="A20" s="1280"/>
      <c r="B20" s="1281"/>
      <c r="C20" s="1282"/>
      <c r="D20" s="2473"/>
      <c r="E20" s="2473"/>
      <c r="F20" s="2473"/>
    </row>
    <row r="21" spans="1:6" ht="20.65" customHeight="1" x14ac:dyDescent="0.2">
      <c r="A21" s="1280"/>
      <c r="B21" s="1281"/>
      <c r="C21" s="1282"/>
      <c r="D21" s="2473"/>
      <c r="E21" s="2473"/>
      <c r="F21" s="2473"/>
    </row>
    <row r="22" spans="1:6" ht="20.65" customHeight="1" x14ac:dyDescent="0.2">
      <c r="A22" s="1280"/>
      <c r="B22" s="1281"/>
      <c r="C22" s="1282"/>
      <c r="D22" s="2473"/>
      <c r="E22" s="2473"/>
      <c r="F22" s="2473"/>
    </row>
    <row r="23" spans="1:6" ht="20.65" customHeight="1" x14ac:dyDescent="0.2">
      <c r="A23" s="1280"/>
      <c r="B23" s="1281"/>
      <c r="C23" s="1282"/>
      <c r="D23" s="2473"/>
      <c r="E23" s="2473"/>
      <c r="F23" s="2473"/>
    </row>
    <row r="24" spans="1:6" ht="20.65" customHeight="1" x14ac:dyDescent="0.2">
      <c r="A24" s="1280"/>
      <c r="B24" s="1281"/>
      <c r="C24" s="1282"/>
      <c r="D24" s="2473"/>
      <c r="E24" s="2473"/>
      <c r="F24" s="2473"/>
    </row>
    <row r="25" spans="1:6" ht="20.65" customHeight="1" x14ac:dyDescent="0.2">
      <c r="A25" s="1280"/>
      <c r="B25" s="1281"/>
      <c r="C25" s="1282"/>
      <c r="D25" s="2473"/>
      <c r="E25" s="2473"/>
      <c r="F25" s="2473"/>
    </row>
    <row r="26" spans="1:6" ht="20.65" customHeight="1" x14ac:dyDescent="0.2">
      <c r="A26" s="1280"/>
      <c r="B26" s="1281"/>
      <c r="C26" s="1282"/>
      <c r="D26" s="2473"/>
      <c r="E26" s="2473"/>
      <c r="F26" s="2473"/>
    </row>
    <row r="27" spans="1:6" ht="20.65" customHeight="1" x14ac:dyDescent="0.2">
      <c r="A27" s="1280"/>
      <c r="B27" s="1281"/>
      <c r="C27" s="1282"/>
      <c r="D27" s="2473"/>
      <c r="E27" s="2473"/>
      <c r="F27" s="2473"/>
    </row>
    <row r="28" spans="1:6" ht="20.65" customHeight="1" x14ac:dyDescent="0.2">
      <c r="A28" s="1280"/>
      <c r="B28" s="1281"/>
      <c r="C28" s="1282"/>
      <c r="D28" s="2473"/>
      <c r="E28" s="2473"/>
      <c r="F28" s="2473"/>
    </row>
    <row r="29" spans="1:6" ht="20.65" customHeight="1" x14ac:dyDescent="0.2">
      <c r="A29" s="1280"/>
      <c r="B29" s="1281"/>
      <c r="C29" s="1282"/>
      <c r="D29" s="2473"/>
      <c r="E29" s="2473"/>
      <c r="F29" s="247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74" t="s">
        <v>1732</v>
      </c>
      <c r="B32" s="2474"/>
      <c r="C32" s="2474"/>
      <c r="D32" s="2474"/>
      <c r="E32" s="2474"/>
      <c r="F32" s="2474"/>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75">
        <f>+C33+C34</f>
        <v>0</v>
      </c>
      <c r="F34" s="247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7" t="s">
        <v>1590</v>
      </c>
      <c r="C49" s="2477"/>
      <c r="D49" s="2477"/>
      <c r="E49" s="1396"/>
    </row>
    <row r="50" spans="1:5" s="1297" customFormat="1" ht="3.75" customHeight="1" x14ac:dyDescent="0.2">
      <c r="A50" s="1296"/>
      <c r="B50" s="1845"/>
      <c r="C50" s="1845"/>
      <c r="D50" s="1845"/>
      <c r="E50" s="1396"/>
    </row>
    <row r="51" spans="1:5" s="1297" customFormat="1" ht="20.25" customHeight="1" x14ac:dyDescent="0.2">
      <c r="A51" s="1298">
        <v>6</v>
      </c>
      <c r="B51" s="2472" t="s">
        <v>1551</v>
      </c>
      <c r="C51" s="2472"/>
      <c r="D51" s="2472"/>
    </row>
    <row r="52" spans="1:5" ht="14.25" customHeight="1" x14ac:dyDescent="0.2">
      <c r="A52" s="1298"/>
      <c r="B52" s="2472"/>
      <c r="C52" s="2472"/>
      <c r="D52" s="247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CC"/>
  </sheetPr>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5" t="str">
        <f>'Single Audit Cover'!A7</f>
        <v>New Berlin CUSD 16</v>
      </c>
      <c r="C1" s="2496"/>
      <c r="D1" s="2496"/>
      <c r="E1" s="2496"/>
      <c r="F1" s="2496"/>
      <c r="G1" s="2496"/>
      <c r="H1" s="2496"/>
      <c r="I1" s="2496"/>
      <c r="J1" s="1406"/>
    </row>
    <row r="2" spans="2:10" s="317" customFormat="1" ht="12.75" customHeight="1" x14ac:dyDescent="0.2">
      <c r="B2" s="2497">
        <f>'Single Audit Cover'!E7</f>
        <v>51084016026</v>
      </c>
      <c r="C2" s="2498"/>
      <c r="D2" s="2498"/>
      <c r="E2" s="2498"/>
      <c r="F2" s="2498"/>
      <c r="G2" s="2498"/>
      <c r="H2" s="2498"/>
      <c r="I2" s="2498"/>
      <c r="J2" s="1406"/>
    </row>
    <row r="3" spans="2:10" s="317" customFormat="1" ht="12.75" customHeight="1" x14ac:dyDescent="0.2">
      <c r="B3" s="2499" t="s">
        <v>1285</v>
      </c>
      <c r="C3" s="2500"/>
      <c r="D3" s="2500"/>
      <c r="E3" s="2500"/>
      <c r="F3" s="2500"/>
      <c r="G3" s="2500"/>
      <c r="H3" s="2500"/>
      <c r="I3" s="2500"/>
      <c r="J3" s="1407"/>
    </row>
    <row r="4" spans="2:10" s="317" customFormat="1" ht="12.75" customHeight="1" x14ac:dyDescent="0.2">
      <c r="B4" s="2499" t="str">
        <f>'Single Audit Cover'!A4</f>
        <v>Year Ending June 30, 2019</v>
      </c>
      <c r="C4" s="2500"/>
      <c r="D4" s="2500"/>
      <c r="E4" s="2500"/>
      <c r="F4" s="2500"/>
      <c r="G4" s="2500"/>
      <c r="H4" s="2500"/>
      <c r="I4" s="250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99" t="s">
        <v>1284</v>
      </c>
      <c r="C7" s="2500"/>
      <c r="D7" s="2500"/>
      <c r="E7" s="2500"/>
      <c r="F7" s="2500"/>
      <c r="G7" s="2500"/>
      <c r="H7" s="2500"/>
      <c r="I7" s="250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501"/>
      <c r="D11" s="250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502"/>
      <c r="E29" s="2502"/>
      <c r="F29" s="2502"/>
      <c r="G29" s="2502"/>
      <c r="H29" s="2502"/>
      <c r="I29" s="250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503" t="s">
        <v>1751</v>
      </c>
      <c r="D37" s="2504"/>
      <c r="E37" s="2504"/>
      <c r="F37" s="2505"/>
      <c r="G37" s="2503" t="s">
        <v>1592</v>
      </c>
      <c r="H37" s="2504"/>
      <c r="I37" s="2505"/>
    </row>
    <row r="38" spans="2:9" ht="16.5" customHeight="1" x14ac:dyDescent="0.2">
      <c r="B38" s="1428"/>
      <c r="C38" s="2491"/>
      <c r="D38" s="2492"/>
      <c r="E38" s="2492"/>
      <c r="F38" s="2493"/>
      <c r="G38" s="2506"/>
      <c r="H38" s="2507"/>
      <c r="I38" s="2508"/>
    </row>
    <row r="39" spans="2:9" ht="16.5" customHeight="1" x14ac:dyDescent="0.2">
      <c r="B39" s="1428"/>
      <c r="C39" s="2491"/>
      <c r="D39" s="2492"/>
      <c r="E39" s="2492"/>
      <c r="F39" s="2493"/>
      <c r="G39" s="2494"/>
      <c r="H39" s="2494"/>
      <c r="I39" s="2494"/>
    </row>
    <row r="40" spans="2:9" ht="16.5" customHeight="1" x14ac:dyDescent="0.2">
      <c r="B40" s="1428"/>
      <c r="C40" s="2491"/>
      <c r="D40" s="2492"/>
      <c r="E40" s="2492"/>
      <c r="F40" s="2493"/>
      <c r="G40" s="2494"/>
      <c r="H40" s="2494"/>
      <c r="I40" s="2494"/>
    </row>
    <row r="41" spans="2:9" ht="16.5" customHeight="1" x14ac:dyDescent="0.2">
      <c r="B41" s="1428"/>
      <c r="C41" s="2491"/>
      <c r="D41" s="2492"/>
      <c r="E41" s="2492"/>
      <c r="F41" s="2493"/>
      <c r="G41" s="2494"/>
      <c r="H41" s="2494"/>
      <c r="I41" s="2494"/>
    </row>
    <row r="42" spans="2:9" ht="16.5" customHeight="1" x14ac:dyDescent="0.2">
      <c r="B42" s="1428"/>
      <c r="C42" s="2491"/>
      <c r="D42" s="2492"/>
      <c r="E42" s="2492"/>
      <c r="F42" s="2493"/>
      <c r="G42" s="2494"/>
      <c r="H42" s="2494"/>
      <c r="I42" s="2494"/>
    </row>
    <row r="43" spans="2:9" ht="16.5" customHeight="1" x14ac:dyDescent="0.2">
      <c r="B43" s="1428"/>
      <c r="C43" s="2484" t="s">
        <v>1593</v>
      </c>
      <c r="D43" s="2485"/>
      <c r="E43" s="2485"/>
      <c r="F43" s="2486"/>
      <c r="G43" s="2487">
        <f>SUM(G38:I42)</f>
        <v>0</v>
      </c>
      <c r="H43" s="2487"/>
      <c r="I43" s="2487"/>
    </row>
    <row r="44" spans="2:9" ht="12.75" customHeight="1" x14ac:dyDescent="0.2"/>
    <row r="45" spans="2:9" ht="12.75" customHeight="1" x14ac:dyDescent="0.2">
      <c r="B45" s="1419" t="s">
        <v>1841</v>
      </c>
      <c r="D45" s="2488">
        <v>0</v>
      </c>
      <c r="E45" s="2489"/>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90"/>
      <c r="F49" s="2490"/>
      <c r="G49" s="2490"/>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CC"/>
  </sheetPr>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5" t="str">
        <f>'Single Audit Cover'!A7</f>
        <v>New Berlin CUSD 16</v>
      </c>
      <c r="C1" s="2495"/>
      <c r="D1" s="2495"/>
      <c r="E1" s="2495"/>
      <c r="F1" s="2495"/>
      <c r="G1" s="2495"/>
      <c r="H1" s="2495"/>
      <c r="I1" s="2495"/>
      <c r="J1" s="2495"/>
      <c r="K1" s="2495"/>
      <c r="L1" s="1371"/>
      <c r="M1" s="1371"/>
    </row>
    <row r="2" spans="1:13" ht="12" customHeight="1" x14ac:dyDescent="0.2">
      <c r="B2" s="2497">
        <f>'Single Audit Cover'!E7</f>
        <v>51084016026</v>
      </c>
      <c r="C2" s="2497"/>
      <c r="D2" s="2497"/>
      <c r="E2" s="2497"/>
      <c r="F2" s="2497"/>
      <c r="G2" s="2497"/>
      <c r="H2" s="2497"/>
      <c r="I2" s="2497"/>
      <c r="J2" s="2497"/>
      <c r="K2" s="2497"/>
      <c r="L2" s="1372"/>
      <c r="M2" s="1373"/>
    </row>
    <row r="3" spans="1:13" ht="10.35" customHeight="1" x14ac:dyDescent="0.2">
      <c r="B3" s="2511" t="s">
        <v>1285</v>
      </c>
      <c r="C3" s="2511"/>
      <c r="D3" s="2511"/>
      <c r="E3" s="2511"/>
      <c r="F3" s="2511"/>
      <c r="G3" s="2511"/>
      <c r="H3" s="2511"/>
      <c r="I3" s="2511"/>
      <c r="J3" s="2511"/>
      <c r="K3" s="2511"/>
      <c r="L3" s="1374"/>
      <c r="M3" s="1374"/>
    </row>
    <row r="4" spans="1:13" ht="14.25" customHeight="1" x14ac:dyDescent="0.2">
      <c r="B4" s="2512" t="str">
        <f>'Single Audit Cover'!A4</f>
        <v>Year Ending June 30, 2019</v>
      </c>
      <c r="C4" s="2512"/>
      <c r="D4" s="2512"/>
      <c r="E4" s="2512"/>
      <c r="F4" s="2512"/>
      <c r="G4" s="2512"/>
      <c r="H4" s="2512"/>
      <c r="I4" s="2512"/>
      <c r="J4" s="2512"/>
      <c r="K4" s="2512"/>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12" t="s">
        <v>1296</v>
      </c>
      <c r="C7" s="2512"/>
      <c r="D7" s="2513"/>
      <c r="E7" s="2513"/>
      <c r="F7" s="2513"/>
      <c r="G7" s="2513"/>
      <c r="H7" s="2513"/>
      <c r="I7" s="2513"/>
      <c r="J7" s="2513"/>
      <c r="K7" s="251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510"/>
      <c r="C14" s="2510"/>
      <c r="D14" s="2510"/>
      <c r="E14" s="2510"/>
      <c r="F14" s="2510"/>
      <c r="G14" s="2510"/>
      <c r="H14" s="2510"/>
      <c r="I14" s="2510"/>
      <c r="J14" s="2510"/>
      <c r="K14" s="251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510"/>
      <c r="C17" s="2510"/>
      <c r="D17" s="2510"/>
      <c r="E17" s="2510"/>
      <c r="F17" s="2510"/>
      <c r="G17" s="2510"/>
      <c r="H17" s="2510"/>
      <c r="I17" s="2510"/>
      <c r="J17" s="2510"/>
      <c r="K17" s="2510"/>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514"/>
      <c r="C20" s="2514"/>
      <c r="D20" s="2510"/>
      <c r="E20" s="2510"/>
      <c r="F20" s="2510"/>
      <c r="G20" s="2510"/>
      <c r="H20" s="2510"/>
      <c r="I20" s="2510"/>
      <c r="J20" s="2510"/>
      <c r="K20" s="2510"/>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510"/>
      <c r="C23" s="2510"/>
      <c r="D23" s="2510"/>
      <c r="E23" s="2510"/>
      <c r="F23" s="2510"/>
      <c r="G23" s="2510"/>
      <c r="H23" s="2510"/>
      <c r="I23" s="2510"/>
      <c r="J23" s="2510"/>
      <c r="K23" s="2510"/>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510"/>
      <c r="C26" s="2510"/>
      <c r="D26" s="2510"/>
      <c r="E26" s="2510"/>
      <c r="F26" s="2510"/>
      <c r="G26" s="2510"/>
      <c r="H26" s="2510"/>
      <c r="I26" s="2510"/>
      <c r="J26" s="2510"/>
      <c r="K26" s="2510"/>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509"/>
      <c r="C29" s="2509"/>
      <c r="D29" s="2510"/>
      <c r="E29" s="2510"/>
      <c r="F29" s="2510"/>
      <c r="G29" s="2510"/>
      <c r="H29" s="2510"/>
      <c r="I29" s="2510"/>
      <c r="J29" s="2510"/>
      <c r="K29" s="251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509"/>
      <c r="C32" s="2509"/>
      <c r="D32" s="2510"/>
      <c r="E32" s="2510"/>
      <c r="F32" s="2510"/>
      <c r="G32" s="2510"/>
      <c r="H32" s="2510"/>
      <c r="I32" s="2510"/>
      <c r="J32" s="2510"/>
      <c r="K32" s="251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CC"/>
  </sheetPr>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8" t="str">
        <f>'Single Audit Cover'!A7</f>
        <v>New Berlin CUSD 16</v>
      </c>
      <c r="C1" s="2518"/>
      <c r="D1" s="2518"/>
      <c r="E1" s="2518"/>
      <c r="F1" s="2518"/>
      <c r="G1" s="2518"/>
      <c r="H1" s="2518"/>
      <c r="I1" s="2518"/>
      <c r="J1" s="2518"/>
      <c r="K1" s="2518"/>
      <c r="L1" s="1449"/>
    </row>
    <row r="2" spans="1:12" ht="12.75" customHeight="1" x14ac:dyDescent="0.2">
      <c r="B2" s="2519">
        <f>'Single Audit Cover'!E7</f>
        <v>51084016026</v>
      </c>
      <c r="C2" s="2519"/>
      <c r="D2" s="2519"/>
      <c r="E2" s="2519"/>
      <c r="F2" s="2519"/>
      <c r="G2" s="2519"/>
      <c r="H2" s="2519"/>
      <c r="I2" s="2519"/>
      <c r="J2" s="2519"/>
      <c r="K2" s="2519"/>
      <c r="L2" s="1450"/>
    </row>
    <row r="3" spans="1:12" ht="12.75" customHeight="1" x14ac:dyDescent="0.2">
      <c r="B3" s="2511" t="s">
        <v>1285</v>
      </c>
      <c r="C3" s="2511"/>
      <c r="D3" s="2511"/>
      <c r="E3" s="2511"/>
      <c r="F3" s="2511"/>
      <c r="G3" s="2511"/>
      <c r="H3" s="2511"/>
      <c r="I3" s="2511"/>
      <c r="J3" s="2511"/>
      <c r="K3" s="2511"/>
      <c r="L3" s="1374"/>
    </row>
    <row r="4" spans="1:12" ht="12.75" customHeight="1" x14ac:dyDescent="0.2">
      <c r="B4" s="2511" t="str">
        <f>'Single Audit Cover'!A4</f>
        <v>Year Ending June 30, 2019</v>
      </c>
      <c r="C4" s="2511"/>
      <c r="D4" s="2511"/>
      <c r="E4" s="2511"/>
      <c r="F4" s="2511"/>
      <c r="G4" s="2511"/>
      <c r="H4" s="2511"/>
      <c r="I4" s="2511"/>
      <c r="J4" s="2511"/>
      <c r="K4" s="2511"/>
      <c r="L4" s="1374"/>
    </row>
    <row r="5" spans="1:12" ht="5.25" customHeight="1" x14ac:dyDescent="0.2">
      <c r="B5" s="1257" t="s">
        <v>1169</v>
      </c>
      <c r="C5" s="1257"/>
      <c r="L5" s="322"/>
    </row>
    <row r="6" spans="1:12" ht="30.75" customHeight="1" x14ac:dyDescent="0.2">
      <c r="A6" s="322"/>
      <c r="B6" s="2520" t="s">
        <v>1308</v>
      </c>
      <c r="C6" s="2520"/>
      <c r="D6" s="2520"/>
      <c r="E6" s="2520"/>
      <c r="F6" s="2520"/>
      <c r="G6" s="2520"/>
      <c r="H6" s="2520"/>
      <c r="I6" s="2520"/>
      <c r="J6" s="2520"/>
      <c r="K6" s="252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502"/>
      <c r="G12" s="2502"/>
      <c r="H12" s="2502"/>
      <c r="I12" s="2502"/>
      <c r="J12" s="2502"/>
      <c r="K12" s="250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15"/>
      <c r="E14" s="2515"/>
      <c r="F14" s="2515"/>
      <c r="H14" s="1459" t="s">
        <v>1303</v>
      </c>
      <c r="I14" s="2516"/>
      <c r="J14" s="2516"/>
      <c r="K14" s="251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16"/>
      <c r="E16" s="2516"/>
      <c r="F16" s="2516"/>
      <c r="G16" s="2516"/>
      <c r="H16" s="2516"/>
      <c r="I16" s="2516"/>
      <c r="J16" s="2516"/>
      <c r="K16" s="2516"/>
      <c r="L16" s="322"/>
    </row>
    <row r="17" spans="2:12" ht="13.5" customHeight="1" x14ac:dyDescent="0.2">
      <c r="B17" s="1384" t="s">
        <v>1301</v>
      </c>
      <c r="C17" s="1384"/>
      <c r="D17" s="2517"/>
      <c r="E17" s="2517"/>
      <c r="F17" s="2517"/>
      <c r="G17" s="2517"/>
      <c r="H17" s="2517"/>
      <c r="I17" s="2517"/>
      <c r="J17" s="2517"/>
      <c r="K17" s="251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510"/>
      <c r="C20" s="2510"/>
      <c r="D20" s="2510"/>
      <c r="E20" s="2510"/>
      <c r="F20" s="2510"/>
      <c r="G20" s="2510"/>
      <c r="H20" s="2510"/>
      <c r="I20" s="2510"/>
      <c r="J20" s="2510"/>
      <c r="K20" s="251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510"/>
      <c r="C23" s="2510"/>
      <c r="D23" s="2510"/>
      <c r="E23" s="2510"/>
      <c r="F23" s="2510"/>
      <c r="G23" s="2510"/>
      <c r="H23" s="2510"/>
      <c r="I23" s="2510"/>
      <c r="J23" s="2510"/>
      <c r="K23" s="251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510"/>
      <c r="C26" s="2510"/>
      <c r="D26" s="2510"/>
      <c r="E26" s="2510"/>
      <c r="F26" s="2510"/>
      <c r="G26" s="2510"/>
      <c r="H26" s="2510"/>
      <c r="I26" s="2510"/>
      <c r="J26" s="2510"/>
      <c r="K26" s="251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510"/>
      <c r="C29" s="2510"/>
      <c r="D29" s="2510"/>
      <c r="E29" s="2510"/>
      <c r="F29" s="2510"/>
      <c r="G29" s="2510"/>
      <c r="H29" s="2510"/>
      <c r="I29" s="2510"/>
      <c r="J29" s="2510"/>
      <c r="K29" s="251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510"/>
      <c r="C32" s="2510"/>
      <c r="D32" s="2510"/>
      <c r="E32" s="2510"/>
      <c r="F32" s="2510"/>
      <c r="G32" s="2510"/>
      <c r="H32" s="2510"/>
      <c r="I32" s="2510"/>
      <c r="J32" s="2510"/>
      <c r="K32" s="251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510"/>
      <c r="C35" s="2510"/>
      <c r="D35" s="2510"/>
      <c r="E35" s="2510"/>
      <c r="F35" s="2510"/>
      <c r="G35" s="2510"/>
      <c r="H35" s="2510"/>
      <c r="I35" s="2510"/>
      <c r="J35" s="2510"/>
      <c r="K35" s="251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510"/>
      <c r="C38" s="2510"/>
      <c r="D38" s="2510"/>
      <c r="E38" s="2510"/>
      <c r="F38" s="2510"/>
      <c r="G38" s="2510"/>
      <c r="H38" s="2510"/>
      <c r="I38" s="2510"/>
      <c r="J38" s="2510"/>
      <c r="K38" s="251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510"/>
      <c r="C41" s="2510"/>
      <c r="D41" s="2510"/>
      <c r="E41" s="2510"/>
      <c r="F41" s="2510"/>
      <c r="G41" s="2510"/>
      <c r="H41" s="2510"/>
      <c r="I41" s="2510"/>
      <c r="J41" s="2510"/>
      <c r="K41" s="251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CC"/>
  </sheetPr>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95" t="str">
        <f>'Single Audit Cover'!A7</f>
        <v>New Berlin CUSD 16</v>
      </c>
      <c r="C1" s="2495"/>
      <c r="D1" s="2495"/>
      <c r="E1" s="1469"/>
    </row>
    <row r="2" spans="2:5" s="1279" customFormat="1" ht="12.75" customHeight="1" x14ac:dyDescent="0.2">
      <c r="B2" s="2497">
        <f>'Single Audit Cover'!E7</f>
        <v>51084016026</v>
      </c>
      <c r="C2" s="2497"/>
      <c r="D2" s="2497"/>
      <c r="E2" s="1470"/>
    </row>
    <row r="3" spans="2:5" ht="12.75" customHeight="1" x14ac:dyDescent="0.2">
      <c r="B3" s="2511" t="s">
        <v>1766</v>
      </c>
      <c r="C3" s="2511"/>
      <c r="D3" s="2511"/>
      <c r="E3" s="1271"/>
    </row>
    <row r="4" spans="2:5" s="1279" customFormat="1" ht="12.75" customHeight="1" x14ac:dyDescent="0.2">
      <c r="B4" s="2521" t="str">
        <f>'Single Audit Cover'!A4</f>
        <v>Year Ending June 30, 2019</v>
      </c>
      <c r="C4" s="2521"/>
      <c r="D4" s="2521"/>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purl.org/dc/elements/1.1/"/>
    <ds:schemaRef ds:uri="http://schemas.microsoft.com/office/2006/documentManagement/types"/>
    <ds:schemaRef ds:uri="http://schemas.openxmlformats.org/package/2006/metadata/core-properties"/>
    <ds:schemaRef ds:uri="d21dc803-237d-4c68-8692-8d731fd29118"/>
    <ds:schemaRef ds:uri="http://schemas.microsoft.com/office/2006/metadata/properties"/>
    <ds:schemaRef ds:uri="http://schemas.microsoft.com/office/infopath/2007/PartnerControls"/>
    <ds:schemaRef ds:uri="4d435f69-8686-490b-bd6d-b153bf22ab50"/>
    <ds:schemaRef ds:uri="http://schemas.microsoft.com/sharepoint/v3"/>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Report cover</vt:lpstr>
      <vt:lpstr>COVER</vt:lpstr>
      <vt:lpstr>Table of Contents-Excel</vt:lpstr>
      <vt:lpstr>Assets-Liab 5-6</vt:lpstr>
      <vt:lpstr>Acct Summary 7-8</vt:lpstr>
      <vt:lpstr>Revenues 9-14</vt:lpstr>
      <vt:lpstr>Expenditures 15-22</vt:lpstr>
      <vt:lpstr>Tax Sched 23</vt:lpstr>
      <vt:lpstr>Short-Term Long-Term Debt 24</vt:lpstr>
      <vt:lpstr>Rest Tax Levies-Tort Im 25</vt:lpstr>
      <vt:lpstr>ICR Computation 30</vt:lpstr>
      <vt:lpstr>Cap Outlay Deprec 26</vt:lpstr>
      <vt:lpstr>PCTC-OEPP 27-28</vt:lpstr>
      <vt:lpstr>Itemization 33</vt:lpstr>
      <vt:lpstr>REF 34</vt:lpstr>
      <vt:lpstr>Aud Quest 2</vt:lpstr>
      <vt:lpstr>FP Info 3</vt:lpstr>
      <vt:lpstr>Fin Profile 4</vt:lpstr>
      <vt:lpstr>Activity Funds-Excel</vt:lpstr>
      <vt:lpstr>AC32</vt:lpstr>
      <vt:lpstr>Contracts Paid in CY 29</vt:lpstr>
      <vt:lpstr>Shared Outsourced Services 31</vt:lpstr>
      <vt:lpstr>Opinion-Notes 35</vt:lpstr>
      <vt:lpstr>AUDITCHECK</vt:lpstr>
      <vt:lpstr>AFR19</vt:lpstr>
      <vt:lpstr>TOC</vt:lpstr>
      <vt:lpstr>DeficitAFRSum Calc 36</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'Table of Contents-Excel'!Print_Area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2019-10-11T12:53:45Z</cp:lastPrinted>
  <dcterms:created xsi:type="dcterms:W3CDTF">2003-10-29T19:06:34Z</dcterms:created>
  <dcterms:modified xsi:type="dcterms:W3CDTF">2019-11-22T18:24:56Z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