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6CD6504-4288-4104-8DA9-6C7A9812CAF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3" l="1"/>
  <c r="M19" i="3" l="1"/>
  <c r="G40" i="174" l="1"/>
  <c r="G39" i="174"/>
  <c r="D45" i="174"/>
  <c r="C34" i="173"/>
  <c r="C33" i="173"/>
  <c r="E11" i="108" l="1"/>
  <c r="D35" i="171"/>
  <c r="M27" i="186" l="1"/>
  <c r="K27" i="186"/>
  <c r="J27" i="186"/>
  <c r="H27" i="186"/>
  <c r="G27" i="186"/>
  <c r="E27" i="186"/>
  <c r="M17" i="186"/>
  <c r="M15" i="186"/>
  <c r="M13" i="186"/>
  <c r="K17" i="186"/>
  <c r="J17" i="186"/>
  <c r="I17" i="186"/>
  <c r="H17" i="186"/>
  <c r="G17" i="186"/>
  <c r="F17" i="186"/>
  <c r="K15" i="186"/>
  <c r="J15" i="186"/>
  <c r="I15" i="186"/>
  <c r="H15" i="186"/>
  <c r="G15" i="186"/>
  <c r="F15" i="186"/>
  <c r="K13" i="186"/>
  <c r="J13" i="186"/>
  <c r="H13" i="186"/>
  <c r="G13" i="186"/>
  <c r="M17" i="185"/>
  <c r="M27" i="185" s="1"/>
  <c r="K17" i="185"/>
  <c r="K27" i="185" s="1"/>
  <c r="J17" i="185"/>
  <c r="J27" i="185" s="1"/>
  <c r="I17" i="185"/>
  <c r="H17" i="185"/>
  <c r="G17" i="185"/>
  <c r="G27" i="185" s="1"/>
  <c r="F17" i="185"/>
  <c r="F27" i="185" s="1"/>
  <c r="E17" i="185"/>
  <c r="E27" i="185" s="1"/>
  <c r="E17" i="186" s="1"/>
  <c r="E15" i="186"/>
  <c r="E13" i="186"/>
  <c r="I27" i="185"/>
  <c r="H27" i="185"/>
  <c r="M27" i="183"/>
  <c r="K27" i="183"/>
  <c r="J27" i="183"/>
  <c r="I27" i="183"/>
  <c r="H27" i="183"/>
  <c r="G27" i="183"/>
  <c r="F27" i="183"/>
  <c r="E27" i="183"/>
  <c r="M27" i="184"/>
  <c r="K27" i="184"/>
  <c r="J27" i="184"/>
  <c r="I27" i="184"/>
  <c r="H27" i="184"/>
  <c r="G27" i="184"/>
  <c r="F27" i="184"/>
  <c r="E27" i="184"/>
  <c r="M27" i="179" l="1"/>
  <c r="K27" i="179"/>
  <c r="J27" i="179"/>
  <c r="I27" i="179"/>
  <c r="I13" i="186" s="1"/>
  <c r="I27" i="186" s="1"/>
  <c r="L27" i="186" s="1"/>
  <c r="F27" i="179"/>
  <c r="F13" i="186" s="1"/>
  <c r="F27" i="186" s="1"/>
  <c r="M20" i="179"/>
  <c r="K20" i="179"/>
  <c r="J20" i="179"/>
  <c r="I20" i="179"/>
  <c r="H20" i="179"/>
  <c r="H27" i="179" s="1"/>
  <c r="G20" i="179"/>
  <c r="G27" i="179" s="1"/>
  <c r="F20" i="179"/>
  <c r="E20" i="179"/>
  <c r="E27" i="179" s="1"/>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F39" i="3" l="1"/>
  <c r="D39" i="3"/>
  <c r="D215" i="29"/>
  <c r="D278" i="29"/>
  <c r="D223" i="29"/>
  <c r="D269" i="29"/>
  <c r="D267" i="29"/>
  <c r="D266" i="29"/>
  <c r="D264" i="29"/>
  <c r="D246" i="29"/>
  <c r="D245" i="29"/>
  <c r="D234" i="29"/>
  <c r="D268" i="29"/>
  <c r="D259" i="29"/>
  <c r="D233" i="29"/>
  <c r="D217" i="29"/>
  <c r="D280" i="29"/>
  <c r="D240" i="29"/>
  <c r="D216" i="29"/>
  <c r="C182" i="29"/>
  <c r="F182" i="29"/>
  <c r="E182" i="29"/>
  <c r="D182" i="29"/>
  <c r="H170" i="29"/>
  <c r="H169" i="29"/>
  <c r="C124" i="29"/>
  <c r="G124" i="29"/>
  <c r="F124" i="29"/>
  <c r="E124" i="29"/>
  <c r="D124" i="29"/>
  <c r="C5" i="29"/>
  <c r="E81" i="29"/>
  <c r="E79" i="29"/>
  <c r="D60" i="29"/>
  <c r="C60" i="29"/>
  <c r="F50" i="29"/>
  <c r="E50" i="29"/>
  <c r="D50" i="29"/>
  <c r="C50" i="29"/>
  <c r="E49" i="29"/>
  <c r="E44" i="29"/>
  <c r="E38" i="29"/>
  <c r="D38" i="29"/>
  <c r="H14" i="29"/>
  <c r="F14" i="29"/>
  <c r="E14" i="29"/>
  <c r="D14" i="29"/>
  <c r="C14" i="29"/>
  <c r="G5" i="29"/>
  <c r="F5" i="29"/>
  <c r="E5" i="29"/>
  <c r="F63" i="29"/>
  <c r="E63" i="29"/>
  <c r="D63" i="29"/>
  <c r="C63" i="29"/>
  <c r="H55" i="29"/>
  <c r="F55" i="29"/>
  <c r="E55" i="29"/>
  <c r="D55" i="29"/>
  <c r="C55" i="29"/>
  <c r="E46" i="29"/>
  <c r="F45" i="29"/>
  <c r="F37" i="29"/>
  <c r="E37" i="29"/>
  <c r="D37" i="29"/>
  <c r="C37" i="29"/>
  <c r="F17" i="29"/>
  <c r="D17" i="29"/>
  <c r="F8" i="29"/>
  <c r="E8" i="29"/>
  <c r="D8" i="29"/>
  <c r="C8" i="29"/>
  <c r="H5" i="29"/>
  <c r="D5" i="29"/>
  <c r="C73" i="29"/>
  <c r="D45" i="29"/>
  <c r="D61" i="29"/>
  <c r="D44" i="29"/>
  <c r="C44" i="29"/>
  <c r="D7" i="29"/>
  <c r="C7" i="29"/>
  <c r="C106" i="5"/>
  <c r="C65" i="5"/>
  <c r="C84" i="5"/>
  <c r="C79" i="5"/>
  <c r="C78" i="5"/>
  <c r="C77" i="5"/>
  <c r="C69"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3"/>
  <c r="B2" i="186"/>
  <c r="B2" i="184"/>
  <c r="B1" i="186"/>
  <c r="B1" i="185"/>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F31" i="108"/>
  <c r="G28" i="108"/>
  <c r="D31" i="108"/>
  <c r="E31" i="108"/>
  <c r="G31" i="108"/>
  <c r="E33" i="108"/>
  <c r="E34"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L13" i="11" l="1"/>
  <c r="B2060" i="106" s="1"/>
  <c r="D2060" i="106" s="1"/>
  <c r="G14" i="4"/>
  <c r="B2609" i="106" s="1"/>
  <c r="D2609" i="106" s="1"/>
  <c r="F72" i="34"/>
  <c r="K184" i="29"/>
  <c r="F13" i="4" s="1"/>
  <c r="B2596" i="106" s="1"/>
  <c r="D2596" i="106" s="1"/>
  <c r="F28" i="108"/>
  <c r="D36" i="108"/>
  <c r="F36" i="108"/>
  <c r="F27" i="108"/>
  <c r="G30" i="108"/>
  <c r="F34" i="34"/>
  <c r="H33" i="118"/>
  <c r="H28" i="118"/>
  <c r="G15" i="145"/>
  <c r="C129" i="29"/>
  <c r="B1225" i="106" s="1"/>
  <c r="D1225" i="106" s="1"/>
  <c r="F70" i="34"/>
  <c r="E35" i="108"/>
  <c r="G29" i="108"/>
  <c r="L367" i="29"/>
  <c r="F19" i="7"/>
  <c r="B1807" i="106" s="1"/>
  <c r="D1807" i="106" s="1"/>
  <c r="F50" i="34"/>
  <c r="G26" i="108"/>
  <c r="I210" i="29"/>
  <c r="B7071" i="106" s="1"/>
  <c r="D7071" i="106" s="1"/>
  <c r="H112" i="29"/>
  <c r="B7018" i="106" s="1"/>
  <c r="D7018" i="106" s="1"/>
  <c r="J77" i="4"/>
  <c r="B6262" i="106" s="1"/>
  <c r="D6262" i="106" s="1"/>
  <c r="L5" i="11"/>
  <c r="B2056" i="106" s="1"/>
  <c r="D2056" i="106" s="1"/>
  <c r="F46" i="34"/>
  <c r="F36" i="34"/>
  <c r="E26" i="108"/>
  <c r="D54" i="36"/>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L114" i="29"/>
  <c r="B2031" i="106"/>
  <c r="D2031" i="106" s="1"/>
  <c r="N23" i="3"/>
  <c r="B284" i="106" s="1"/>
  <c r="D284" i="106" s="1"/>
  <c r="B5527" i="106"/>
  <c r="D5527" i="106" s="1"/>
  <c r="C151" i="29"/>
  <c r="B1226" i="106" s="1"/>
  <c r="D1226" i="106" s="1"/>
  <c r="F41" i="108"/>
  <c r="G43" i="108" s="1"/>
  <c r="D44" i="36"/>
  <c r="B5778" i="106"/>
  <c r="D5778" i="106" s="1"/>
  <c r="G6" i="4"/>
  <c r="B2604" i="106" s="1"/>
  <c r="D2604" i="106" s="1"/>
  <c r="K365" i="29"/>
  <c r="B7243" i="106" s="1"/>
  <c r="D7243" i="106" s="1"/>
  <c r="D7254" i="106"/>
  <c r="C114" i="29"/>
  <c r="B757" i="106" s="1"/>
  <c r="D757" i="106" s="1"/>
  <c r="D7256" i="106"/>
  <c r="D7251" i="10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K367" i="29"/>
  <c r="K368" i="29" s="1"/>
  <c r="B3681" i="106" s="1"/>
  <c r="D3681"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<sst xmlns="http://schemas.openxmlformats.org/spreadsheetml/2006/main" count="5363" uniqueCount="2155">
  <si>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</si>
  <si>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</si>
  <si>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</si>
  <si>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</si>
  <si>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</si>
  <si>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</si>
  <si>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</si>
  <si>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</si>
  <si>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</si>
  <si>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</si>
  <si>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</si>
  <si>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</si>
  <si>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</si>
  <si>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</si>
  <si>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</si>
  <si>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</si>
  <si>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</si>
  <si>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</si>
  <si>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</si>
  <si>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</si>
  <si>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</si>
  <si>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</si>
  <si>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</si>
  <si>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</si>
  <si>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</si>
  <si>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</si>
  <si>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</si>
  <si>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</si>
  <si>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</si>
  <si>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</si>
  <si>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</si>
  <si>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</si>
  <si>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</si>
  <si>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</si>
  <si>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</si>
  <si>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</si>
  <si>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</si>
  <si>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</si>
  <si>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</si>
  <si>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</si>
  <si>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</si>
  <si>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</si>
  <si>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</si>
  <si>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</si>
  <si>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</si>
  <si>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</si>
  <si>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</si>
  <si>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</si>
  <si>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</si>
  <si>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</si>
  <si>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</si>
  <si>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</si>
  <si>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</si>
  <si>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</si>
  <si>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</si>
  <si>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</si>
  <si>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</si>
  <si>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</si>
  <si>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</si>
  <si>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</si>
  <si>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</si>
  <si>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</si>
  <si>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</si>
  <si>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</si>
  <si>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</si>
  <si>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</si>
  <si>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</si>
  <si>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</si>
  <si>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</si>
  <si>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</si>
  <si>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</si>
  <si>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</si>
  <si>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</si>
  <si>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</si>
  <si>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</si>
  <si>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</si>
  <si>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</si>
  <si>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</si>
  <si>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</si>
  <si>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</si>
  <si>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</si>
  <si>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</si>
  <si>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</si>
  <si>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</si>
  <si>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</si>
  <si>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</si>
  <si>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</si>
  <si>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</si>
  <si>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</si>
  <si>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</si>
  <si>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</si>
  <si>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</si>
  <si>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</si>
  <si>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</si>
  <si>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</si>
  <si>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</si>
  <si>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</si>
  <si>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</si>
  <si>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</si>
  <si>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</si>
  <si>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</si>
  <si>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</si>
  <si>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</si>
  <si>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</si>
  <si>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</si>
  <si>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</si>
  <si>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</si>
  <si>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</si>
  <si>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</si>
  <si>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</si>
  <si>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</si>
  <si>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</si>
  <si>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</si>
  <si>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</si>
  <si>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</si>
  <si>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</si>
  <si>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</si>
  <si>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</si>
  <si>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</si>
  <si>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</si>
  <si>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</si>
  <si>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</si>
  <si>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</si>
  <si>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</si>
  <si>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</si>
  <si>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</si>
  <si>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</si>
  <si>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</si>
  <si>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</si>
  <si>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</si>
  <si>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</si>
  <si>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</si>
  <si>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</si>
  <si>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</si>
  <si>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</si>
  <si>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</si>
  <si>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</si>
  <si>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</si>
  <si>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</si>
  <si>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</si>
  <si>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</si>
  <si>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</si>
  <si>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</si>
  <si>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</si>
  <si>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</si>
  <si>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</si>
  <si>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</si>
  <si>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</si>
  <si>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</si>
  <si>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</si>
  <si>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</si>
  <si>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</si>
  <si>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</si>
  <si>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</si>
  <si>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</si>
  <si>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</si>
  <si>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</si>
  <si>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</si>
  <si>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</si>
  <si>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</si>
  <si>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</si>
  <si>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</si>
  <si>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</si>
  <si>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</si>
  <si>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</si>
  <si>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</si>
  <si>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</si>
  <si>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</si>
  <si>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</si>
  <si>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</si>
  <si>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</si>
  <si>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</si>
  <si>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</si>
  <si>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</si>
  <si>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</si>
  <si>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</si>
  <si>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</si>
  <si>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</si>
  <si>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</si>
  <si>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</si>
  <si>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</si>
  <si>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</si>
  <si>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</si>
  <si>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</si>
  <si>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</si>
  <si>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</si>
  <si>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</si>
  <si>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</si>
  <si>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</si>
  <si>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</si>
  <si>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</si>
  <si>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</si>
  <si>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</si>
  <si>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</si>
  <si>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</si>
  <si>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</si>
  <si>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</si>
  <si>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</si>
  <si>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</si>
  <si>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</si>
  <si>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</si>
  <si>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</si>
  <si>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</si>
  <si>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</si>
  <si>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</si>
  <si>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</si>
  <si>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</si>
  <si>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</si>
  <si>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</si>
  <si>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</si>
  <si>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</si>
  <si>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</si>
  <si>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</si>
  <si>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</si>
  <si>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</si>
  <si>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</si>
  <si>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</si>
  <si>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</si>
  <si>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</si>
  <si>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</si>
  <si>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</si>
  <si>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</si>
  <si>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</si>
  <si>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</si>
  <si>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</si>
  <si>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</si>
  <si>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</si>
  <si>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</si>
  <si>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</si>
  <si>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</si>
  <si>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</si>
  <si>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</si>
  <si>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</si>
  <si>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</si>
  <si>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</si>
  <si>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</si>
  <si>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</si>
  <si>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</si>
  <si>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</si>
  <si>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</si>
  <si>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</si>
  <si>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</si>
  <si>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</si>
  <si>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</si>
  <si>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</si>
  <si>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</si>
  <si>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</si>
  <si>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</si>
  <si>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</si>
  <si>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</si>
  <si>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</si>
  <si>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</si>
  <si>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</si>
  <si>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</si>
  <si>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</si>
  <si>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</si>
  <si>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</si>
  <si>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</si>
  <si>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</si>
  <si>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</si>
  <si>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</si>
  <si>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</si>
  <si>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</si>
  <si>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</si>
  <si>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</si>
  <si>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</si>
  <si>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</si>
  <si>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</si>
  <si>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</si>
  <si>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</si>
  <si>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</si>
  <si>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</si>
  <si>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</si>
  <si>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</si>
  <si>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</si>
  <si>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</si>
  <si>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</si>
  <si>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</si>
  <si>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</si>
  <si>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</si>
  <si>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</si>
  <si>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</si>
  <si>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</si>
  <si>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</si>
  <si>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</si>
  <si>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</si>
  <si>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</si>
  <si>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</si>
  <si>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</si>
  <si>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</si>
  <si>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</si>
  <si>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</si>
  <si>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</si>
  <si>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</si>
  <si>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</si>
  <si>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</si>
  <si>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</si>
  <si>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</si>
  <si>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</si>
  <si>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</si>
  <si>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</si>
  <si>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</si>
  <si>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</si>
  <si>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</si>
  <si>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</si>
  <si>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</si>
  <si>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</si>
  <si>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</si>
  <si>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</si>
  <si>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</si>
  <si>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</si>
  <si>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</si>
  <si>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</si>
  <si>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</si>
  <si>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</si>
  <si>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</si>
  <si>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</si>
  <si>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</si>
  <si>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</si>
  <si>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</si>
  <si>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</si>
  <si>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</si>
  <si>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</si>
  <si>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</si>
  <si>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</si>
  <si>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</si>
  <si>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</si>
  <si>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</si>
  <si>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</si>
  <si>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</si>
  <si>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</si>
  <si>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</si>
  <si>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</si>
  <si>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</si>
  <si>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</si>
  <si>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</si>
  <si>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</si>
  <si>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</si>
  <si>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</si>
  <si>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</si>
  <si>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</si>
  <si>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</si>
  <si>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</si>
  <si>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</si>
  <si>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</si>
  <si>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</si>
  <si>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</si>
  <si>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</si>
  <si>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</si>
  <si>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</si>
  <si>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</si>
  <si>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</si>
  <si>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</si>
  <si>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</si>
  <si>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</si>
  <si>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</si>
  <si>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</si>
  <si>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</si>
  <si>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</si>
  <si>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</si>
  <si>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</si>
  <si>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</si>
  <si>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</si>
  <si>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</si>
  <si>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</si>
  <si>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</si>
  <si>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</si>
  <si>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</si>
  <si>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</si>
  <si>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</si>
  <si>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</si>
  <si>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</si>
  <si>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</si>
  <si>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</si>
  <si>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</si>
  <si>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</si>
  <si>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</si>
  <si>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</si>
  <si>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</si>
  <si>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</si>
  <si>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</si>
  <si>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</si>
  <si>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</si>
  <si>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</si>
  <si>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</si>
  <si>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</si>
  <si>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</si>
  <si>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</si>
  <si>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</si>
  <si>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</si>
  <si>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</si>
  <si>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</si>
  <si>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</si>
  <si>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</si>
  <si>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</si>
  <si>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</si>
  <si>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</si>
  <si>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</si>
  <si>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</si>
  <si>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</si>
  <si>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</si>
  <si>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</si>
  <si>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</si>
  <si>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</si>
  <si>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</si>
  <si>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</si>
  <si>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</si>
  <si>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</si>
  <si>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</si>
  <si>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</si>
  <si>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</si>
  <si>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</si>
  <si>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</si>
  <si>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</si>
  <si>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</si>
  <si>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</si>
  <si>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</si>
  <si>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</si>
  <si>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</si>
  <si>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</si>
  <si>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</si>
  <si>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</si>
  <si>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</si>
  <si>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</si>
  <si>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</si>
  <si>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</si>
  <si>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</si>
  <si>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</si>
  <si>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</si>
  <si>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</si>
  <si>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</si>
  <si>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</si>
  <si>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</si>
  <si>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</si>
  <si>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</si>
  <si>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</si>
  <si>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</si>
  <si>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</si>
  <si>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</si>
  <si>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</si>
  <si>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</si>
  <si>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</si>
  <si>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</si>
  <si>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</si>
  <si>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</si>
  <si>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</si>
  <si>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</si>
  <si>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</si>
  <si>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</si>
  <si>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</si>
  <si>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</si>
  <si>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</si>
  <si>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</si>
  <si>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</si>
  <si>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</si>
  <si>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</si>
  <si>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</si>
  <si>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</si>
  <si>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</si>
  <si>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</si>
  <si>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</si>
  <si>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</si>
  <si>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</si>
  <si>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</si>
  <si>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</si>
  <si>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</si>
  <si>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</si>
  <si>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</si>
  <si>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</si>
  <si>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</si>
  <si>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</si>
  <si>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</si>
  <si>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</si>
  <si>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</si>
  <si>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</si>
  <si>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</si>
  <si>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</si>
  <si>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</si>
  <si>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</si>
  <si>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</si>
  <si>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</si>
  <si>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</si>
  <si>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</si>
  <si>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</si>
  <si>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</si>
  <si>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</si>
  <si>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</si>
  <si>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</si>
  <si>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</si>
  <si>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</si>
  <si>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</si>
  <si>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</si>
  <si>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</si>
  <si>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</si>
  <si>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</si>
  <si>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</si>
  <si>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</si>
  <si>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</si>
  <si>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</si>
  <si>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</si>
  <si>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</si>
  <si>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</si>
  <si>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</si>
  <si>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</si>
  <si>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</si>
  <si>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</si>
  <si>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</si>
  <si>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</si>
  <si>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</si>
  <si>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</si>
  <si>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</si>
  <si>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</si>
  <si>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</si>
  <si>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</si>
  <si>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</si>
  <si>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</si>
  <si>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</si>
  <si>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</si>
  <si>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</si>
  <si>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</si>
  <si>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</si>
  <si>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</si>
  <si>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</si>
  <si>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</si>
  <si>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</si>
  <si>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</si>
  <si>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</si>
  <si>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</si>
  <si>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</si>
  <si>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</si>
  <si>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</si>
  <si>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</si>
  <si>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</si>
  <si>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</si>
  <si>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</si>
  <si>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</si>
  <si>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</si>
  <si>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</si>
  <si>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</si>
  <si>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</si>
  <si>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</si>
  <si>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</si>
  <si>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</si>
  <si>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</si>
  <si>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</si>
  <si>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</si>
  <si>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</si>
  <si>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</si>
  <si>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</si>
  <si>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</si>
  <si>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</si>
  <si>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</si>
  <si>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</si>
  <si>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</si>
  <si>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</si>
  <si>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</si>
  <si>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</si>
  <si>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</si>
  <si>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</si>
  <si>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</si>
  <si>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</si>
  <si>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</si>
  <si>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</si>
  <si>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</si>
  <si>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</si>
  <si>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</si>
  <si>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</si>
  <si>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</si>
  <si>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</si>
  <si>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</si>
  <si>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</si>
  <si>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</si>
  <si>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</si>
  <si>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</si>
  <si>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</si>
  <si>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</si>
  <si>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</si>
  <si>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</si>
  <si>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</si>
  <si>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</si>
  <si>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</si>
  <si>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</si>
  <si>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</si>
  <si>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</si>
  <si>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</si>
  <si>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</si>
  <si>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</si>
  <si>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</si>
  <si>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</si>
  <si>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</si>
  <si>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</si>
  <si>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</si>
  <si>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</si>
  <si>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</si>
  <si>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</si>
  <si>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</si>
  <si>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</si>
  <si>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</si>
  <si>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</si>
  <si>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</si>
  <si>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</si>
  <si>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</si>
  <si>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</si>
  <si>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</si>
  <si>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</si>
  <si>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</si>
  <si>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</si>
  <si>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</si>
  <si>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</si>
  <si>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</si>
  <si>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</si>
  <si>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</si>
  <si>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</si>
  <si>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</si>
  <si>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</si>
  <si>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</si>
  <si>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</si>
  <si>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</si>
  <si>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</si>
  <si>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</si>
  <si>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</si>
  <si>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</si>
  <si>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</si>
  <si>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</si>
  <si>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</si>
  <si>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</si>
  <si>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</si>
  <si>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</si>
  <si>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</si>
  <si>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</si>
  <si>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</si>
  <si>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</si>
  <si>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</si>
  <si>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</si>
  <si>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</si>
  <si>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</si>
  <si>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</si>
  <si>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</si>
  <si>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</si>
  <si>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</si>
  <si>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</si>
  <si>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</si>
  <si>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</si>
  <si>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</si>
  <si>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</si>
  <si>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</si>
  <si>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</si>
  <si>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</si>
  <si>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</si>
  <si>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</si>
  <si>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</si>
  <si>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</si>
  <si>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</si>
  <si>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</si>
  <si>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</si>
  <si>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</si>
  <si>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</si>
  <si>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</si>
  <si>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</si>
  <si>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</si>
  <si>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</si>
  <si>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</si>
  <si>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</si>
  <si>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</si>
  <si>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</si>
  <si>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</si>
  <si>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</si>
  <si>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</si>
  <si>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</si>
  <si>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</si>
  <si>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</si>
  <si>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</si>
  <si>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</si>
  <si>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</si>
  <si>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</si>
  <si>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</si>
  <si>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</si>
  <si>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</si>
  <si>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</si>
  <si>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</si>
  <si>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</si>
  <si>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</si>
  <si>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</si>
  <si>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</si>
  <si>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</si>
  <si>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</si>
  <si>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</si>
  <si>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</si>
  <si>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</si>
  <si>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</si>
  <si>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</si>
  <si>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</si>
  <si>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</si>
  <si>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</si>
  <si>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</si>
  <si>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</si>
  <si>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</si>
  <si>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</si>
  <si>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</si>
  <si>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</si>
  <si>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</si>
  <si>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</si>
  <si>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</si>
  <si>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</si>
  <si>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</si>
  <si>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</si>
  <si>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</si>
  <si>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</si>
  <si>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</si>
  <si>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</si>
  <si>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</si>
  <si>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</si>
  <si>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</si>
  <si>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</si>
  <si>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</si>
  <si>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</si>
  <si>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</si>
  <si>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</si>
  <si>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</si>
  <si>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</si>
  <si>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</si>
  <si>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</si>
  <si>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</si>
  <si>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</si>
  <si>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</si>
  <si>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</si>
  <si>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</si>
  <si>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</si>
  <si>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</si>
  <si>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</si>
  <si>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</si>
  <si>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</si>
  <si>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</si>
  <si>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</si>
  <si>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</si>
  <si>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</si>
  <si>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</si>
  <si>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</si>
  <si>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</si>
  <si>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</si>
  <si>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</si>
  <si>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</si>
  <si>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</si>
  <si>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</si>
  <si>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</si>
  <si>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</si>
  <si>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</si>
  <si>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</si>
  <si>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</si>
  <si>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</si>
  <si>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</si>
  <si>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</si>
  <si>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</si>
  <si>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</si>
  <si>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</si>
  <si>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</si>
  <si>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</si>
  <si>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</si>
  <si>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</si>
  <si>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</si>
  <si>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</si>
  <si>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</si>
  <si>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</si>
  <si>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</si>
  <si>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</si>
  <si>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</si>
  <si>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</si>
  <si>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</si>
  <si>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</si>
  <si>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</si>
  <si>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</si>
  <si>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</si>
  <si>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</si>
  <si>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</si>
  <si>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</si>
  <si>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</si>
  <si>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</si>
  <si>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</si>
  <si>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</si>
  <si>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</si>
  <si>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</si>
  <si>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</si>
  <si>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</si>
  <si>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</si>
  <si>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</si>
  <si>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</si>
  <si>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</si>
  <si>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</si>
  <si>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</si>
  <si>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</si>
  <si>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</si>
  <si>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</si>
  <si>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</si>
  <si>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</si>
  <si>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</si>
  <si>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</si>
  <si>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</si>
  <si>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</si>
  <si>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</si>
  <si>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</si>
  <si>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</si>
  <si>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</si>
  <si>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</si>
  <si>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</si>
  <si>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</si>
  <si>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</si>
  <si>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</si>
  <si>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</si>
  <si>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</si>
  <si>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</si>
  <si>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</si>
  <si>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</si>
  <si>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</si>
  <si>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</si>
  <si>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</si>
  <si>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</si>
  <si>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</si>
  <si>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</si>
  <si>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</si>
  <si>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</si>
  <si>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</si>
  <si>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</si>
  <si>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</si>
  <si>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</si>
  <si>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</si>
  <si>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</si>
  <si>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</si>
  <si>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</si>
  <si>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</si>
  <si>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</si>
  <si>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</si>
  <si>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</si>
  <si>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</si>
  <si>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</si>
  <si>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</si>
  <si>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</si>
  <si>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</si>
  <si>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</si>
  <si>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</si>
  <si>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</si>
  <si>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</si>
  <si>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</si>
  <si>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</si>
  <si>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</si>
  <si>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</si>
  <si>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</si>
  <si>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</si>
  <si>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</si>
  <si>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</si>
  <si>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</si>
  <si>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</si>
  <si>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</si>
  <si>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</si>
  <si>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</si>
  <si>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</si>
  <si>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</si>
  <si>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</si>
  <si>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</si>
  <si>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</si>
  <si>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</si>
  <si>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</si>
  <si>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</si>
  <si>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</si>
  <si>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</si>
  <si>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</si>
  <si>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</si>
  <si>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</si>
  <si>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</si>
  <si>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</si>
  <si>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</si>
  <si>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</si>
  <si>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</si>
  <si>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</si>
  <si>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</si>
  <si>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</si>
  <si>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</si>
  <si>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</si>
  <si>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</si>
  <si>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</si>
  <si>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</si>
  <si>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</si>
  <si>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</si>
  <si>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</si>
  <si>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</si>
  <si>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</si>
  <si>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</si>
  <si>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</si>
  <si>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</si>
  <si>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</si>
  <si>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</si>
  <si>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</si>
  <si>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</si>
  <si>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</si>
  <si>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</si>
  <si>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</si>
  <si>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</si>
  <si>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</si>
  <si>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</si>
  <si>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</si>
  <si>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</si>
  <si>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</si>
  <si>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</si>
  <si>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</si>
  <si>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</si>
  <si>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</si>
  <si>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</si>
  <si>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</si>
  <si>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</si>
  <si>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</si>
  <si>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</si>
  <si>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</si>
  <si>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</si>
  <si>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</si>
  <si>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</si>
  <si>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</si>
  <si>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</si>
  <si>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</si>
  <si>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</si>
  <si>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</si>
  <si>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</si>
  <si>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</si>
  <si>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</si>
  <si>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</si>
  <si>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</si>
  <si>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</si>
  <si>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</si>
  <si>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</si>
  <si>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</si>
  <si>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</si>
  <si>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</si>
  <si>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</si>
  <si>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</si>
  <si>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</si>
  <si>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</si>
  <si>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</si>
  <si>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</si>
  <si>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</si>
  <si>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</si>
  <si>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</si>
  <si>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</si>
  <si>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</si>
  <si>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</si>
  <si>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</si>
  <si>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</si>
  <si>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</si>
  <si>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</si>
  <si>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</si>
  <si>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</si>
  <si>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</si>
  <si>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</si>
  <si>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</si>
  <si>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</si>
  <si>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</si>
  <si>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</si>
  <si>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</si>
  <si>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</si>
  <si>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</si>
  <si>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</si>
  <si>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</si>
  <si>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</si>
  <si>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</si>
  <si>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</si>
  <si>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</si>
  <si>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</si>
  <si>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</si>
  <si>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</si>
  <si>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</si>
  <si>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</si>
  <si>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</si>
  <si>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</si>
  <si>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</si>
  <si>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</si>
  <si>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</si>
  <si>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</si>
  <si>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</si>
  <si>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</si>
  <si>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</si>
  <si>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</si>
  <si>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</si>
  <si>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</si>
  <si>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</si>
  <si>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</si>
  <si>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</si>
  <si>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</si>
  <si>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</si>
  <si>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</si>
  <si>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</si>
  <si>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</si>
  <si>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</si>
  <si>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</si>
  <si>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</si>
  <si>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</si>
  <si>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</si>
  <si>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</si>
  <si>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</si>
  <si>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</si>
  <si>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</si>
  <si>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</si>
  <si>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</si>
  <si>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</si>
  <si>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</si>
  <si>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</si>
  <si>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</si>
  <si>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</si>
  <si>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</si>
  <si>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</si>
  <si>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</si>
  <si>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</si>
  <si>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</si>
  <si>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</si>
  <si>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</si>
  <si>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</si>
  <si>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</si>
  <si>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</si>
  <si>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</si>
  <si>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</si>
  <si>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</si>
  <si>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</si>
  <si>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</si>
  <si>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</si>
  <si>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</si>
  <si>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</si>
  <si>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</si>
  <si>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</si>
  <si>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</si>
  <si>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</si>
  <si>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</si>
  <si>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</si>
  <si>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</si>
  <si>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</si>
  <si>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</si>
  <si>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</si>
  <si>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</si>
  <si>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</si>
  <si>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</si>
  <si>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</si>
  <si>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</si>
  <si>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</si>
  <si>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</si>
  <si>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</si>
  <si>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</si>
  <si>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</si>
  <si>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</si>
  <si>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</si>
  <si>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</si>
  <si>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</si>
  <si>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</si>
  <si>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</si>
  <si>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</si>
  <si>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</si>
  <si>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</si>
  <si>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</si>
  <si>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</si>
  <si>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</si>
  <si>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</si>
  <si>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</si>
  <si>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</si>
  <si>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</si>
  <si>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</si>
  <si>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</si>
  <si>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</si>
  <si>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</si>
  <si>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</si>
  <si>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</si>
  <si>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</si>
  <si>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</si>
  <si>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</si>
  <si>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</si>
  <si>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</si>
  <si>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</si>
  <si>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</si>
  <si>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</si>
  <si>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</si>
  <si>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</si>
  <si>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</si>
  <si>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</si>
  <si>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</si>
  <si>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</si>
  <si>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</si>
  <si>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</si>
  <si>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</si>
  <si>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</si>
  <si>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</si>
  <si>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</si>
  <si>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</si>
  <si>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</si>
  <si>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</si>
  <si>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</si>
  <si>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</si>
  <si>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</si>
  <si>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</si>
  <si>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</si>
  <si>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</si>
  <si>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</si>
  <si>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</si>
  <si>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</si>
  <si>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</si>
  <si>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</si>
  <si>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</si>
  <si>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</si>
  <si>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</si>
  <si>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</si>
  <si>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</si>
  <si>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</si>
  <si>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</si>
  <si>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</si>
  <si>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</si>
  <si>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</si>
  <si>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</si>
  <si>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</si>
  <si>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</si>
  <si>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</si>
  <si>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</si>
  <si>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</si>
  <si>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</si>
  <si>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</si>
  <si>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</si>
  <si>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</si>
  <si>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</si>
  <si>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</si>
  <si>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</si>
  <si>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</si>
  <si>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</si>
  <si>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</si>
  <si>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</si>
  <si>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</si>
  <si>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</si>
  <si>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</si>
  <si>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</si>
  <si>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</si>
  <si>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</si>
  <si>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</si>
  <si>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</si>
  <si>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</si>
  <si>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</si>
  <si>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</si>
  <si>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</si>
  <si>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</si>
  <si>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</si>
  <si>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</si>
  <si>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</si>
  <si>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</si>
  <si>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</si>
  <si>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</si>
  <si>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</si>
  <si>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</si>
  <si>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</si>
  <si>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</si>
  <si>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</si>
  <si>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</si>
  <si>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</si>
  <si>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</si>
  <si>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</si>
  <si>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</si>
  <si>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</si>
  <si>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</si>
  <si>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</si>
  <si>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</si>
  <si>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</si>
  <si>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</si>
  <si>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</si>
  <si>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</si>
  <si>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</si>
  <si>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</si>
  <si>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</si>
  <si>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</si>
  <si>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</si>
  <si>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</si>
  <si>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</si>
  <si>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</si>
  <si>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</si>
  <si>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</si>
  <si>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</si>
  <si>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</si>
  <si>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</si>
  <si>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</si>
  <si>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</si>
  <si>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</si>
  <si>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</si>
  <si>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</si>
  <si>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</si>
  <si>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</si>
  <si>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</si>
  <si>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</si>
  <si>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</si>
  <si>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</si>
  <si>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</si>
  <si>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</si>
  <si>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</si>
  <si>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</si>
  <si>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</si>
  <si>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</si>
  <si>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</si>
  <si>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</si>
  <si>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</si>
  <si>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</si>
  <si>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</si>
  <si>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</si>
  <si>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</si>
  <si>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</si>
  <si>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</si>
  <si>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</si>
  <si>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</si>
  <si>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</si>
  <si>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</si>
  <si>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</si>
  <si>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</si>
  <si>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</si>
  <si>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</si>
  <si>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</si>
  <si>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</si>
  <si>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</si>
  <si>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</si>
  <si>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</si>
  <si>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</si>
  <si>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</si>
  <si>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</si>
  <si>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</si>
  <si>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</si>
  <si>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</si>
  <si>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</si>
  <si>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</si>
  <si>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</si>
  <si>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</si>
  <si>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</si>
  <si>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</si>
  <si>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</si>
  <si>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</si>
  <si>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</si>
  <si>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</si>
  <si>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</si>
  <si>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</si>
  <si>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</si>
  <si>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</si>
  <si>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</si>
  <si>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</si>
  <si>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</si>
  <si>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</si>
  <si>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</si>
  <si>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</si>
  <si>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</si>
  <si>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</si>
  <si>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</si>
  <si>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</si>
  <si>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</si>
  <si>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</si>
  <si>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</si>
  <si>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</si>
  <si>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</si>
  <si>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</si>
  <si>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</si>
  <si>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</si>
  <si>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</si>
  <si>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</si>
  <si>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</si>
  <si>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</si>
  <si>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</si>
  <si>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</si>
  <si>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</si>
  <si>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</si>
  <si>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</si>
  <si>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</si>
  <si>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</si>
  <si>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</si>
  <si>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</si>
  <si>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</si>
  <si>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</si>
  <si>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</si>
  <si>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</si>
  <si>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</si>
  <si>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</si>
  <si>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</si>
  <si>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</si>
  <si>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</si>
  <si>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</si>
  <si>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</si>
  <si>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</si>
  <si>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</si>
  <si>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</si>
  <si>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</si>
  <si>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</si>
  <si>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</si>
  <si>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</si>
  <si>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</si>
  <si>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</si>
  <si>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</si>
  <si>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</si>
  <si>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</si>
  <si>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</si>
  <si>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</si>
  <si>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</si>
  <si>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</si>
  <si>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</si>
  <si>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</si>
  <si>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</si>
  <si>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</si>
  <si>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</si>
  <si>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</si>
  <si>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</si>
  <si>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</si>
  <si>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</si>
  <si>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</si>
  <si>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</si>
  <si>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</si>
  <si>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</si>
  <si>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</si>
  <si>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</si>
  <si>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</si>
  <si>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</si>
  <si>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</si>
  <si>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</si>
  <si>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</si>
  <si>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</si>
  <si>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</si>
  <si>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</si>
  <si>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</si>
  <si>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</si>
  <si>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</si>
  <si>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</si>
  <si>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</si>
  <si>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</si>
  <si>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</si>
  <si>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</si>
  <si>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</si>
  <si>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</si>
  <si>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</si>
  <si>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</si>
  <si>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</si>
  <si>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</si>
  <si>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</si>
  <si>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</si>
  <si>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</si>
  <si>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</si>
  <si>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</si>
  <si>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</si>
  <si>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</si>
  <si>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</si>
  <si>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</si>
  <si>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</si>
  <si>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</si>
  <si>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</si>
  <si>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</si>
  <si>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</si>
  <si>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</si>
  <si>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</si>
  <si>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</si>
  <si>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</si>
  <si>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</si>
  <si>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</si>
  <si>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</si>
  <si>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</si>
  <si>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</si>
  <si>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</si>
  <si>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</si>
  <si>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</si>
  <si>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</si>
  <si>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</si>
  <si>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</si>
  <si>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</si>
  <si>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</si>
  <si>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</si>
  <si>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</si>
  <si>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</si>
  <si>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</si>
  <si>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</si>
  <si>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</si>
  <si>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</si>
  <si>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</si>
  <si>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</si>
  <si>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</si>
  <si>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</si>
  <si>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</si>
  <si>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</si>
  <si>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</si>
  <si>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</si>
  <si>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</si>
  <si>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</si>
  <si>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</si>
  <si>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</si>
  <si>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</si>
  <si>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</si>
  <si>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</si>
  <si>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</si>
  <si>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</si>
  <si>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</si>
  <si>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</si>
  <si>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</si>
  <si>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</si>
  <si>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</si>
  <si>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</si>
  <si>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</si>
  <si>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</si>
  <si>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</si>
  <si>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</si>
  <si>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</si>
  <si>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</si>
  <si>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</si>
  <si>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</si>
  <si>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</si>
  <si>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</si>
  <si>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</si>
  <si>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</si>
  <si>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</si>
  <si>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</si>
  <si>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</si>
  <si>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</si>
  <si>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</si>
  <si>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</si>
  <si>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</si>
  <si>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</si>
  <si>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</si>
  <si>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</si>
  <si>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</si>
  <si>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</si>
  <si>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</si>
  <si>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</si>
  <si>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</si>
  <si>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</si>
  <si>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</si>
  <si>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</si>
  <si>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</si>
  <si>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</si>
  <si>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</si>
  <si>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</si>
  <si>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</si>
  <si>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</si>
  <si>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</si>
  <si>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</si>
  <si>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</si>
  <si>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</si>
  <si>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</si>
  <si>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</si>
  <si>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</si>
  <si>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</si>
  <si>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</si>
  <si>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</si>
  <si>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</si>
  <si>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</si>
  <si>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</si>
  <si>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</si>
  <si>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</si>
  <si>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</si>
  <si>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</si>
  <si>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</si>
  <si>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</si>
  <si>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</si>
  <si>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</si>
  <si>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</si>
  <si>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</si>
  <si>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</si>
  <si>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</si>
  <si>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</si>
  <si>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</si>
  <si>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</si>
  <si>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</si>
  <si>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</si>
  <si>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</si>
  <si>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</si>
  <si>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</si>
  <si>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</si>
  <si>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</si>
  <si>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</si>
  <si>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</si>
  <si>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</si>
  <si>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</si>
  <si>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</si>
  <si>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</si>
  <si>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</si>
  <si>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</si>
  <si>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</si>
  <si>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</si>
  <si>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</si>
  <si>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</si>
  <si>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</si>
  <si>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</si>
  <si>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</si>
  <si>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</si>
  <si>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</si>
  <si>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</si>
  <si>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</si>
  <si>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</si>
  <si>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</si>
  <si>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</si>
  <si>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</si>
  <si>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</si>
  <si>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</si>
  <si>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</si>
  <si>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</si>
  <si>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</si>
  <si>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</si>
  <si>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</si>
  <si>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</si>
  <si>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</si>
  <si>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</si>
  <si>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</si>
  <si>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</si>
  <si>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</si>
  <si>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</si>
  <si>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</si>
  <si>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</si>
  <si>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</si>
  <si>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</si>
  <si>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</si>
  <si>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</si>
  <si>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</si>
  <si>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</si>
  <si>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</si>
  <si>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</si>
  <si>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</si>
  <si>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</si>
  <si>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</si>
  <si>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</si>
  <si>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</si>
  <si>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</si>
  <si>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</si>
  <si>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</si>
  <si>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</si>
  <si>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</si>
  <si>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</si>
  <si>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</si>
  <si>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</si>
  <si>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</si>
  <si>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</si>
  <si>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</si>
  <si>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</si>
  <si>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</si>
  <si>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</si>
  <si>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</si>
  <si>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</si>
  <si>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</si>
  <si>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</si>
  <si>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</si>
  <si>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</si>
  <si>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</si>
  <si>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</si>
  <si>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</si>
  <si>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</si>
  <si>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</si>
  <si>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</si>
  <si>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</si>
  <si>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</si>
  <si>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</si>
  <si>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</si>
  <si>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</si>
  <si>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</si>
  <si>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</si>
  <si>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</si>
  <si>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</si>
  <si>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</si>
  <si>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</si>
  <si>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</si>
  <si>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</si>
  <si>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</si>
  <si>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</si>
  <si>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</si>
  <si>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</si>
  <si>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</si>
  <si>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</si>
  <si>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</si>
  <si>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</si>
  <si>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</si>
  <si>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</si>
  <si>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</si>
  <si>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</si>
  <si>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</si>
  <si>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</si>
  <si>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</si>
  <si>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</si>
  <si>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</si>
  <si>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</si>
  <si>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</si>
  <si>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</si>
  <si>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</si>
  <si>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</si>
  <si>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</si>
  <si>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</si>
  <si>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</si>
  <si>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</si>
  <si>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</si>
  <si>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</si>
  <si>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</si>
  <si>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</si>
  <si>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</si>
  <si>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</si>
  <si>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</si>
  <si>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</si>
  <si>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</si>
  <si>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</si>
  <si>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</si>
  <si>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</si>
  <si>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</si>
  <si>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</si>
  <si>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</si>
  <si>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</si>
  <si>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</si>
  <si>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</si>
  <si>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</si>
  <si>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</si>
  <si>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</si>
  <si>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</si>
  <si>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</si>
  <si>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</si>
  <si>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</si>
  <si>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</si>
  <si>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</si>
  <si>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</si>
  <si>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</si>
  <si>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</si>
  <si>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</si>
  <si>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</si>
  <si>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</si>
  <si>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</si>
  <si>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</si>
  <si>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</si>
  <si>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</si>
  <si>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</si>
  <si>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</si>
  <si>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</si>
  <si>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</si>
  <si>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</si>
  <si>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</si>
  <si>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</si>
  <si>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</si>
  <si>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</si>
  <si>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</si>
  <si>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</si>
  <si>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</si>
  <si>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</si>
  <si>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</si>
  <si>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</si>
  <si>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</si>
  <si>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</si>
  <si>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</si>
  <si>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</si>
  <si>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</si>
  <si>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</si>
  <si>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</si>
  <si>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</si>
  <si>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</si>
  <si>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</si>
  <si>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</si>
  <si>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</si>
  <si>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</si>
  <si>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</si>
  <si>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</si>
  <si>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</si>
  <si>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</si>
  <si>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</si>
  <si>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</si>
  <si>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</si>
  <si>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</si>
  <si>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</si>
  <si>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</si>
  <si>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</si>
  <si>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</si>
  <si>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</si>
  <si>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</si>
  <si>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</si>
  <si>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</si>
  <si>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</si>
  <si>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</si>
  <si>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</si>
  <si>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</si>
  <si>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</si>
  <si>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</si>
  <si>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</si>
  <si>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</si>
  <si>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</si>
  <si>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</si>
  <si>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</si>
  <si>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</si>
  <si>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</si>
  <si>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</si>
  <si>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</si>
  <si>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</si>
  <si>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</si>
  <si>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</si>
  <si>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</si>
  <si>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</si>
  <si>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</si>
  <si>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</si>
  <si>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</si>
  <si>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</si>
  <si>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</si>
  <si>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</si>
  <si>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</si>
  <si>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</si>
  <si>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</si>
  <si>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</si>
  <si>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</si>
  <si>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</si>
  <si>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</si>
  <si>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</si>
  <si>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</si>
  <si>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</si>
  <si>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</si>
  <si>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</si>
  <si>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</si>
  <si>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</si>
  <si>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</si>
  <si>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</si>
  <si>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</si>
  <si>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</si>
  <si>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</si>
  <si>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</si>
  <si>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</si>
  <si>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</si>
  <si>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</si>
  <si>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</si>
  <si>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</si>
  <si>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</si>
  <si>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</si>
  <si>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</si>
  <si>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</si>
  <si>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</si>
  <si>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</si>
  <si>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</si>
  <si>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</si>
  <si>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</si>
  <si>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</si>
  <si>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</si>
  <si>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</si>
  <si>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</si>
  <si>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</si>
  <si>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</si>
  <si>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</si>
  <si>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</si>
  <si>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</si>
  <si>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</si>
  <si>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</si>
  <si>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</si>
  <si>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</si>
  <si>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</si>
  <si>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</si>
  <si>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</si>
  <si>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</si>
  <si>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</si>
  <si>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</si>
  <si>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</si>
  <si>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</si>
  <si>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</si>
  <si>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</si>
  <si>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</si>
  <si>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</si>
  <si>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</si>
  <si>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</si>
  <si>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</si>
  <si>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</si>
  <si>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</si>
  <si>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</si>
  <si>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</si>
  <si>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</si>
  <si>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</si>
  <si>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</si>
  <si>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</si>
  <si>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</si>
  <si>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</si>
  <si>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</si>
  <si>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</si>
  <si>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</si>
  <si>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</si>
  <si>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</si>
  <si>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</si>
  <si>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</si>
  <si>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</si>
  <si>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</si>
  <si>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</si>
  <si>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</si>
  <si>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</si>
  <si>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</si>
  <si>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</si>
  <si>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</si>
  <si>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</si>
  <si>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</si>
  <si>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</si>
  <si>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</si>
  <si>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</si>
  <si>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</si>
  <si>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</si>
  <si>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</si>
  <si>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</si>
  <si>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</si>
  <si>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</si>
  <si>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</si>
  <si>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</si>
  <si>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</si>
  <si>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</si>
  <si>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</si>
  <si>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</si>
  <si>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</si>
  <si>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</si>
  <si>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</si>
  <si>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</si>
  <si>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</si>
  <si>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</si>
  <si>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</si>
  <si>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</si>
  <si>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</si>
  <si>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</si>
  <si>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</si>
  <si>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</si>
  <si>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</si>
  <si>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</si>
  <si>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</si>
  <si>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</si>
  <si>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</si>
  <si>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</si>
  <si>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</si>
  <si>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</si>
  <si>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</si>
  <si>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</si>
  <si>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</si>
  <si>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</si>
  <si>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</si>
  <si>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</si>
  <si>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</si>
  <si>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</si>
  <si>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</si>
  <si>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</si>
  <si>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</si>
  <si>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</si>
  <si>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</si>
  <si>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</si>
  <si>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</si>
  <si>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</si>
  <si>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</si>
  <si>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</si>
  <si>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</si>
  <si>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</si>
  <si>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</si>
  <si>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</si>
  <si>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</si>
  <si>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</si>
  <si>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</si>
  <si>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</si>
  <si>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</si>
  <si>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</si>
  <si>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</si>
  <si>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</si>
  <si>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</si>
  <si>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</si>
  <si>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</si>
  <si>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</si>
  <si>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</si>
  <si>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</si>
  <si>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</si>
  <si>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</si>
  <si>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</si>
  <si>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</si>
  <si>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</si>
  <si>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</si>
  <si>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</si>
  <si>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</si>
  <si>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</si>
  <si>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</si>
  <si>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</si>
  <si>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</si>
  <si>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</si>
  <si>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</si>
  <si>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</si>
  <si>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</si>
  <si>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</si>
  <si>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</si>
  <si>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</si>
  <si>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</si>
  <si>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</si>
  <si>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</si>
  <si>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</si>
  <si>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</si>
  <si>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</si>
  <si>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</si>
  <si>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</si>
  <si>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</si>
  <si>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</si>
  <si>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</si>
  <si>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</si>
  <si>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</si>
  <si>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</si>
  <si>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</si>
  <si>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</si>
  <si>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</si>
  <si>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</si>
  <si>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</si>
  <si>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</si>
  <si>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</si>
  <si>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</si>
  <si>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</si>
  <si>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</si>
  <si>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</si>
  <si>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</si>
  <si>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</si>
  <si>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</si>
  <si>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</si>
  <si>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</si>
  <si>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</si>
  <si>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</si>
  <si>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</si>
  <si>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</si>
  <si>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</si>
  <si>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</si>
  <si>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</si>
  <si>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</si>
  <si>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</si>
  <si>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</si>
  <si>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</si>
  <si>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</si>
  <si>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</si>
  <si>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</si>
  <si>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</si>
  <si>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</si>
  <si>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</si>
  <si>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</si>
  <si>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</si>
  <si>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</si>
  <si>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</si>
  <si>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</si>
  <si>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</si>
  <si>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</si>
  <si>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</si>
  <si>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</si>
  <si>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</si>
  <si>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</si>
  <si>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</si>
  <si>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</si>
  <si>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</si>
  <si>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</si>
  <si>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</si>
  <si>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</si>
  <si>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</si>
  <si>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</si>
  <si>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</si>
  <si>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</si>
  <si>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</si>
  <si>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</si>
  <si>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</si>
  <si>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</si>
  <si>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</si>
  <si>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</si>
  <si>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</si>
  <si>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</si>
  <si>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</si>
  <si>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</si>
  <si>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</si>
  <si>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</si>
  <si>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</si>
  <si>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</si>
  <si>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</si>
  <si>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</si>
  <si>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</si>
  <si>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</si>
  <si>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</si>
  <si>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</si>
  <si>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</si>
  <si>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</si>
  <si>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</si>
  <si>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</si>
  <si>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</si>
  <si>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</si>
  <si>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</si>
  <si>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</si>
  <si>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</si>
  <si>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</si>
  <si>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</si>
  <si>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</si>
  <si>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</si>
  <si>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</si>
  <si>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</si>
  <si>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</si>
  <si>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</si>
  <si>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</si>
  <si>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</si>
  <si>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</si>
  <si>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</si>
  <si>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</si>
  <si>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</si>
  <si>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</si>
  <si>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</si>
  <si>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</si>
  <si>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</si>
  <si>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</si>
  <si>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</si>
  <si>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</si>
  <si>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</si>
  <si>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</si>
  <si>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</si>
  <si>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</si>
  <si>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</si>
  <si>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</si>
  <si>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</si>
  <si>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</si>
  <si>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</si>
  <si>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</si>
  <si>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</si>
  <si>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</si>
  <si>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</si>
  <si>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</si>
  <si>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</si>
  <si>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</si>
  <si>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</si>
  <si>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</si>
  <si>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</si>
  <si>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</si>
  <si>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</si>
  <si>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</si>
  <si>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</si>
  <si>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</si>
  <si>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</si>
  <si>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</si>
  <si>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</si>
  <si>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</si>
  <si>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</si>
  <si>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</si>
  <si>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</si>
  <si>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</si>
  <si>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</si>
  <si>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</si>
  <si>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</si>
  <si>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</si>
  <si>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</si>
  <si>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</si>
  <si>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</si>
  <si>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</si>
  <si>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</si>
  <si>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</si>
  <si>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</si>
  <si>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</si>
  <si>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</si>
  <si>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</si>
  <si>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</si>
  <si>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</si>
  <si>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</si>
  <si>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</si>
  <si>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</si>
  <si>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</si>
  <si>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</si>
  <si>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</si>
  <si>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</si>
  <si>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</si>
  <si>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</si>
  <si>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</si>
  <si>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</si>
  <si>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</si>
  <si>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</si>
  <si>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</si>
  <si>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</si>
  <si>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</si>
  <si>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</si>
  <si>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</si>
  <si>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</si>
  <si>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</si>
  <si>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</si>
  <si>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</si>
  <si>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</si>
  <si>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</si>
  <si>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</si>
  <si>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</si>
  <si>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</si>
  <si>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</si>
  <si>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</si>
  <si>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</si>
  <si>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</si>
  <si>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</si>
  <si>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SANGAMON</t>
  </si>
  <si>
    <t>6425 OLD ROUTE 36</t>
  </si>
  <si>
    <t xml:space="preserve">RIVERTON   </t>
  </si>
  <si>
    <t>mgum@rivertonschools.org</t>
  </si>
  <si>
    <t>BRAD POLANIN</t>
  </si>
  <si>
    <t>BPOLANIN@RIVERTONSCHOOLS.ORG</t>
  </si>
  <si>
    <t>217-629-6009</t>
  </si>
  <si>
    <t>217-629-6008</t>
  </si>
  <si>
    <t>LOY MILLER TALLEY, PC</t>
  </si>
  <si>
    <t>KENNETH E. LOY</t>
  </si>
  <si>
    <t>#2 CROSSROADS COURT</t>
  </si>
  <si>
    <t>ALTON</t>
  </si>
  <si>
    <t>618-465-1196</t>
  </si>
  <si>
    <t>618-465-2900</t>
  </si>
  <si>
    <t>G.O. BOND, SERIES 2010</t>
  </si>
  <si>
    <t>G.O. LIMITED TAX SCHOOL BONDS, 2017A</t>
  </si>
  <si>
    <t>G.O. REFUIND BONDS, 2017B</t>
  </si>
  <si>
    <t>CHILD NUTRITION CLUSTER:</t>
  </si>
  <si>
    <t>19-4210-00</t>
  </si>
  <si>
    <t xml:space="preserve"> NATIONAL SCHOOL LUNCH PROGRAM</t>
  </si>
  <si>
    <t>18-4210-00</t>
  </si>
  <si>
    <t>(M) SCHOOL BREAKFAST PROGRAM</t>
  </si>
  <si>
    <t>19-4220-00</t>
  </si>
  <si>
    <t>SCHOOL BREAKFAST PROGRAM</t>
  </si>
  <si>
    <t>18-4220-00</t>
  </si>
  <si>
    <t>TOTAL CHILD NUTRITION CLUSTER</t>
  </si>
  <si>
    <t>COMMODITIES (NON-CASH)</t>
  </si>
  <si>
    <t>19-4250-00</t>
  </si>
  <si>
    <t>DEPARTMENT OF DEFENSE FRESH FRUITS &amp; VEGETABLES</t>
  </si>
  <si>
    <t>TOTAL U.S. DEPARTMENT OF AGRICULTURE PASS-THROUGH PROGRAMS</t>
  </si>
  <si>
    <t>U.S. DEPARTMENT OF AGRICULTURE PASS-THROUGH</t>
  </si>
  <si>
    <t>PROGRAMS FROM ILLINOIS STATE BOARD OF EDUCATION:</t>
  </si>
  <si>
    <t>(M) NATIONAL SCHOOL LUNCH PROGRAM</t>
  </si>
  <si>
    <t>N/A</t>
  </si>
  <si>
    <t>US DEPARTMENT OF EDUCATION:</t>
  </si>
  <si>
    <t>PASS-THROUGH PROGRAMS FROM IL STATE BOARD OF EDUCATION:</t>
  </si>
  <si>
    <t>TITLE I - LOW INCOME</t>
  </si>
  <si>
    <t>19-4300-00</t>
  </si>
  <si>
    <t xml:space="preserve"> TITLE I - LOW INCOME</t>
  </si>
  <si>
    <t>18-4300-00</t>
  </si>
  <si>
    <t>TITLE I - SCHOOL IMPROVEMENT &amp; ACCOUNTABILITY</t>
  </si>
  <si>
    <t>19-4331-00</t>
  </si>
  <si>
    <t>TITLE II - TEACHER QUALITY</t>
  </si>
  <si>
    <t>19-4932-00</t>
  </si>
  <si>
    <t>18-4932-00</t>
  </si>
  <si>
    <t>TOTAL PASS-THROUGH FROM US DEPARTMENT OF EDUCATION</t>
  </si>
  <si>
    <t>US DEPARTMENT OF HEALTH &amp; HUMAN SERVICES:</t>
  </si>
  <si>
    <t>PASS-THROUGH ILLINOIS DEPARTMENT OF HEALTHCARE &amp; FAMILY SERVICES</t>
  </si>
  <si>
    <t>MEDICAID ADMINISTRATIVE OUTREACH</t>
  </si>
  <si>
    <t>19-4991-00</t>
  </si>
  <si>
    <t>TOTAL US DEPARTMENT OF HEALT H &amp; HUMAN SERVICES</t>
  </si>
  <si>
    <t>OTHER PASS-THROUGH ENTITIES -</t>
  </si>
  <si>
    <t>PASS-TRHOUGH FROM SPECIAL EDUCATION REGION 3:</t>
  </si>
  <si>
    <t>19-4620-00</t>
  </si>
  <si>
    <t>19-4600-00</t>
  </si>
  <si>
    <t>TOTAL PASS THROUGH SPECIAL EDUCATION</t>
  </si>
  <si>
    <t>TOTAL OTHER PASS-THROUGH ENTITIES</t>
  </si>
  <si>
    <t>IDEA FLOW-THROUGH FED</t>
  </si>
  <si>
    <t>IDEA PRESCHOOL</t>
  </si>
  <si>
    <t>IDEA - ROOM &amp; BOARD</t>
  </si>
  <si>
    <t>18-4625-00</t>
  </si>
  <si>
    <t>TOTAL FEDERAL FUNDS:</t>
  </si>
  <si>
    <t>PASS-THROUGH IL STATE BOARD OF EDUCATION</t>
  </si>
  <si>
    <t xml:space="preserve"> PASS-THROUGH DEPARTMENT OF HEALTHCARE &amp; FAMILY SERVICES</t>
  </si>
  <si>
    <t>PASS-THROUGH OTHER ENTITIES</t>
  </si>
  <si>
    <t>TOTAL FEDERAL AWARDS</t>
  </si>
  <si>
    <t>NSLP EQUIPMENT ASSISTANCE GRANT</t>
  </si>
  <si>
    <t>19-4260-00</t>
  </si>
  <si>
    <r>
      <t xml:space="preserve">Of the federal expenditures presented in the schedule, </t>
    </r>
    <r>
      <rPr>
        <b/>
        <sz val="9"/>
        <rFont val="Calibri"/>
        <family val="2"/>
        <scheme val="minor"/>
      </rPr>
      <t>Riverton Community Unit School District #14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</si>
  <si>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Riverton Community Unit School District #14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</si>
  <si>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Riverton Community Unit School District #14</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</si>
  <si>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 FEDERAL AWARDS WERE PROVIDED TO SUBRECIPIENTS</t>
  </si>
  <si>
    <t>ADVERSE</t>
  </si>
  <si>
    <t>UNMODIFIED</t>
  </si>
  <si>
    <t xml:space="preserve">NATIONAL SCHOOL LUNCH PROGRAM </t>
  </si>
  <si>
    <t>NO AUDIT FINDINGS FOR FISCAL YEAR END JUNE 30, 2019</t>
  </si>
  <si>
    <t>NONE</t>
  </si>
  <si>
    <t>x</t>
  </si>
  <si>
    <t>KEN@LMTCPAS.COM</t>
  </si>
  <si>
    <t>ILLINOIS</t>
  </si>
  <si>
    <t>JEFF VOSE</t>
  </si>
  <si>
    <t>217-753-6620</t>
  </si>
  <si>
    <t>JVOSE@ROE51.ORG</t>
  </si>
  <si>
    <t>066-004886</t>
  </si>
  <si>
    <t>PAGE 5, LINE 12-OTHER CURRENT ASSETS-INVESTMENTS IN BONDS</t>
  </si>
  <si>
    <t>PAGE 11, LINE 106-OTHER LOCAL FEES #1993 LAPTOP FEES</t>
  </si>
  <si>
    <t>PAGE 11, LINE 107-OTHER LOCAL REVENUE #1999 TEACHER INSURANCE, REIMBURSEMENTS, AND OTHER MISCELLANEOUS</t>
  </si>
  <si>
    <t>PAGE 12, LINE 168-OTHER RESTRICTED REVENUE FROM STATE SOURCE #3999 GRANTS IN AID</t>
  </si>
  <si>
    <t>PAGE 13, LINE 197-FOOD SERVICE OTHER #4299 NSLP EQUIPMENT ASSISTANCE GRANT</t>
  </si>
  <si>
    <t>PAGE 13, LINE 203 TITLE I OTHER #4399 TITLE I SCHOOL IMPROVEMENT</t>
  </si>
  <si>
    <t>PAGE 16, LINE 73-OTHER SUPPORT SERVICES #2900 CROSSING GUARD SALARIES</t>
  </si>
  <si>
    <t>PAGE 20, LINE 278-OTHER SUPPORT SERVICES #2900  CROSSING GUARD EMPLOYEE BENEFITS</t>
  </si>
  <si>
    <t>Riverton CUSD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</si>
</sst>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259773</xdr:colOff>
          <xdr:row>2</xdr:row>
          <xdr:rowOff>77933</xdr:rowOff>
        </xdr:from>
        <xdr:to>
          <xdr:col>1</xdr:col>
          <xdr:colOff>1174173</xdr:colOff>
          <xdr:row>6</xdr:row>
          <xdr:rowOff>116033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3" t="s">
        <v>405</v>
      </c>
      <c r="J1" s="2014"/>
      <c r="K1" s="2014"/>
      <c r="L1" s="2014"/>
      <c r="M1" s="2014"/>
      <c r="N1" s="2014"/>
      <c r="O1" s="2014"/>
      <c r="P1" s="2014"/>
      <c r="Q1" s="2014"/>
      <c r="R1" s="2014"/>
      <c r="S1" s="2014"/>
    </row>
    <row r="2" spans="1:28" ht="12" customHeight="1" x14ac:dyDescent="0.2">
      <c r="A2" s="47" t="s">
        <v>1988</v>
      </c>
      <c r="D2" s="48"/>
      <c r="I2" s="2015" t="s">
        <v>979</v>
      </c>
      <c r="J2" s="2014"/>
      <c r="K2" s="2014"/>
      <c r="L2" s="2014"/>
      <c r="M2" s="2014"/>
      <c r="N2" s="2014"/>
      <c r="O2" s="2014"/>
      <c r="P2" s="2014"/>
      <c r="Q2" s="2014"/>
      <c r="R2" s="2014"/>
      <c r="S2" s="2014"/>
    </row>
    <row r="3" spans="1:28" ht="12" customHeight="1" x14ac:dyDescent="0.2">
      <c r="A3" s="155" t="s">
        <v>1940</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2061</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2061</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51084014026</v>
      </c>
      <c r="B13" s="1984"/>
      <c r="C13" s="1984"/>
      <c r="D13" s="1984"/>
      <c r="E13" s="1984"/>
      <c r="F13" s="1984"/>
      <c r="G13" s="1984"/>
      <c r="H13" s="1985"/>
      <c r="I13" s="31"/>
      <c r="J13" s="30"/>
      <c r="K13" s="28"/>
      <c r="L13" s="30"/>
      <c r="M13" s="30"/>
      <c r="N13" s="30"/>
      <c r="O13" s="30"/>
      <c r="P13" s="30"/>
      <c r="Q13" s="30"/>
      <c r="R13" s="30"/>
      <c r="S13" s="30"/>
      <c r="T13" s="1988" t="s">
        <v>2070</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2062</v>
      </c>
      <c r="B15" s="1986"/>
      <c r="C15" s="1986"/>
      <c r="D15" s="1986"/>
      <c r="E15" s="1986"/>
      <c r="F15" s="1986"/>
      <c r="G15" s="1986"/>
      <c r="H15" s="1987"/>
      <c r="T15" s="1949" t="s">
        <v>2071</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2154</v>
      </c>
      <c r="B17" s="2011"/>
      <c r="C17" s="2011"/>
      <c r="D17" s="2011"/>
      <c r="E17" s="2011"/>
      <c r="F17" s="2011"/>
      <c r="G17" s="2011"/>
      <c r="H17" s="2012"/>
      <c r="T17" s="1998" t="s">
        <v>2072</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2063</v>
      </c>
      <c r="B19" s="1982"/>
      <c r="C19" s="1982"/>
      <c r="D19" s="1982"/>
      <c r="E19" s="1982"/>
      <c r="F19" s="1982"/>
      <c r="G19" s="1982"/>
      <c r="H19" s="1980"/>
      <c r="I19" s="30"/>
      <c r="J19" s="99"/>
      <c r="K19" s="40"/>
      <c r="L19" s="38"/>
      <c r="M19" s="112" t="s">
        <v>315</v>
      </c>
      <c r="P19" s="27"/>
      <c r="Q19" s="27"/>
      <c r="R19" s="27"/>
      <c r="S19" s="31"/>
      <c r="T19" s="1981" t="s">
        <v>2073</v>
      </c>
      <c r="U19" s="1979"/>
      <c r="V19" s="1979"/>
      <c r="W19" s="1980"/>
      <c r="X19" s="1996" t="s">
        <v>2141</v>
      </c>
      <c r="Y19" s="1997"/>
      <c r="Z19" s="1994">
        <v>62002</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2064</v>
      </c>
      <c r="B21" s="1979"/>
      <c r="C21" s="1979"/>
      <c r="D21" s="1979"/>
      <c r="E21" s="1979"/>
      <c r="F21" s="1979"/>
      <c r="G21" s="1979"/>
      <c r="H21" s="1980"/>
      <c r="I21" s="2004" t="s">
        <v>678</v>
      </c>
      <c r="J21" s="1967"/>
      <c r="K21" s="1967"/>
      <c r="L21" s="1967"/>
      <c r="M21" s="1967"/>
      <c r="N21" s="1967"/>
      <c r="O21" s="1967"/>
      <c r="P21" s="1967"/>
      <c r="Q21" s="1967"/>
      <c r="R21" s="1967"/>
      <c r="S21" s="1968"/>
      <c r="T21" s="1946" t="s">
        <v>2074</v>
      </c>
      <c r="U21" s="1947"/>
      <c r="V21" s="1947"/>
      <c r="W21" s="1947"/>
      <c r="X21" s="1960" t="s">
        <v>2075</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2065</v>
      </c>
      <c r="B23" s="2002"/>
      <c r="C23" s="2002"/>
      <c r="D23" s="2002"/>
      <c r="E23" s="2002"/>
      <c r="F23" s="2002"/>
      <c r="G23" s="2002"/>
      <c r="H23" s="2003"/>
      <c r="T23" s="1941" t="s">
        <v>2145</v>
      </c>
      <c r="U23" s="1942"/>
      <c r="V23" s="1942"/>
      <c r="W23" s="1942"/>
      <c r="X23" s="1957">
        <v>44530</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62561</v>
      </c>
      <c r="B25" s="1979"/>
      <c r="C25" s="1979"/>
      <c r="D25" s="1979"/>
      <c r="E25" s="1979"/>
      <c r="F25" s="1979"/>
      <c r="G25" s="1979"/>
      <c r="H25" s="1980"/>
      <c r="I25" s="113"/>
      <c r="J25" s="2045"/>
      <c r="K25" s="2045"/>
      <c r="L25" s="2045"/>
      <c r="M25" s="2045"/>
      <c r="N25" s="2045"/>
      <c r="O25" s="2045"/>
      <c r="P25" s="2045"/>
      <c r="Q25" s="2045"/>
      <c r="R25" s="2045"/>
      <c r="S25" s="2046"/>
      <c r="T25" s="1938" t="s">
        <v>2140</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48" t="s">
        <v>2061</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2066</v>
      </c>
      <c r="B38" s="2011"/>
      <c r="C38" s="2011"/>
      <c r="D38" s="2011"/>
      <c r="E38" s="2011"/>
      <c r="F38" s="1979"/>
      <c r="G38" s="1979"/>
      <c r="H38" s="1980"/>
      <c r="I38" s="2030"/>
      <c r="J38" s="1950"/>
      <c r="K38" s="1950"/>
      <c r="L38" s="1950"/>
      <c r="M38" s="1950"/>
      <c r="N38" s="1950"/>
      <c r="O38" s="1950"/>
      <c r="P38" s="1951"/>
      <c r="Q38" s="1951"/>
      <c r="R38" s="1951"/>
      <c r="S38" s="1952"/>
      <c r="T38" s="1949" t="s">
        <v>2142</v>
      </c>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2067</v>
      </c>
      <c r="B40" s="2038"/>
      <c r="C40" s="2039"/>
      <c r="D40" s="2039"/>
      <c r="E40" s="2039"/>
      <c r="F40" s="2040"/>
      <c r="G40" s="2040"/>
      <c r="H40" s="2041"/>
      <c r="I40" s="1953"/>
      <c r="J40" s="1955"/>
      <c r="K40" s="1955"/>
      <c r="L40" s="1955"/>
      <c r="M40" s="1955"/>
      <c r="N40" s="1955"/>
      <c r="O40" s="1955"/>
      <c r="P40" s="1955"/>
      <c r="Q40" s="1955"/>
      <c r="R40" s="1955"/>
      <c r="S40" s="1956"/>
      <c r="T40" s="1953" t="s">
        <v>2144</v>
      </c>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2068</v>
      </c>
      <c r="B42" s="2028"/>
      <c r="C42" s="2029"/>
      <c r="D42" s="2042" t="s">
        <v>2069</v>
      </c>
      <c r="E42" s="2028"/>
      <c r="F42" s="2028"/>
      <c r="G42" s="2028"/>
      <c r="H42" s="2029"/>
      <c r="I42" s="1948"/>
      <c r="J42" s="1944"/>
      <c r="K42" s="1944"/>
      <c r="L42" s="1944"/>
      <c r="M42" s="1944"/>
      <c r="N42" s="1944"/>
      <c r="O42" s="1945"/>
      <c r="P42" s="1943"/>
      <c r="Q42" s="1944"/>
      <c r="R42" s="1944"/>
      <c r="S42" s="1945"/>
      <c r="T42" s="1948" t="s">
        <v>2143</v>
      </c>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4"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2070</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G36" sqref="G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128105270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2.4759E-2</v>
      </c>
      <c r="E10" s="356" t="s">
        <v>1005</v>
      </c>
      <c r="F10" s="355">
        <v>4.9529999999999999E-3</v>
      </c>
      <c r="G10" s="356" t="s">
        <v>1005</v>
      </c>
      <c r="H10" s="355">
        <v>2.1229999999999999E-3</v>
      </c>
      <c r="I10" s="356" t="s">
        <v>1006</v>
      </c>
      <c r="J10" s="1732">
        <f>ROUND(D10+F10+H10,5)</f>
        <v>3.184E-2</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13899661</v>
      </c>
      <c r="E16" s="356"/>
      <c r="F16" s="1733">
        <f>SUM('Acct Summary 7-8'!C17,'Acct Summary 7-8'!D17,'Acct Summary 7-8'!F17)</f>
        <v>12757541</v>
      </c>
      <c r="G16" s="356"/>
      <c r="H16" s="1733">
        <f>SUM(D16-F16)</f>
        <v>1142120</v>
      </c>
      <c r="I16" s="222"/>
      <c r="J16" s="1733">
        <f>SUM('Acct Summary 7-8'!C81,'Acct Summary 7-8'!D81,'Acct Summary 7-8'!F81,'Acct Summary 7-8'!I81)</f>
        <v>13360035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17678527.260000002</v>
      </c>
      <c r="I31" s="368"/>
      <c r="J31" s="222"/>
      <c r="K31" s="222"/>
      <c r="L31" s="222"/>
      <c r="M31" s="222"/>
    </row>
    <row r="32" spans="1:13" ht="13.35" customHeight="1" x14ac:dyDescent="0.2">
      <c r="B32" s="369" t="s">
        <v>2061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5273961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Riverton CUSD 14</v>
      </c>
      <c r="E7" s="391"/>
      <c r="G7" s="252"/>
      <c r="H7" s="387"/>
      <c r="I7" s="387"/>
      <c r="J7" s="387"/>
      <c r="K7" s="387"/>
      <c r="L7" s="329"/>
      <c r="M7" s="329"/>
      <c r="N7" s="329"/>
      <c r="O7" s="329"/>
      <c r="P7" s="329"/>
    </row>
    <row r="8" spans="1:18" ht="12.75" x14ac:dyDescent="0.2">
      <c r="A8" s="329"/>
      <c r="B8" s="329"/>
      <c r="C8" s="389" t="s">
        <v>1125</v>
      </c>
      <c r="D8" s="392">
        <f>COVER!A13</f>
        <v>51084014026</v>
      </c>
      <c r="E8" s="393"/>
      <c r="G8" s="329"/>
      <c r="H8" s="329"/>
      <c r="I8" s="329"/>
      <c r="J8" s="329"/>
      <c r="K8" s="329"/>
      <c r="L8" s="329"/>
      <c r="M8" s="329"/>
      <c r="N8" s="329"/>
      <c r="O8" s="329"/>
      <c r="P8" s="329"/>
    </row>
    <row r="9" spans="1:18" ht="12.75" x14ac:dyDescent="0.2">
      <c r="A9" s="329"/>
      <c r="B9" s="329"/>
      <c r="C9" s="389" t="s">
        <v>713</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13360035</v>
      </c>
      <c r="I12" s="404"/>
      <c r="J12" s="404"/>
      <c r="K12" s="405">
        <f>TRUNC((H12/H13*100000),5)/100000</f>
        <v>0.96117703869999993</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13899661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12757541</v>
      </c>
      <c r="I17" s="404"/>
      <c r="J17" s="416"/>
      <c r="K17" s="405">
        <f>TRUNC((H17/H18*100000),5)/100000</f>
        <v>0.91783108949999992</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13899661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11126255</v>
      </c>
      <c r="I24" s="422"/>
      <c r="J24" s="422"/>
      <c r="K24" s="423">
        <f>TRUNC(((H24/H25*100000)/100000),2)</f>
        <v>313.95999999999998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35437.613890000001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3467041.02728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5273961</v>
      </c>
      <c r="I32" s="420"/>
      <c r="J32" s="420"/>
      <c r="K32" s="423">
        <f>TRUNC(100-((((H32/H33*100))*100)/100),2)</f>
        <v>70.16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17678527.260000002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39" sqref="C39:I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c r="D4" s="466">
        <v>1237725</v>
      </c>
      <c r="E4" s="466">
        <v>761864</v>
      </c>
      <c r="F4" s="466">
        <v>959639</v>
      </c>
      <c r="G4" s="466">
        <v>390923</v>
      </c>
      <c r="H4" s="466"/>
      <c r="I4" s="466">
        <v>2334033</v>
      </c>
      <c r="J4" s="467"/>
      <c r="K4" s="466">
        <v>3</v>
      </c>
      <c r="L4" s="466">
        <f>238015+9659</f>
        <v>247674</v>
      </c>
      <c r="M4" s="468"/>
      <c r="N4" s="469"/>
    </row>
    <row r="5" spans="1:14" x14ac:dyDescent="0.2">
      <c r="A5" s="463" t="s">
        <v>992</v>
      </c>
      <c r="B5" s="470">
        <v>120</v>
      </c>
      <c r="C5" s="465">
        <v>6594858</v>
      </c>
      <c r="D5" s="466"/>
      <c r="E5" s="466"/>
      <c r="F5" s="466"/>
      <c r="G5" s="466"/>
      <c r="H5" s="466">
        <v>9046</v>
      </c>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4284700</v>
      </c>
      <c r="D12" s="466"/>
      <c r="E12" s="466"/>
      <c r="F12" s="466"/>
      <c r="G12" s="466"/>
      <c r="H12" s="466"/>
      <c r="I12" s="466"/>
      <c r="J12" s="467"/>
      <c r="K12" s="466"/>
      <c r="L12" s="466"/>
      <c r="M12" s="469"/>
      <c r="N12" s="469"/>
    </row>
    <row r="13" spans="1:14" ht="13.5" customHeight="1" thickBot="1" x14ac:dyDescent="0.25">
      <c r="A13" s="1736" t="s">
        <v>644</v>
      </c>
      <c r="B13" s="1709"/>
      <c r="C13" s="1737">
        <f>SUM(C4:C12)</f>
        <v>10879558</v>
      </c>
      <c r="D13" s="1737">
        <f t="shared" ref="D13:L13" si="0">SUM(D4:D12)</f>
        <v>1237725</v>
      </c>
      <c r="E13" s="1737">
        <f t="shared" si="0"/>
        <v>761864</v>
      </c>
      <c r="F13" s="1737">
        <f t="shared" si="0"/>
        <v>959639</v>
      </c>
      <c r="G13" s="1737">
        <f t="shared" si="0"/>
        <v>390923</v>
      </c>
      <c r="H13" s="1737">
        <f t="shared" si="0"/>
        <v>9046</v>
      </c>
      <c r="I13" s="1737">
        <f t="shared" si="0"/>
        <v>2334033</v>
      </c>
      <c r="J13" s="1737">
        <f t="shared" si="0"/>
        <v>0</v>
      </c>
      <c r="K13" s="1737">
        <f t="shared" si="0"/>
        <v>3</v>
      </c>
      <c r="L13" s="1737">
        <f t="shared" si="0"/>
        <v>247674</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1553417</v>
      </c>
      <c r="N16" s="484"/>
    </row>
    <row r="17" spans="1:14" s="485" customFormat="1" ht="12.75" customHeight="1" x14ac:dyDescent="0.2">
      <c r="A17" s="482" t="s">
        <v>1403</v>
      </c>
      <c r="B17" s="483">
        <v>230</v>
      </c>
      <c r="C17" s="477"/>
      <c r="D17" s="477"/>
      <c r="E17" s="477"/>
      <c r="F17" s="477"/>
      <c r="G17" s="477"/>
      <c r="H17" s="477"/>
      <c r="I17" s="477"/>
      <c r="J17" s="477"/>
      <c r="K17" s="477"/>
      <c r="L17" s="477"/>
      <c r="M17" s="467">
        <v>27112037</v>
      </c>
      <c r="N17" s="484"/>
    </row>
    <row r="18" spans="1:14" s="485" customFormat="1" ht="12.75" customHeight="1" x14ac:dyDescent="0.2">
      <c r="A18" s="482" t="s">
        <v>1404</v>
      </c>
      <c r="B18" s="483">
        <v>240</v>
      </c>
      <c r="C18" s="477"/>
      <c r="D18" s="477"/>
      <c r="E18" s="477"/>
      <c r="F18" s="477"/>
      <c r="G18" s="477"/>
      <c r="H18" s="477"/>
      <c r="I18" s="477"/>
      <c r="J18" s="477"/>
      <c r="K18" s="477"/>
      <c r="L18" s="477"/>
      <c r="M18" s="467">
        <v>824001</v>
      </c>
      <c r="N18" s="484"/>
    </row>
    <row r="19" spans="1:14" s="485" customFormat="1" ht="12.75" customHeight="1" x14ac:dyDescent="0.2">
      <c r="A19" s="482" t="s">
        <v>1405</v>
      </c>
      <c r="B19" s="483">
        <v>250</v>
      </c>
      <c r="C19" s="477"/>
      <c r="D19" s="477"/>
      <c r="E19" s="477"/>
      <c r="F19" s="477"/>
      <c r="G19" s="477"/>
      <c r="H19" s="477"/>
      <c r="I19" s="477"/>
      <c r="J19" s="477"/>
      <c r="K19" s="477"/>
      <c r="L19" s="477"/>
      <c r="M19" s="467">
        <f>300519+2525283</f>
        <v>2825802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761864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4512097</v>
      </c>
    </row>
    <row r="23" spans="1:14" ht="13.5" customHeight="1" thickBot="1" x14ac:dyDescent="0.25">
      <c r="A23" s="1736" t="s">
        <v>643</v>
      </c>
      <c r="B23" s="1741"/>
      <c r="C23" s="468"/>
      <c r="D23" s="468"/>
      <c r="E23" s="468"/>
      <c r="F23" s="468"/>
      <c r="G23" s="468"/>
      <c r="H23" s="468"/>
      <c r="I23" s="468"/>
      <c r="J23" s="468"/>
      <c r="K23" s="468"/>
      <c r="L23" s="468"/>
      <c r="M23" s="1688">
        <f>SUM(M15:M22)</f>
        <v>32315257</v>
      </c>
      <c r="N23" s="1688">
        <f>SUM(N21:N22)</f>
        <v>5273961</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2050920</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247674</v>
      </c>
      <c r="M33" s="468"/>
      <c r="N33" s="469"/>
    </row>
    <row r="34" spans="1:14" ht="13.5" customHeight="1" thickBot="1" x14ac:dyDescent="0.25">
      <c r="A34" s="1738" t="s">
        <v>654</v>
      </c>
      <c r="B34" s="1739"/>
      <c r="C34" s="1740">
        <f>SUM(C25:C33)</f>
        <v>2050920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247674</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5273961</v>
      </c>
    </row>
    <row r="37" spans="1:14" ht="13.5" thickBot="1" x14ac:dyDescent="0.25">
      <c r="A37" s="1736" t="s">
        <v>653</v>
      </c>
      <c r="B37" s="1741"/>
      <c r="C37" s="477"/>
      <c r="D37" s="477"/>
      <c r="E37" s="477"/>
      <c r="F37" s="477"/>
      <c r="G37" s="477"/>
      <c r="H37" s="477"/>
      <c r="I37" s="477"/>
      <c r="J37" s="477"/>
      <c r="K37" s="477"/>
      <c r="L37" s="480"/>
      <c r="M37" s="468"/>
      <c r="N37" s="1688">
        <f>SUM(N36:N36)</f>
        <v>5273961</v>
      </c>
    </row>
    <row r="38" spans="1:14" s="329" customFormat="1" ht="13.5" customHeight="1" thickTop="1" x14ac:dyDescent="0.2">
      <c r="A38" s="496" t="s">
        <v>420</v>
      </c>
      <c r="B38" s="483">
        <v>714</v>
      </c>
      <c r="C38" s="466">
        <v>514176</v>
      </c>
      <c r="D38" s="466"/>
      <c r="E38" s="466">
        <v>761864</v>
      </c>
      <c r="F38" s="466"/>
      <c r="G38" s="466">
        <v>390923</v>
      </c>
      <c r="H38" s="466"/>
      <c r="I38" s="466"/>
      <c r="J38" s="467"/>
      <c r="K38" s="466">
        <v>3</v>
      </c>
      <c r="L38" s="481"/>
      <c r="M38" s="497"/>
      <c r="N38" s="497"/>
    </row>
    <row r="39" spans="1:14" s="329" customFormat="1" ht="13.5" customHeight="1" x14ac:dyDescent="0.2">
      <c r="A39" s="496" t="s">
        <v>342</v>
      </c>
      <c r="B39" s="483">
        <v>730</v>
      </c>
      <c r="C39" s="466">
        <v>8314462</v>
      </c>
      <c r="D39" s="466">
        <f>1247274-43787+34238</f>
        <v>1237725</v>
      </c>
      <c r="E39" s="466"/>
      <c r="F39" s="466">
        <f>1045115-86988+1512</f>
        <v>959639</v>
      </c>
      <c r="G39" s="466"/>
      <c r="H39" s="466">
        <v>9046</v>
      </c>
      <c r="I39" s="466">
        <v>2334033</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32315257</v>
      </c>
      <c r="N40" s="497"/>
    </row>
    <row r="41" spans="1:14" ht="13.5" customHeight="1" thickBot="1" x14ac:dyDescent="0.25">
      <c r="A41" s="1736" t="s">
        <v>655</v>
      </c>
      <c r="B41" s="1706"/>
      <c r="C41" s="1688">
        <f>(SUM(C34,C37,C38,C39))</f>
        <v>10879558</v>
      </c>
      <c r="D41" s="1688">
        <f t="shared" ref="D41:L41" si="2">SUM(D34,D37,D38:D39)</f>
        <v>1237725</v>
      </c>
      <c r="E41" s="1688">
        <f t="shared" si="2"/>
        <v>761864</v>
      </c>
      <c r="F41" s="1688">
        <f t="shared" si="2"/>
        <v>959639</v>
      </c>
      <c r="G41" s="1688">
        <f t="shared" si="2"/>
        <v>390923</v>
      </c>
      <c r="H41" s="1688">
        <f t="shared" si="2"/>
        <v>9046</v>
      </c>
      <c r="I41" s="1688">
        <f t="shared" si="2"/>
        <v>2334033</v>
      </c>
      <c r="J41" s="1688">
        <f t="shared" si="2"/>
        <v>0</v>
      </c>
      <c r="K41" s="1688">
        <f t="shared" si="2"/>
        <v>3</v>
      </c>
      <c r="L41" s="1688">
        <f t="shared" si="2"/>
        <v>247674</v>
      </c>
      <c r="M41" s="1688">
        <f>SUM(M40)</f>
        <v>32315257</v>
      </c>
      <c r="N41" s="1688">
        <f>SUM(N37)</f>
        <v>5273961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I74" sqref="I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3890031</v>
      </c>
      <c r="D4" s="1742">
        <f>'Revenues 9-14'!D109</f>
        <v>731001</v>
      </c>
      <c r="E4" s="1742">
        <f>'Revenues 9-14'!E109</f>
        <v>945165</v>
      </c>
      <c r="F4" s="1742">
        <f>'Revenues 9-14'!F109</f>
        <v>267577</v>
      </c>
      <c r="G4" s="1742">
        <f>'Revenues 9-14'!G109</f>
        <v>534679</v>
      </c>
      <c r="H4" s="1742">
        <f>'Revenues 9-14'!H109</f>
        <v>208</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6193131</v>
      </c>
      <c r="D6" s="1743">
        <f>'Revenues 9-14'!D170</f>
        <v>577630</v>
      </c>
      <c r="E6" s="1743">
        <f>'Revenues 9-14'!E170</f>
        <v>151387</v>
      </c>
      <c r="F6" s="1743">
        <f>'Revenues 9-14'!F170</f>
        <v>613940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1626351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11709513</v>
      </c>
      <c r="D8" s="1688">
        <f t="shared" ref="D8:K8" si="0">SUM(D4:D7)</f>
        <v>1308631</v>
      </c>
      <c r="E8" s="1688">
        <f t="shared" si="0"/>
        <v>1096552</v>
      </c>
      <c r="F8" s="1688">
        <f t="shared" si="0"/>
        <v>881517</v>
      </c>
      <c r="G8" s="1688">
        <f t="shared" si="0"/>
        <v>534679</v>
      </c>
      <c r="H8" s="1688">
        <f t="shared" si="0"/>
        <v>208</v>
      </c>
      <c r="I8" s="1688">
        <f t="shared" si="0"/>
        <v>0</v>
      </c>
      <c r="J8" s="1688">
        <f t="shared" si="0"/>
        <v>0</v>
      </c>
      <c r="K8" s="1688">
        <f t="shared" si="0"/>
        <v>0</v>
      </c>
      <c r="L8" s="347"/>
    </row>
    <row r="9" spans="1:13" ht="15.75" thickTop="1" x14ac:dyDescent="0.2">
      <c r="A9" s="514" t="s">
        <v>1653</v>
      </c>
      <c r="B9" s="515">
        <v>3998</v>
      </c>
      <c r="C9" s="481">
        <v>3995350</v>
      </c>
      <c r="D9" s="516"/>
      <c r="E9" s="481"/>
      <c r="F9" s="481"/>
      <c r="G9" s="517"/>
      <c r="H9" s="481"/>
      <c r="I9" s="509" t="s">
        <v>1169</v>
      </c>
      <c r="J9" s="478"/>
      <c r="K9" s="481"/>
      <c r="L9" s="347"/>
    </row>
    <row r="10" spans="1:13" s="519" customFormat="1" ht="13.5" thickBot="1" x14ac:dyDescent="0.25">
      <c r="A10" s="1736" t="s">
        <v>1173</v>
      </c>
      <c r="B10" s="1709"/>
      <c r="C10" s="1688">
        <f>SUM(C8:C9)</f>
        <v>15704863</v>
      </c>
      <c r="D10" s="1688">
        <f t="shared" ref="D10:K10" si="1">SUM(D8:D9)</f>
        <v>1308631</v>
      </c>
      <c r="E10" s="1688">
        <f t="shared" si="1"/>
        <v>1096552</v>
      </c>
      <c r="F10" s="1688">
        <f t="shared" si="1"/>
        <v>881517</v>
      </c>
      <c r="G10" s="1688">
        <f t="shared" si="1"/>
        <v>534679</v>
      </c>
      <c r="H10" s="1688">
        <f t="shared" si="1"/>
        <v>208</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6710884</v>
      </c>
      <c r="D12" s="520" t="s">
        <v>1169</v>
      </c>
      <c r="E12" s="468" t="s">
        <v>1169</v>
      </c>
      <c r="F12" s="468" t="s">
        <v>1169</v>
      </c>
      <c r="G12" s="1742">
        <f>'Expenditures 15-22'!K229</f>
        <v>168622</v>
      </c>
      <c r="H12" s="521"/>
      <c r="I12" s="468" t="s">
        <v>1169</v>
      </c>
      <c r="J12" s="468" t="s">
        <v>1169</v>
      </c>
      <c r="K12" s="521" t="s">
        <v>1169</v>
      </c>
      <c r="L12" s="347"/>
    </row>
    <row r="13" spans="1:13" ht="15.75" customHeight="1" x14ac:dyDescent="0.2">
      <c r="A13" s="1576" t="s">
        <v>457</v>
      </c>
      <c r="B13" s="1578">
        <v>2000</v>
      </c>
      <c r="C13" s="1743">
        <f>'Expenditures 15-22'!K74</f>
        <v>2528143</v>
      </c>
      <c r="D13" s="1743">
        <f>'Expenditures 15-22'!K129</f>
        <v>1618046</v>
      </c>
      <c r="E13" s="469" t="s">
        <v>1169</v>
      </c>
      <c r="F13" s="1743">
        <f>'Expenditures 15-22'!K184</f>
        <v>634399</v>
      </c>
      <c r="G13" s="1743">
        <f>'Expenditures 15-22'!K279</f>
        <v>225674</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46030</v>
      </c>
      <c r="D14" s="1743">
        <f>'Expenditures 15-22'!K130</f>
        <v>0</v>
      </c>
      <c r="E14" s="520" t="s">
        <v>1169</v>
      </c>
      <c r="F14" s="1743">
        <f>'Expenditures 15-22'!K185</f>
        <v>0</v>
      </c>
      <c r="G14" s="1743">
        <f>'Expenditures 15-22'!K280</f>
        <v>8510</v>
      </c>
      <c r="H14" s="512"/>
      <c r="I14" s="468" t="s">
        <v>1169</v>
      </c>
      <c r="J14" s="468" t="s">
        <v>1169</v>
      </c>
      <c r="K14" s="512" t="s">
        <v>1169</v>
      </c>
      <c r="L14" s="347"/>
    </row>
    <row r="15" spans="1:13" ht="15.75" customHeight="1" x14ac:dyDescent="0.2">
      <c r="A15" s="1576" t="s">
        <v>107</v>
      </c>
      <c r="B15" s="1578">
        <v>4000</v>
      </c>
      <c r="C15" s="1743">
        <f>'Expenditures 15-22'!K102</f>
        <v>1220039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1101238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10505096</v>
      </c>
      <c r="D17" s="1688">
        <f t="shared" si="2"/>
        <v>1618046</v>
      </c>
      <c r="E17" s="1688">
        <f t="shared" si="2"/>
        <v>1101238</v>
      </c>
      <c r="F17" s="1688">
        <f t="shared" si="2"/>
        <v>634399</v>
      </c>
      <c r="G17" s="1688">
        <f t="shared" si="2"/>
        <v>402806</v>
      </c>
      <c r="H17" s="1688">
        <f t="shared" si="2"/>
        <v>0</v>
      </c>
      <c r="I17" s="468"/>
      <c r="J17" s="1688">
        <f>SUM(J12:J16)</f>
        <v>0</v>
      </c>
      <c r="K17" s="1688">
        <f>SUM(K12:K16)</f>
        <v>0</v>
      </c>
      <c r="L17" s="347"/>
    </row>
    <row r="18" spans="1:12" ht="15" customHeight="1" thickTop="1" x14ac:dyDescent="0.2">
      <c r="A18" s="1744" t="s">
        <v>1654</v>
      </c>
      <c r="B18" s="1745">
        <v>4180</v>
      </c>
      <c r="C18" s="1742">
        <f t="shared" ref="C18:H18" si="3">C9</f>
        <v>3995350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14500446</v>
      </c>
      <c r="D19" s="1688">
        <f t="shared" si="4"/>
        <v>1618046</v>
      </c>
      <c r="E19" s="1688">
        <f t="shared" si="4"/>
        <v>1101238</v>
      </c>
      <c r="F19" s="1688">
        <f t="shared" si="4"/>
        <v>634399</v>
      </c>
      <c r="G19" s="1688">
        <f t="shared" si="4"/>
        <v>402806</v>
      </c>
      <c r="H19" s="1688">
        <f t="shared" si="4"/>
        <v>0</v>
      </c>
      <c r="I19" s="468"/>
      <c r="J19" s="1688">
        <f>SUM(J17:J18)</f>
        <v>0</v>
      </c>
      <c r="K19" s="1688">
        <f>SUM(K17:K18)</f>
        <v>0</v>
      </c>
      <c r="L19" s="347"/>
    </row>
    <row r="20" spans="1:12" ht="16.5" thickTop="1" thickBot="1" x14ac:dyDescent="0.25">
      <c r="A20" s="2123" t="s">
        <v>1655</v>
      </c>
      <c r="B20" s="2124"/>
      <c r="C20" s="1746">
        <f>C8-C17</f>
        <v>1204417</v>
      </c>
      <c r="D20" s="1746">
        <f t="shared" ref="D20:K20" si="5">D8-D17</f>
        <v>-309415</v>
      </c>
      <c r="E20" s="1746">
        <f t="shared" si="5"/>
        <v>-4686</v>
      </c>
      <c r="F20" s="1746">
        <f t="shared" si="5"/>
        <v>247118</v>
      </c>
      <c r="G20" s="1746">
        <f t="shared" si="5"/>
        <v>131873</v>
      </c>
      <c r="H20" s="1746">
        <f t="shared" si="5"/>
        <v>208</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600000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600000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600000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600000</v>
      </c>
      <c r="J76" s="1703">
        <f t="shared" si="7"/>
        <v>0</v>
      </c>
      <c r="K76" s="1703">
        <f t="shared" si="7"/>
        <v>0</v>
      </c>
      <c r="L76" s="524"/>
    </row>
    <row r="77" spans="1:12" ht="14.25" thickTop="1" thickBot="1" x14ac:dyDescent="0.25">
      <c r="A77" s="2115" t="s">
        <v>1177</v>
      </c>
      <c r="B77" s="2116"/>
      <c r="C77" s="1703">
        <f t="shared" ref="C77:K77" si="8">C44-C76</f>
        <v>0</v>
      </c>
      <c r="D77" s="1703">
        <f t="shared" si="8"/>
        <v>600000</v>
      </c>
      <c r="E77" s="1703">
        <f t="shared" si="8"/>
        <v>0</v>
      </c>
      <c r="F77" s="1703">
        <f t="shared" si="8"/>
        <v>0</v>
      </c>
      <c r="G77" s="1703">
        <f t="shared" si="8"/>
        <v>0</v>
      </c>
      <c r="H77" s="1703">
        <f t="shared" si="8"/>
        <v>0</v>
      </c>
      <c r="I77" s="1703">
        <f t="shared" si="8"/>
        <v>-600000</v>
      </c>
      <c r="J77" s="1703">
        <f t="shared" si="8"/>
        <v>0</v>
      </c>
      <c r="K77" s="1703">
        <f t="shared" si="8"/>
        <v>0</v>
      </c>
      <c r="L77" s="347"/>
    </row>
    <row r="78" spans="1:12" ht="21.75" customHeight="1" thickTop="1" thickBot="1" x14ac:dyDescent="0.25">
      <c r="A78" s="2119" t="s">
        <v>597</v>
      </c>
      <c r="B78" s="2120"/>
      <c r="C78" s="1702">
        <f t="shared" ref="C78:K78" si="9">C20+C77</f>
        <v>1204417</v>
      </c>
      <c r="D78" s="1702">
        <f t="shared" si="9"/>
        <v>290585</v>
      </c>
      <c r="E78" s="1702">
        <f t="shared" si="9"/>
        <v>-4686</v>
      </c>
      <c r="F78" s="1702">
        <f t="shared" si="9"/>
        <v>247118</v>
      </c>
      <c r="G78" s="1702">
        <f t="shared" si="9"/>
        <v>131873</v>
      </c>
      <c r="H78" s="1702">
        <f t="shared" si="9"/>
        <v>208</v>
      </c>
      <c r="I78" s="1702">
        <f t="shared" si="9"/>
        <v>-600000</v>
      </c>
      <c r="J78" s="1702">
        <f t="shared" si="9"/>
        <v>0</v>
      </c>
      <c r="K78" s="1702">
        <f t="shared" si="9"/>
        <v>0</v>
      </c>
      <c r="L78" s="533"/>
    </row>
    <row r="79" spans="1:12" ht="13.5" thickTop="1" x14ac:dyDescent="0.2">
      <c r="A79" s="1494" t="s">
        <v>1944</v>
      </c>
      <c r="B79" s="534"/>
      <c r="C79" s="478">
        <v>7624221</v>
      </c>
      <c r="D79" s="535">
        <v>947140</v>
      </c>
      <c r="E79" s="535">
        <v>766550</v>
      </c>
      <c r="F79" s="535">
        <v>712521</v>
      </c>
      <c r="G79" s="535">
        <v>259050</v>
      </c>
      <c r="H79" s="535">
        <v>8838</v>
      </c>
      <c r="I79" s="535">
        <v>2934033</v>
      </c>
      <c r="J79" s="535"/>
      <c r="K79" s="535">
        <v>3</v>
      </c>
      <c r="L79" s="347"/>
    </row>
    <row r="80" spans="1:12" x14ac:dyDescent="0.2">
      <c r="A80" s="2125" t="s">
        <v>1792</v>
      </c>
      <c r="B80" s="2126"/>
      <c r="C80" s="467"/>
      <c r="D80" s="467"/>
      <c r="E80" s="467"/>
      <c r="F80" s="467"/>
      <c r="G80" s="467"/>
      <c r="H80" s="467"/>
      <c r="I80" s="467"/>
      <c r="J80" s="467"/>
      <c r="K80" s="467"/>
      <c r="L80" s="347"/>
    </row>
    <row r="81" spans="1:12" ht="13.5" thickBot="1" x14ac:dyDescent="0.25">
      <c r="A81" s="2117" t="s">
        <v>1945</v>
      </c>
      <c r="B81" s="2118"/>
      <c r="C81" s="1688">
        <f>(SUM(C78:C80))</f>
        <v>8828638</v>
      </c>
      <c r="D81" s="1688">
        <f>SUM(D78:D80)</f>
        <v>1237725</v>
      </c>
      <c r="E81" s="1688">
        <f t="shared" ref="E81:K81" si="10">SUM(E78:E80)</f>
        <v>761864</v>
      </c>
      <c r="F81" s="1688">
        <f t="shared" si="10"/>
        <v>959639</v>
      </c>
      <c r="G81" s="1688">
        <f t="shared" si="10"/>
        <v>390923</v>
      </c>
      <c r="H81" s="1688">
        <f t="shared" si="10"/>
        <v>9046</v>
      </c>
      <c r="I81" s="1688">
        <f t="shared" si="10"/>
        <v>2334033</v>
      </c>
      <c r="J81" s="1688">
        <f t="shared" si="10"/>
        <v>0</v>
      </c>
      <c r="K81" s="1688">
        <f t="shared" si="10"/>
        <v>3</v>
      </c>
      <c r="L81" s="347"/>
    </row>
    <row r="82" spans="1:12" ht="0.75" customHeight="1" thickTop="1" thickBot="1" x14ac:dyDescent="0.25">
      <c r="A82" s="536" t="s">
        <v>343</v>
      </c>
      <c r="B82" s="537"/>
      <c r="C82" s="538">
        <f>(C81-C79)</f>
        <v>1204417</v>
      </c>
      <c r="D82" s="538">
        <f t="shared" ref="D82:K82" si="11">(D81-D79)</f>
        <v>290585</v>
      </c>
      <c r="E82" s="538">
        <f t="shared" si="11"/>
        <v>-4686</v>
      </c>
      <c r="F82" s="538">
        <f t="shared" si="11"/>
        <v>247118</v>
      </c>
      <c r="G82" s="538">
        <f t="shared" si="11"/>
        <v>131873</v>
      </c>
      <c r="H82" s="538">
        <f t="shared" si="11"/>
        <v>208</v>
      </c>
      <c r="I82" s="538">
        <f t="shared" si="11"/>
        <v>-600000</v>
      </c>
      <c r="J82" s="538">
        <f t="shared" si="11"/>
        <v>0</v>
      </c>
      <c r="K82" s="538">
        <f t="shared" si="11"/>
        <v>0</v>
      </c>
    </row>
    <row r="83" spans="1:12" ht="14.25" hidden="1" thickTop="1" thickBot="1" x14ac:dyDescent="0.25">
      <c r="A83" s="539" t="s">
        <v>344</v>
      </c>
      <c r="B83" s="464"/>
      <c r="C83" s="540">
        <f>C82/C81</f>
        <v>0.13642160885971313</v>
      </c>
      <c r="D83" s="540">
        <f t="shared" ref="D83:K83" si="12">D82/D81</f>
        <v>0.23477347552970168</v>
      </c>
      <c r="E83" s="540">
        <f t="shared" si="12"/>
        <v>-6.150704062667353E-3</v>
      </c>
      <c r="F83" s="540">
        <f t="shared" si="12"/>
        <v>0.25751141835627772</v>
      </c>
      <c r="G83" s="540">
        <f t="shared" si="12"/>
        <v>0.33733753194363086</v>
      </c>
      <c r="H83" s="540">
        <f t="shared" si="12"/>
        <v>2.2993588326332082E-2</v>
      </c>
      <c r="I83" s="540">
        <f t="shared" si="12"/>
        <v>-0.25706577413429887</v>
      </c>
      <c r="J83" s="540" t="e">
        <f t="shared" si="12"/>
        <v>#DIV/0!</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1799</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3116189</v>
      </c>
      <c r="D5" s="481">
        <v>622454</v>
      </c>
      <c r="E5" s="466">
        <v>944451</v>
      </c>
      <c r="F5" s="548">
        <v>267139</v>
      </c>
      <c r="G5" s="466">
        <v>267139</v>
      </c>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72136</v>
      </c>
      <c r="D7" s="466"/>
      <c r="E7" s="468"/>
      <c r="F7" s="467"/>
      <c r="G7" s="467"/>
      <c r="H7" s="467"/>
      <c r="I7" s="468"/>
      <c r="J7" s="468"/>
      <c r="K7" s="468"/>
    </row>
    <row r="8" spans="1:12" x14ac:dyDescent="0.2">
      <c r="A8" s="463" t="s">
        <v>413</v>
      </c>
      <c r="B8" s="470">
        <v>1150</v>
      </c>
      <c r="C8" s="475"/>
      <c r="D8" s="475"/>
      <c r="E8" s="477"/>
      <c r="F8" s="477"/>
      <c r="G8" s="481">
        <v>267139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3188325</v>
      </c>
      <c r="D12" s="1707">
        <f t="shared" si="0"/>
        <v>622454</v>
      </c>
      <c r="E12" s="1707">
        <f t="shared" si="0"/>
        <v>944451</v>
      </c>
      <c r="F12" s="1707">
        <f t="shared" si="0"/>
        <v>267139</v>
      </c>
      <c r="G12" s="1707">
        <f t="shared" si="0"/>
        <v>534278</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84761</v>
      </c>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84761</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17905</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17905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f>2392+387830</f>
        <v>390222</v>
      </c>
      <c r="D65" s="466">
        <v>468</v>
      </c>
      <c r="E65" s="466">
        <v>714</v>
      </c>
      <c r="F65" s="467">
        <v>200</v>
      </c>
      <c r="G65" s="466">
        <v>401</v>
      </c>
      <c r="H65" s="466">
        <v>208</v>
      </c>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390222</v>
      </c>
      <c r="D67" s="1688">
        <f t="shared" ref="D67:K67" si="2">SUM(D65:D66)</f>
        <v>468</v>
      </c>
      <c r="E67" s="1688">
        <f t="shared" si="2"/>
        <v>714</v>
      </c>
      <c r="F67" s="1688">
        <f t="shared" si="2"/>
        <v>200</v>
      </c>
      <c r="G67" s="1688">
        <f t="shared" si="2"/>
        <v>401</v>
      </c>
      <c r="H67" s="1688">
        <f t="shared" si="2"/>
        <v>208</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f>551+4034+9930</f>
        <v>14515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14515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2512+4603+2833+6004+1568+5725+3336</f>
        <v>26581</v>
      </c>
      <c r="D77" s="466"/>
      <c r="E77" s="468"/>
      <c r="F77" s="468"/>
      <c r="G77" s="468"/>
      <c r="H77" s="468"/>
      <c r="I77" s="468"/>
      <c r="J77" s="468"/>
      <c r="K77" s="468"/>
    </row>
    <row r="78" spans="1:11" ht="12.75" customHeight="1" x14ac:dyDescent="0.2">
      <c r="A78" s="463" t="s">
        <v>76</v>
      </c>
      <c r="B78" s="470">
        <v>1719</v>
      </c>
      <c r="C78" s="551">
        <f>3649+6414</f>
        <v>10063</v>
      </c>
      <c r="D78" s="466"/>
      <c r="E78" s="468"/>
      <c r="F78" s="468"/>
      <c r="G78" s="468"/>
      <c r="H78" s="468"/>
      <c r="I78" s="468"/>
      <c r="J78" s="468"/>
      <c r="K78" s="468"/>
    </row>
    <row r="79" spans="1:11" ht="12.75" customHeight="1" x14ac:dyDescent="0.2">
      <c r="A79" s="463" t="s">
        <v>550</v>
      </c>
      <c r="B79" s="470">
        <v>1720</v>
      </c>
      <c r="C79" s="551">
        <f>15805+33805</f>
        <v>49610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86254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f>17340+31927+38733</f>
        <v>88000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88000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16027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14737</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f>3181+11480+388</f>
        <v>15049</v>
      </c>
      <c r="D106" s="489"/>
      <c r="E106" s="467"/>
      <c r="F106" s="467"/>
      <c r="G106" s="467"/>
      <c r="H106" s="467"/>
      <c r="I106" s="521"/>
      <c r="J106" s="467"/>
      <c r="K106" s="467"/>
    </row>
    <row r="107" spans="1:12" ht="12.75" customHeight="1" x14ac:dyDescent="0.2">
      <c r="A107" s="463" t="s">
        <v>78</v>
      </c>
      <c r="B107" s="470">
        <v>1999</v>
      </c>
      <c r="C107" s="551">
        <v>58997</v>
      </c>
      <c r="D107" s="466">
        <v>23318</v>
      </c>
      <c r="E107" s="466"/>
      <c r="F107" s="466">
        <v>238</v>
      </c>
      <c r="G107" s="466"/>
      <c r="H107" s="466"/>
      <c r="I107" s="466"/>
      <c r="J107" s="467"/>
      <c r="K107" s="466"/>
    </row>
    <row r="108" spans="1:12" ht="12.75" customHeight="1" thickBot="1" x14ac:dyDescent="0.25">
      <c r="A108" s="1708" t="s">
        <v>487</v>
      </c>
      <c r="B108" s="1712"/>
      <c r="C108" s="1707">
        <f>SUM(C95:C107)</f>
        <v>104810</v>
      </c>
      <c r="D108" s="1707">
        <f t="shared" ref="D108:K108" si="3">SUM(D95:D107)</f>
        <v>23318</v>
      </c>
      <c r="E108" s="1707">
        <f t="shared" si="3"/>
        <v>0</v>
      </c>
      <c r="F108" s="1707">
        <f t="shared" si="3"/>
        <v>238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3890031</v>
      </c>
      <c r="D109" s="1715">
        <f t="shared" si="4"/>
        <v>731001</v>
      </c>
      <c r="E109" s="1715">
        <f t="shared" si="4"/>
        <v>945165</v>
      </c>
      <c r="F109" s="1715">
        <f t="shared" si="4"/>
        <v>267577</v>
      </c>
      <c r="G109" s="1715">
        <f t="shared" si="4"/>
        <v>534679</v>
      </c>
      <c r="H109" s="1715">
        <f t="shared" si="4"/>
        <v>208</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5407537</v>
      </c>
      <c r="D117" s="481">
        <v>577630</v>
      </c>
      <c r="E117" s="466">
        <v>151387</v>
      </c>
      <c r="F117" s="481">
        <v>300000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1"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5407537</v>
      </c>
      <c r="D122" s="1707">
        <f t="shared" si="5"/>
        <v>577630</v>
      </c>
      <c r="E122" s="1707">
        <f t="shared" si="5"/>
        <v>151387</v>
      </c>
      <c r="F122" s="1707">
        <f t="shared" si="5"/>
        <v>300000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86540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155997</v>
      </c>
      <c r="D127" s="466"/>
      <c r="E127" s="468"/>
      <c r="F127" s="466"/>
      <c r="G127" s="468"/>
      <c r="H127" s="468"/>
      <c r="I127" s="468"/>
      <c r="J127" s="468"/>
      <c r="K127" s="468"/>
    </row>
    <row r="128" spans="1:11" ht="12.75" customHeight="1" x14ac:dyDescent="0.2">
      <c r="A128" s="463" t="s">
        <v>105</v>
      </c>
      <c r="B128" s="562">
        <v>3120</v>
      </c>
      <c r="C128" s="466">
        <v>25244</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267781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15213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17344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158709</v>
      </c>
      <c r="G152" s="467"/>
      <c r="H152" s="468"/>
      <c r="I152" s="468"/>
      <c r="J152" s="468"/>
      <c r="K152" s="468"/>
    </row>
    <row r="153" spans="1:11" ht="12.75" customHeight="1" x14ac:dyDescent="0.2">
      <c r="A153" s="463" t="s">
        <v>1057</v>
      </c>
      <c r="B153" s="562">
        <v>3510</v>
      </c>
      <c r="C153" s="551"/>
      <c r="D153" s="466"/>
      <c r="E153" s="561"/>
      <c r="F153" s="466">
        <v>155231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313940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463353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21903</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785594</v>
      </c>
      <c r="D169" s="1722">
        <f t="shared" si="6"/>
        <v>0</v>
      </c>
      <c r="E169" s="1722">
        <f t="shared" si="6"/>
        <v>0</v>
      </c>
      <c r="F169" s="1722">
        <f t="shared" si="6"/>
        <v>313940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6193131</v>
      </c>
      <c r="D170" s="1715">
        <f t="shared" si="7"/>
        <v>577630</v>
      </c>
      <c r="E170" s="1715">
        <f t="shared" si="7"/>
        <v>151387</v>
      </c>
      <c r="F170" s="1715">
        <f t="shared" si="7"/>
        <v>613940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1800</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538840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254042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12847</v>
      </c>
      <c r="D197" s="468"/>
      <c r="E197" s="561"/>
      <c r="F197" s="468"/>
      <c r="G197" s="585"/>
      <c r="H197" s="468"/>
      <c r="I197" s="468"/>
      <c r="J197" s="468"/>
      <c r="K197" s="468"/>
    </row>
    <row r="198" spans="1:11" ht="12.75" customHeight="1" thickBot="1" x14ac:dyDescent="0.25">
      <c r="A198" s="1708" t="s">
        <v>548</v>
      </c>
      <c r="B198" s="1709"/>
      <c r="C198" s="1688">
        <f>SUM(C190:C197)</f>
        <v>805729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337217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60597</v>
      </c>
      <c r="D203" s="466"/>
      <c r="E203" s="468"/>
      <c r="F203" s="466"/>
      <c r="G203" s="466"/>
      <c r="H203" s="468"/>
      <c r="I203" s="468"/>
      <c r="J203" s="468"/>
      <c r="K203" s="468"/>
    </row>
    <row r="204" spans="1:11" ht="12.75" customHeight="1" thickBot="1" x14ac:dyDescent="0.25">
      <c r="A204" s="1708" t="s">
        <v>400</v>
      </c>
      <c r="B204" s="1709"/>
      <c r="C204" s="1707">
        <f>SUM(C200:C203)</f>
        <v>397814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5237</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60366</v>
      </c>
      <c r="D213" s="466"/>
      <c r="E213" s="468"/>
      <c r="F213" s="466"/>
      <c r="G213" s="466"/>
      <c r="H213" s="468"/>
      <c r="I213" s="468"/>
      <c r="J213" s="468"/>
      <c r="K213" s="468"/>
    </row>
    <row r="214" spans="1:11" ht="12.75" customHeight="1" x14ac:dyDescent="0.2">
      <c r="A214" s="463" t="s">
        <v>1054</v>
      </c>
      <c r="B214" s="470">
        <v>4625</v>
      </c>
      <c r="C214" s="551">
        <v>113284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178887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55409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1932</v>
      </c>
      <c r="B261" s="470">
        <v>4981</v>
      </c>
      <c r="C261" s="575"/>
      <c r="D261" s="576"/>
      <c r="E261" s="468"/>
      <c r="F261" s="576"/>
      <c r="G261" s="576"/>
      <c r="H261" s="468"/>
      <c r="I261" s="468"/>
      <c r="J261" s="468"/>
      <c r="K261" s="468"/>
    </row>
    <row r="262" spans="1:11" ht="12.75" customHeight="1" thickTop="1" thickBot="1" x14ac:dyDescent="0.25">
      <c r="A262" s="1932"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14114</v>
      </c>
      <c r="D263" s="576"/>
      <c r="E263" s="468"/>
      <c r="F263" s="576"/>
      <c r="G263" s="576"/>
      <c r="H263" s="468"/>
      <c r="I263" s="468"/>
      <c r="J263" s="468"/>
      <c r="K263" s="468"/>
    </row>
    <row r="264" spans="1:11" ht="12.75" customHeight="1" thickTop="1" thickBot="1" x14ac:dyDescent="0.25">
      <c r="A264" s="463" t="s">
        <v>377</v>
      </c>
      <c r="B264" s="470">
        <v>4992</v>
      </c>
      <c r="C264" s="575">
        <v>174398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1626351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1626351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11709513</v>
      </c>
      <c r="D268" s="1715">
        <f t="shared" si="12"/>
        <v>1308631</v>
      </c>
      <c r="E268" s="1715">
        <f t="shared" si="12"/>
        <v>1096552</v>
      </c>
      <c r="F268" s="1715">
        <f t="shared" si="12"/>
        <v>881517</v>
      </c>
      <c r="G268" s="1715">
        <f t="shared" si="12"/>
        <v>534679</v>
      </c>
      <c r="H268" s="1715">
        <f t="shared" si="12"/>
        <v>208</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7" activePane="bottomLeft" state="frozen"/>
      <selection pane="bottomLeft" activeCell="D289" sqref="D28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231345+225202+164117+163388+201339+60669+41181+72386+188159+52472+40299+81082+172207+195578+252561+249402+166570+22920+24360+47292+14325+18122+156089+185276+189743+118104+58263+110426+19618+20847+41727+1740+17070+24860-6</f>
        <v>3628733</v>
      </c>
      <c r="D5" s="466">
        <f>795+3481+3374+2604+2549+3056+913+632+1078+21365+859+4604+17501+17501+9115+13490+8933+4375+4375+4375+4375+4011+4375+43+61+50+58+56+14+14+14+50+13+14+2640+296+2636+2970+3827+3735+2508+326+346+725+11+310+12579+9115+15313+8386+13126+2370+2370+4011+1823+58+64+74+82+43+8+8+14+6+1440+324+2412+2867+2925+1847+877+1675+326+346+631+26+10209+11667+8021+4011+4375+2005+2005+4375+18+52+57+46+49+18+32+7+7+14+480</f>
        <v>291047</v>
      </c>
      <c r="E5" s="466">
        <f>13535+19012+5650+2160+956+100+975+285+1085+125544+15618+91174</f>
        <v>276094</v>
      </c>
      <c r="F5" s="466">
        <f>70536+5240+5410+1758+435+1689+724+502+399+220+561+34923+5240+3786+54947+16110+4824+1462+2955+1086+4561+577+53+2094+1455+2617+1941+1674+1875+5240+2125+2317+384+4511+14+120+1692+608+3659+2119+10516+74858+6564</f>
        <v>344381</v>
      </c>
      <c r="G5" s="466">
        <f>849+2547+20769</f>
        <v>24165</v>
      </c>
      <c r="H5" s="466">
        <f>200+250+779</f>
        <v>1229</v>
      </c>
      <c r="I5" s="467"/>
      <c r="J5" s="467"/>
      <c r="K5" s="1671">
        <f>SUM(C5:J5)</f>
        <v>4565649</v>
      </c>
      <c r="L5" s="466">
        <v>4753094</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f>171615+47931</f>
        <v>219546</v>
      </c>
      <c r="D7" s="467">
        <f>2596+10209+103</f>
        <v>12908</v>
      </c>
      <c r="E7" s="467">
        <v>4340</v>
      </c>
      <c r="F7" s="467">
        <v>26292</v>
      </c>
      <c r="G7" s="467">
        <v>3476</v>
      </c>
      <c r="H7" s="467"/>
      <c r="I7" s="467"/>
      <c r="J7" s="467"/>
      <c r="K7" s="1671">
        <f t="shared" ref="K7:K32" si="0">SUM(C7:J7)</f>
        <v>266562</v>
      </c>
      <c r="L7" s="466">
        <v>264203</v>
      </c>
    </row>
    <row r="8" spans="1:14" x14ac:dyDescent="0.2">
      <c r="A8" s="1504" t="s">
        <v>164</v>
      </c>
      <c r="B8" s="614">
        <v>1200</v>
      </c>
      <c r="C8" s="466">
        <f>585071+178233+61131+27470+214415+1851+68605+212032+42659</f>
        <v>1391467</v>
      </c>
      <c r="D8" s="466">
        <f>8940+63622+392+3229+20296+121+3191+18048+79</f>
        <v>117918</v>
      </c>
      <c r="E8" s="466">
        <f>295+22</f>
        <v>317</v>
      </c>
      <c r="F8" s="466">
        <f>430+1981+3110</f>
        <v>5521</v>
      </c>
      <c r="G8" s="466"/>
      <c r="H8" s="466"/>
      <c r="I8" s="467"/>
      <c r="J8" s="467"/>
      <c r="K8" s="1671">
        <f t="shared" si="0"/>
        <v>1515223</v>
      </c>
      <c r="L8" s="466">
        <v>1507344</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1039</v>
      </c>
      <c r="D10" s="466">
        <v>16</v>
      </c>
      <c r="E10" s="466"/>
      <c r="F10" s="466"/>
      <c r="G10" s="466"/>
      <c r="H10" s="466"/>
      <c r="I10" s="467"/>
      <c r="J10" s="467"/>
      <c r="K10" s="1671">
        <f t="shared" si="0"/>
        <v>1055</v>
      </c>
      <c r="L10" s="466">
        <v>915</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25304</v>
      </c>
      <c r="D13" s="466">
        <v>369</v>
      </c>
      <c r="E13" s="466"/>
      <c r="F13" s="466"/>
      <c r="G13" s="466"/>
      <c r="H13" s="466"/>
      <c r="I13" s="467"/>
      <c r="J13" s="467"/>
      <c r="K13" s="1671">
        <f t="shared" si="0"/>
        <v>25673</v>
      </c>
      <c r="L13" s="466">
        <v>26396</v>
      </c>
    </row>
    <row r="14" spans="1:14" x14ac:dyDescent="0.2">
      <c r="A14" s="1504" t="s">
        <v>963</v>
      </c>
      <c r="B14" s="614">
        <v>1500</v>
      </c>
      <c r="C14" s="466">
        <f>596+570+1781+1010+2088+4236+1549+4397+4518+4397+2271+1212+1671+1329+2828+1899+3821+1329+6992+3030+11429+4726+8695+3227+8292+6341+3721+6618+3769+3341+2504+1818+1899+63000+27242+2306+2461</f>
        <v>212913</v>
      </c>
      <c r="D14" s="466">
        <f>8+9+12+15+31+64+23+59+25+18+25+20+28+50+20+105+45+136+49+95+124+60+35+99+57+50+38+945+2+2+5469+36</f>
        <v>7754</v>
      </c>
      <c r="E14" s="466">
        <f>200+120+1300+1115+1020+1500+440+150+437+360+2300+840+840+3288+1900+1480+1300+1200+410+3194+1810+200+323+1437</f>
        <v>27164</v>
      </c>
      <c r="F14" s="466">
        <f>117+200+76+54+284+4703+1556+656+58+176+198+43+200+106+198+284+4610</f>
        <v>13519</v>
      </c>
      <c r="G14" s="466"/>
      <c r="H14" s="466">
        <f>685+60+2515+785+67+8018</f>
        <v>12130</v>
      </c>
      <c r="I14" s="467"/>
      <c r="J14" s="467"/>
      <c r="K14" s="1671">
        <f t="shared" si="0"/>
        <v>273480</v>
      </c>
      <c r="L14" s="466">
        <v>295982</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v>59027</v>
      </c>
      <c r="D17" s="467">
        <f>888+18</f>
        <v>906</v>
      </c>
      <c r="E17" s="467">
        <v>1886</v>
      </c>
      <c r="F17" s="467">
        <f>246+1177</f>
        <v>1423</v>
      </c>
      <c r="G17" s="467"/>
      <c r="H17" s="467"/>
      <c r="I17" s="467"/>
      <c r="J17" s="467"/>
      <c r="K17" s="1671">
        <f t="shared" si="0"/>
        <v>63242</v>
      </c>
      <c r="L17" s="466">
        <v>66526</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5538029</v>
      </c>
      <c r="D33" s="1670">
        <f t="shared" ref="D33:L33" si="1">SUM(D5:D32)</f>
        <v>430918</v>
      </c>
      <c r="E33" s="1670">
        <f t="shared" si="1"/>
        <v>309801</v>
      </c>
      <c r="F33" s="1670">
        <f t="shared" si="1"/>
        <v>391136</v>
      </c>
      <c r="G33" s="1670">
        <f t="shared" si="1"/>
        <v>27641</v>
      </c>
      <c r="H33" s="1670">
        <f t="shared" si="1"/>
        <v>13359</v>
      </c>
      <c r="I33" s="1670">
        <f t="shared" si="1"/>
        <v>0</v>
      </c>
      <c r="J33" s="1670">
        <f t="shared" si="1"/>
        <v>0</v>
      </c>
      <c r="K33" s="1670">
        <f t="shared" si="1"/>
        <v>6710884</v>
      </c>
      <c r="L33" s="1670">
        <f t="shared" si="1"/>
        <v>6914460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f>61742+71765+154472</f>
        <v>287979</v>
      </c>
      <c r="D37" s="466">
        <f>930+18+1075+4375+14+2333+8750+29</f>
        <v>17524</v>
      </c>
      <c r="E37" s="466">
        <f>41+322</f>
        <v>363</v>
      </c>
      <c r="F37" s="466">
        <f>100+124</f>
        <v>224</v>
      </c>
      <c r="G37" s="466"/>
      <c r="H37" s="466"/>
      <c r="I37" s="467"/>
      <c r="J37" s="467"/>
      <c r="K37" s="1671">
        <f t="shared" si="2"/>
        <v>306090</v>
      </c>
      <c r="L37" s="466">
        <v>307928</v>
      </c>
    </row>
    <row r="38" spans="1:14" x14ac:dyDescent="0.2">
      <c r="A38" s="1504" t="s">
        <v>198</v>
      </c>
      <c r="B38" s="614">
        <v>2130</v>
      </c>
      <c r="C38" s="466">
        <v>83404</v>
      </c>
      <c r="D38" s="466">
        <f>8750+29</f>
        <v>8779</v>
      </c>
      <c r="E38" s="466">
        <f>7091+150</f>
        <v>7241</v>
      </c>
      <c r="F38" s="466">
        <v>3073</v>
      </c>
      <c r="G38" s="466">
        <v>999</v>
      </c>
      <c r="H38" s="466"/>
      <c r="I38" s="467"/>
      <c r="J38" s="467"/>
      <c r="K38" s="1671">
        <f t="shared" si="2"/>
        <v>103496</v>
      </c>
      <c r="L38" s="466">
        <v>104086</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371383</v>
      </c>
      <c r="D42" s="1670">
        <f t="shared" ref="D42:L42" si="3">SUM(D36:D41)</f>
        <v>26303</v>
      </c>
      <c r="E42" s="1670">
        <f t="shared" si="3"/>
        <v>7604</v>
      </c>
      <c r="F42" s="1670">
        <f t="shared" si="3"/>
        <v>3297</v>
      </c>
      <c r="G42" s="1670">
        <f t="shared" si="3"/>
        <v>999</v>
      </c>
      <c r="H42" s="1670">
        <f t="shared" si="3"/>
        <v>0</v>
      </c>
      <c r="I42" s="1670">
        <f t="shared" si="3"/>
        <v>0</v>
      </c>
      <c r="J42" s="1670">
        <f t="shared" si="3"/>
        <v>0</v>
      </c>
      <c r="K42" s="1670">
        <f t="shared" si="3"/>
        <v>409586</v>
      </c>
      <c r="L42" s="1670">
        <f t="shared" si="3"/>
        <v>412014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f>1515+5744</f>
        <v>7259</v>
      </c>
      <c r="D44" s="481">
        <f>172+515</f>
        <v>687</v>
      </c>
      <c r="E44" s="481">
        <f>4850+375+8116+1086</f>
        <v>14427</v>
      </c>
      <c r="F44" s="481"/>
      <c r="G44" s="481"/>
      <c r="H44" s="481"/>
      <c r="I44" s="467"/>
      <c r="J44" s="467"/>
      <c r="K44" s="1672">
        <f>SUM(C44:J44)</f>
        <v>22373</v>
      </c>
      <c r="L44" s="481">
        <v>60250</v>
      </c>
    </row>
    <row r="45" spans="1:14" x14ac:dyDescent="0.2">
      <c r="A45" s="1504" t="s">
        <v>815</v>
      </c>
      <c r="B45" s="614">
        <v>2220</v>
      </c>
      <c r="C45" s="466">
        <v>67164</v>
      </c>
      <c r="D45" s="466">
        <f>1012+4375+14</f>
        <v>5401</v>
      </c>
      <c r="E45" s="466">
        <v>150</v>
      </c>
      <c r="F45" s="466">
        <f>789+2058+498+999+897+898+1199+105+247+663+23</f>
        <v>8376</v>
      </c>
      <c r="G45" s="466"/>
      <c r="H45" s="466">
        <v>3965</v>
      </c>
      <c r="I45" s="467"/>
      <c r="J45" s="467"/>
      <c r="K45" s="1672">
        <f>SUM(C45:J45)</f>
        <v>85056</v>
      </c>
      <c r="L45" s="466">
        <v>88123</v>
      </c>
    </row>
    <row r="46" spans="1:14" x14ac:dyDescent="0.2">
      <c r="A46" s="1504" t="s">
        <v>816</v>
      </c>
      <c r="B46" s="614">
        <v>2230</v>
      </c>
      <c r="C46" s="466"/>
      <c r="D46" s="466"/>
      <c r="E46" s="466">
        <f>798+7484</f>
        <v>8282</v>
      </c>
      <c r="F46" s="466"/>
      <c r="G46" s="466"/>
      <c r="H46" s="466"/>
      <c r="I46" s="467"/>
      <c r="J46" s="467"/>
      <c r="K46" s="1672">
        <f>SUM(C46:J46)</f>
        <v>8282</v>
      </c>
      <c r="L46" s="466">
        <v>4874</v>
      </c>
    </row>
    <row r="47" spans="1:14" ht="12.75" customHeight="1" thickBot="1" x14ac:dyDescent="0.25">
      <c r="A47" s="1668" t="s">
        <v>561</v>
      </c>
      <c r="B47" s="1669" t="s">
        <v>32</v>
      </c>
      <c r="C47" s="1670">
        <f>SUM(C44:C46)</f>
        <v>74423</v>
      </c>
      <c r="D47" s="1670">
        <f t="shared" ref="D47:K47" si="4">SUM(D44:D46)</f>
        <v>6088</v>
      </c>
      <c r="E47" s="1670">
        <f t="shared" si="4"/>
        <v>22859</v>
      </c>
      <c r="F47" s="1670">
        <f t="shared" si="4"/>
        <v>8376</v>
      </c>
      <c r="G47" s="1670">
        <f t="shared" si="4"/>
        <v>0</v>
      </c>
      <c r="H47" s="1670">
        <f t="shared" si="4"/>
        <v>3965</v>
      </c>
      <c r="I47" s="1670">
        <f t="shared" si="4"/>
        <v>0</v>
      </c>
      <c r="J47" s="1670">
        <f t="shared" si="4"/>
        <v>0</v>
      </c>
      <c r="K47" s="1670">
        <f t="shared" si="4"/>
        <v>115711</v>
      </c>
      <c r="L47" s="1670">
        <f>SUM(L44:L46)</f>
        <v>153247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7856</v>
      </c>
      <c r="D49" s="481">
        <v>48335</v>
      </c>
      <c r="E49" s="481">
        <f>13549+15570+12133+1346+3866+42704+1553+7446</f>
        <v>98167</v>
      </c>
      <c r="F49" s="481"/>
      <c r="G49" s="481"/>
      <c r="H49" s="481">
        <v>4365</v>
      </c>
      <c r="I49" s="467"/>
      <c r="J49" s="467"/>
      <c r="K49" s="1672">
        <f>SUM(C49:J49)</f>
        <v>158723</v>
      </c>
      <c r="L49" s="481">
        <v>188774</v>
      </c>
    </row>
    <row r="50" spans="1:14" x14ac:dyDescent="0.2">
      <c r="A50" s="1504" t="s">
        <v>818</v>
      </c>
      <c r="B50" s="614">
        <v>2320</v>
      </c>
      <c r="C50" s="466">
        <f>14235+116979+45161</f>
        <v>176375</v>
      </c>
      <c r="D50" s="466">
        <f>92+7+1755+11958+5469+36+9690</f>
        <v>29007</v>
      </c>
      <c r="E50" s="466">
        <f>14409+1254+4979+722</f>
        <v>21364</v>
      </c>
      <c r="F50" s="466">
        <f>2475+555</f>
        <v>3030</v>
      </c>
      <c r="G50" s="466"/>
      <c r="H50" s="466">
        <v>764</v>
      </c>
      <c r="I50" s="467"/>
      <c r="J50" s="467"/>
      <c r="K50" s="1672">
        <f>SUM(C50:J50)</f>
        <v>230540</v>
      </c>
      <c r="L50" s="466">
        <v>237791</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184231</v>
      </c>
      <c r="D53" s="1670">
        <f t="shared" ref="D53:L53" si="5">SUM(D49:D52)</f>
        <v>77342</v>
      </c>
      <c r="E53" s="1670">
        <f t="shared" si="5"/>
        <v>119531</v>
      </c>
      <c r="F53" s="1670">
        <f t="shared" si="5"/>
        <v>3030</v>
      </c>
      <c r="G53" s="1670">
        <f t="shared" si="5"/>
        <v>0</v>
      </c>
      <c r="H53" s="1670">
        <f t="shared" si="5"/>
        <v>5129</v>
      </c>
      <c r="I53" s="1670">
        <f t="shared" si="5"/>
        <v>0</v>
      </c>
      <c r="J53" s="1670">
        <f t="shared" si="5"/>
        <v>0</v>
      </c>
      <c r="K53" s="1670">
        <f t="shared" si="5"/>
        <v>389263</v>
      </c>
      <c r="L53" s="1670">
        <f t="shared" si="5"/>
        <v>426565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146476+36079+154868+39522+174151+56642</f>
        <v>607738</v>
      </c>
      <c r="D55" s="481">
        <f>2197+10938+65+2323+17866+62+2612+15313+68</f>
        <v>51444</v>
      </c>
      <c r="E55" s="481">
        <f>90+868+56+510+924+297+208</f>
        <v>2953</v>
      </c>
      <c r="F55" s="481">
        <f>1205+623+911+2818</f>
        <v>5557</v>
      </c>
      <c r="G55" s="481">
        <v>2655</v>
      </c>
      <c r="H55" s="481">
        <f>646+985+780</f>
        <v>2411</v>
      </c>
      <c r="I55" s="467"/>
      <c r="J55" s="467"/>
      <c r="K55" s="1672">
        <f>SUM(C55:J55)</f>
        <v>672758</v>
      </c>
      <c r="L55" s="481">
        <v>682281</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607738</v>
      </c>
      <c r="D57" s="1674">
        <f t="shared" ref="D57:K57" si="6">SUM(D55:D56)</f>
        <v>51444</v>
      </c>
      <c r="E57" s="1674">
        <f t="shared" si="6"/>
        <v>2953</v>
      </c>
      <c r="F57" s="1674">
        <f t="shared" si="6"/>
        <v>5557</v>
      </c>
      <c r="G57" s="1674">
        <f t="shared" si="6"/>
        <v>2655</v>
      </c>
      <c r="H57" s="1674">
        <f t="shared" si="6"/>
        <v>2411</v>
      </c>
      <c r="I57" s="1674">
        <f t="shared" si="6"/>
        <v>0</v>
      </c>
      <c r="J57" s="1674">
        <f t="shared" si="6"/>
        <v>0</v>
      </c>
      <c r="K57" s="1674">
        <f t="shared" si="6"/>
        <v>672758</v>
      </c>
      <c r="L57" s="1670">
        <f>SUM(L55:L56)</f>
        <v>682281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f>78707+30062</f>
        <v>108769</v>
      </c>
      <c r="D60" s="466">
        <f>1181+16796+36</f>
        <v>18013</v>
      </c>
      <c r="E60" s="466"/>
      <c r="F60" s="466">
        <v>536</v>
      </c>
      <c r="G60" s="466"/>
      <c r="H60" s="466">
        <v>374</v>
      </c>
      <c r="I60" s="467"/>
      <c r="J60" s="467"/>
      <c r="K60" s="1672">
        <f t="shared" si="7"/>
        <v>127692</v>
      </c>
      <c r="L60" s="466">
        <v>134020</v>
      </c>
      <c r="M60" s="609"/>
      <c r="N60" s="609"/>
    </row>
    <row r="61" spans="1:14" s="343" customFormat="1" x14ac:dyDescent="0.2">
      <c r="A61" s="1504" t="s">
        <v>197</v>
      </c>
      <c r="B61" s="614">
        <v>2540</v>
      </c>
      <c r="C61" s="466">
        <v>18905</v>
      </c>
      <c r="D61" s="466">
        <f>963+3</f>
        <v>966</v>
      </c>
      <c r="E61" s="466"/>
      <c r="F61" s="466">
        <v>3443</v>
      </c>
      <c r="G61" s="466">
        <v>13618</v>
      </c>
      <c r="H61" s="466"/>
      <c r="I61" s="467"/>
      <c r="J61" s="467"/>
      <c r="K61" s="1672">
        <f t="shared" si="7"/>
        <v>36932</v>
      </c>
      <c r="L61" s="466">
        <v>45940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f>15459+1280+25769</f>
        <v>42508</v>
      </c>
      <c r="D63" s="466">
        <f>4922+16+19+18</f>
        <v>4975</v>
      </c>
      <c r="E63" s="466">
        <f>292620+1422+267+222293+1422+267+161590+1422+267</f>
        <v>681570</v>
      </c>
      <c r="F63" s="466">
        <f>5015+133</f>
        <v>5148</v>
      </c>
      <c r="G63" s="466">
        <v>12847</v>
      </c>
      <c r="H63" s="466"/>
      <c r="I63" s="467"/>
      <c r="J63" s="467"/>
      <c r="K63" s="1672">
        <f t="shared" si="7"/>
        <v>747048</v>
      </c>
      <c r="L63" s="466">
        <v>767994</v>
      </c>
    </row>
    <row r="64" spans="1:14" s="609" customFormat="1" x14ac:dyDescent="0.2">
      <c r="A64" s="1509" t="s">
        <v>101</v>
      </c>
      <c r="B64" s="630">
        <v>2570</v>
      </c>
      <c r="C64" s="481">
        <v>1660</v>
      </c>
      <c r="D64" s="481"/>
      <c r="E64" s="481"/>
      <c r="F64" s="481"/>
      <c r="G64" s="481"/>
      <c r="H64" s="481"/>
      <c r="I64" s="467"/>
      <c r="J64" s="467"/>
      <c r="K64" s="1672">
        <f t="shared" si="7"/>
        <v>1660</v>
      </c>
      <c r="L64" s="481">
        <v>2000</v>
      </c>
    </row>
    <row r="65" spans="1:14" s="343" customFormat="1" ht="12.75" customHeight="1" thickBot="1" x14ac:dyDescent="0.25">
      <c r="A65" s="1668" t="s">
        <v>719</v>
      </c>
      <c r="B65" s="1669" t="s">
        <v>35</v>
      </c>
      <c r="C65" s="1670">
        <f>SUM(C59:C64)</f>
        <v>171842</v>
      </c>
      <c r="D65" s="1670">
        <f t="shared" ref="D65:L65" si="8">SUM(D59:D64)</f>
        <v>23954</v>
      </c>
      <c r="E65" s="1670">
        <f t="shared" si="8"/>
        <v>681570</v>
      </c>
      <c r="F65" s="1670">
        <f t="shared" si="8"/>
        <v>9127</v>
      </c>
      <c r="G65" s="1670">
        <f t="shared" si="8"/>
        <v>26465</v>
      </c>
      <c r="H65" s="1670">
        <f t="shared" si="8"/>
        <v>374</v>
      </c>
      <c r="I65" s="1670">
        <f t="shared" si="8"/>
        <v>0</v>
      </c>
      <c r="J65" s="1670">
        <f t="shared" si="8"/>
        <v>0</v>
      </c>
      <c r="K65" s="1670">
        <f t="shared" si="8"/>
        <v>913332</v>
      </c>
      <c r="L65" s="1670">
        <f t="shared" si="8"/>
        <v>949954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v>1167</v>
      </c>
      <c r="F70" s="466"/>
      <c r="G70" s="466"/>
      <c r="H70" s="466"/>
      <c r="I70" s="467"/>
      <c r="J70" s="467"/>
      <c r="K70" s="1672">
        <f>SUM(C70:J70)</f>
        <v>1167</v>
      </c>
      <c r="L70" s="466">
        <v>2500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1167</v>
      </c>
      <c r="F72" s="1670">
        <f t="shared" si="9"/>
        <v>0</v>
      </c>
      <c r="G72" s="1670">
        <f t="shared" si="9"/>
        <v>0</v>
      </c>
      <c r="H72" s="1670">
        <f t="shared" si="9"/>
        <v>0</v>
      </c>
      <c r="I72" s="1670">
        <f t="shared" si="9"/>
        <v>0</v>
      </c>
      <c r="J72" s="1670">
        <f t="shared" si="9"/>
        <v>0</v>
      </c>
      <c r="K72" s="1670">
        <f t="shared" si="9"/>
        <v>1167</v>
      </c>
      <c r="L72" s="1670">
        <f>SUM(L67:L71)</f>
        <v>2500</v>
      </c>
      <c r="M72" s="609"/>
      <c r="N72" s="609"/>
    </row>
    <row r="73" spans="1:14" s="343" customFormat="1" ht="14.25" thickTop="1" thickBot="1" x14ac:dyDescent="0.25">
      <c r="A73" s="1510" t="s">
        <v>980</v>
      </c>
      <c r="B73" s="632" t="s">
        <v>574</v>
      </c>
      <c r="C73" s="573">
        <f>18374+7952</f>
        <v>26326</v>
      </c>
      <c r="D73" s="573"/>
      <c r="E73" s="573"/>
      <c r="F73" s="573"/>
      <c r="G73" s="573"/>
      <c r="H73" s="573"/>
      <c r="I73" s="531"/>
      <c r="J73" s="531"/>
      <c r="K73" s="1670">
        <f>SUM(C73:J73)</f>
        <v>26326</v>
      </c>
      <c r="L73" s="576">
        <v>28000</v>
      </c>
      <c r="M73" s="609"/>
      <c r="N73" s="609"/>
    </row>
    <row r="74" spans="1:14" ht="12.75" customHeight="1" thickTop="1" thickBot="1" x14ac:dyDescent="0.25">
      <c r="A74" s="1668" t="s">
        <v>811</v>
      </c>
      <c r="B74" s="1676">
        <v>2000</v>
      </c>
      <c r="C74" s="1677">
        <f>SUM(C42,C47,C53,C57,C65,C72,C73)</f>
        <v>1435943</v>
      </c>
      <c r="D74" s="1677">
        <f t="shared" ref="D74:K74" si="10">SUM(D42,D47,D53,D57,D65,D72,D73)</f>
        <v>185131</v>
      </c>
      <c r="E74" s="1677">
        <f t="shared" si="10"/>
        <v>835684</v>
      </c>
      <c r="F74" s="1677">
        <f t="shared" si="10"/>
        <v>29387</v>
      </c>
      <c r="G74" s="1677">
        <f t="shared" si="10"/>
        <v>30119</v>
      </c>
      <c r="H74" s="1677">
        <f t="shared" si="10"/>
        <v>11879</v>
      </c>
      <c r="I74" s="1677">
        <f t="shared" si="10"/>
        <v>0</v>
      </c>
      <c r="J74" s="1677">
        <f t="shared" si="10"/>
        <v>0</v>
      </c>
      <c r="K74" s="1677">
        <f t="shared" si="10"/>
        <v>2528143</v>
      </c>
      <c r="L74" s="1677">
        <f>SUM(L42,L47,L53,L57,L65,L72,L73)</f>
        <v>2654561</v>
      </c>
    </row>
    <row r="75" spans="1:14" s="259" customFormat="1" ht="15.75" customHeight="1" thickTop="1" thickBot="1" x14ac:dyDescent="0.25">
      <c r="A75" s="1610" t="s">
        <v>47</v>
      </c>
      <c r="B75" s="1611" t="s">
        <v>575</v>
      </c>
      <c r="C75" s="573">
        <v>39151</v>
      </c>
      <c r="D75" s="573">
        <v>15</v>
      </c>
      <c r="E75" s="573">
        <v>1741</v>
      </c>
      <c r="F75" s="573">
        <v>5123</v>
      </c>
      <c r="G75" s="573"/>
      <c r="H75" s="573"/>
      <c r="I75" s="531"/>
      <c r="J75" s="531"/>
      <c r="K75" s="1670">
        <f>SUM(C75:J75)</f>
        <v>46030</v>
      </c>
      <c r="L75" s="576">
        <v>45410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37641</v>
      </c>
      <c r="F78" s="616"/>
      <c r="G78" s="616"/>
      <c r="H78" s="634"/>
      <c r="I78" s="477"/>
      <c r="J78" s="477"/>
      <c r="K78" s="1671">
        <f t="shared" ref="K78:K83" si="11">SUM(C78:J78)</f>
        <v>37641</v>
      </c>
      <c r="L78" s="481">
        <v>50000</v>
      </c>
    </row>
    <row r="79" spans="1:14" x14ac:dyDescent="0.2">
      <c r="A79" s="1504" t="s">
        <v>304</v>
      </c>
      <c r="B79" s="614">
        <v>4120</v>
      </c>
      <c r="C79" s="616"/>
      <c r="D79" s="616"/>
      <c r="E79" s="466">
        <f>83495+972245</f>
        <v>1055740</v>
      </c>
      <c r="F79" s="616"/>
      <c r="G79" s="616"/>
      <c r="H79" s="466"/>
      <c r="I79" s="477"/>
      <c r="J79" s="477"/>
      <c r="K79" s="1671">
        <f t="shared" si="11"/>
        <v>1055740</v>
      </c>
      <c r="L79" s="466">
        <v>1066000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f>103934+724</f>
        <v>104658</v>
      </c>
      <c r="F81" s="616"/>
      <c r="G81" s="616"/>
      <c r="H81" s="466"/>
      <c r="I81" s="477"/>
      <c r="J81" s="477"/>
      <c r="K81" s="1671">
        <f t="shared" si="11"/>
        <v>104658</v>
      </c>
      <c r="L81" s="466">
        <v>106400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v>22000</v>
      </c>
      <c r="F83" s="616"/>
      <c r="G83" s="616"/>
      <c r="H83" s="466"/>
      <c r="I83" s="477"/>
      <c r="J83" s="477"/>
      <c r="K83" s="1671">
        <f t="shared" si="11"/>
        <v>22000</v>
      </c>
      <c r="L83" s="466">
        <v>22000</v>
      </c>
    </row>
    <row r="84" spans="1:12" ht="13.5" thickBot="1" x14ac:dyDescent="0.25">
      <c r="A84" s="1668" t="s">
        <v>1485</v>
      </c>
      <c r="B84" s="1678">
        <v>4100</v>
      </c>
      <c r="C84" s="616"/>
      <c r="D84" s="616"/>
      <c r="E84" s="1670">
        <f>SUM(E78:E83)</f>
        <v>1220039</v>
      </c>
      <c r="F84" s="616"/>
      <c r="G84" s="616"/>
      <c r="H84" s="1670">
        <f>SUM(H78:H83)</f>
        <v>0</v>
      </c>
      <c r="I84" s="477"/>
      <c r="J84" s="477"/>
      <c r="K84" s="1670">
        <f>SUM(K78:K83)</f>
        <v>1220039</v>
      </c>
      <c r="L84" s="1670">
        <f>SUM(L78:L83)</f>
        <v>1244400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1220039</v>
      </c>
      <c r="F102" s="616"/>
      <c r="G102" s="616"/>
      <c r="H102" s="1677">
        <f>SUM(H84,H92,H100,H101)</f>
        <v>0</v>
      </c>
      <c r="I102" s="477"/>
      <c r="J102" s="477"/>
      <c r="K102" s="1677">
        <f>SUM(K84,K92,K100,K101)</f>
        <v>1220039</v>
      </c>
      <c r="L102" s="1677">
        <f>SUM(L84,L92,L100,L101)</f>
        <v>1244400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6500</v>
      </c>
      <c r="M113" s="613"/>
      <c r="N113" s="613"/>
    </row>
    <row r="114" spans="1:14" ht="12.75" customHeight="1" thickTop="1" thickBot="1" x14ac:dyDescent="0.25">
      <c r="A114" s="1668" t="s">
        <v>48</v>
      </c>
      <c r="B114" s="1682"/>
      <c r="C114" s="1670">
        <f>SUM(C33,C74,C75,C102,C112,C113)</f>
        <v>7013123</v>
      </c>
      <c r="D114" s="1670">
        <f t="shared" ref="D114:K114" si="13">SUM(D33,D74,D75,D102,D112,D113)</f>
        <v>616064</v>
      </c>
      <c r="E114" s="1670">
        <f t="shared" si="13"/>
        <v>2367265</v>
      </c>
      <c r="F114" s="1670">
        <f t="shared" si="13"/>
        <v>425646</v>
      </c>
      <c r="G114" s="1670">
        <f t="shared" si="13"/>
        <v>57760</v>
      </c>
      <c r="H114" s="1670">
        <f>SUM(H33,H74,H75,H102,H112,H113)</f>
        <v>25238</v>
      </c>
      <c r="I114" s="1670">
        <f t="shared" si="13"/>
        <v>0</v>
      </c>
      <c r="J114" s="1670">
        <f t="shared" si="13"/>
        <v>0</v>
      </c>
      <c r="K114" s="1670">
        <f t="shared" si="13"/>
        <v>10505096</v>
      </c>
      <c r="L114" s="1670">
        <f>SUM(L33,L74,L75,L102,L112,L113)</f>
        <v>10865331</v>
      </c>
    </row>
    <row r="115" spans="1:14" ht="13.5" thickTop="1" x14ac:dyDescent="0.2">
      <c r="A115" s="2178" t="s">
        <v>996</v>
      </c>
      <c r="B115" s="2179"/>
      <c r="C115" s="618"/>
      <c r="D115" s="618"/>
      <c r="E115" s="618"/>
      <c r="F115" s="618"/>
      <c r="G115" s="618"/>
      <c r="H115" s="618"/>
      <c r="I115" s="618"/>
      <c r="J115" s="618"/>
      <c r="K115" s="1684">
        <f>'Revenues 9-14'!C268-'Expenditures 15-22'!K114</f>
        <v>1204417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v>291176</v>
      </c>
      <c r="H123" s="466"/>
      <c r="I123" s="467"/>
      <c r="J123" s="467"/>
      <c r="K123" s="1670">
        <f>SUM(C123:J123)</f>
        <v>291176</v>
      </c>
      <c r="L123" s="466">
        <v>300000</v>
      </c>
    </row>
    <row r="124" spans="1:14" ht="14.25" thickTop="1" thickBot="1" x14ac:dyDescent="0.25">
      <c r="A124" s="1504" t="s">
        <v>197</v>
      </c>
      <c r="B124" s="614">
        <v>2540</v>
      </c>
      <c r="C124" s="466">
        <f>64337+85664+93311+39913+35205-2</f>
        <v>318428</v>
      </c>
      <c r="D124" s="466">
        <f>8182+27+4375+30+15159+50+3981+5988+13+20</f>
        <v>37825</v>
      </c>
      <c r="E124" s="466">
        <f>1422+736+31378+1778+5296+150+2017+6152+1422+2111+36796+214+6208+150+2049+3386+1421+795+79830+4408+8872+150+3080+3934+14062+9695+4403+4793+6784+171+304+59734</f>
        <v>303701</v>
      </c>
      <c r="F124" s="466">
        <f>23604+139147+27047+168591+20352+184309+748+10481+2772</f>
        <v>577051</v>
      </c>
      <c r="G124" s="466">
        <f>2733+21215+39302+98+5142+21375</f>
        <v>89865</v>
      </c>
      <c r="H124" s="466"/>
      <c r="I124" s="467"/>
      <c r="J124" s="467"/>
      <c r="K124" s="1670">
        <f>SUM(C124:J124)</f>
        <v>1326870</v>
      </c>
      <c r="L124" s="466">
        <v>1415078</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318428</v>
      </c>
      <c r="D127" s="1670">
        <f t="shared" ref="D127:L127" si="14">SUM(D122:D126)</f>
        <v>37825</v>
      </c>
      <c r="E127" s="1670">
        <f t="shared" si="14"/>
        <v>303701</v>
      </c>
      <c r="F127" s="1670">
        <f t="shared" si="14"/>
        <v>577051</v>
      </c>
      <c r="G127" s="1670">
        <f t="shared" si="14"/>
        <v>381041</v>
      </c>
      <c r="H127" s="1670">
        <f t="shared" si="14"/>
        <v>0</v>
      </c>
      <c r="I127" s="1670">
        <f t="shared" si="14"/>
        <v>0</v>
      </c>
      <c r="J127" s="1670">
        <f t="shared" si="14"/>
        <v>0</v>
      </c>
      <c r="K127" s="1670">
        <f t="shared" si="14"/>
        <v>1618046</v>
      </c>
      <c r="L127" s="1670">
        <f t="shared" si="14"/>
        <v>1715078</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318428</v>
      </c>
      <c r="D129" s="1677">
        <f t="shared" ref="D129:L129" si="15">SUM(D120,D127,D128)</f>
        <v>37825</v>
      </c>
      <c r="E129" s="1677">
        <f t="shared" si="15"/>
        <v>303701</v>
      </c>
      <c r="F129" s="1677">
        <f t="shared" si="15"/>
        <v>577051</v>
      </c>
      <c r="G129" s="1677">
        <f t="shared" si="15"/>
        <v>381041</v>
      </c>
      <c r="H129" s="1677">
        <f t="shared" si="15"/>
        <v>0</v>
      </c>
      <c r="I129" s="1677">
        <f t="shared" si="15"/>
        <v>0</v>
      </c>
      <c r="J129" s="1677">
        <f t="shared" si="15"/>
        <v>0</v>
      </c>
      <c r="K129" s="1677">
        <f t="shared" si="15"/>
        <v>1618046</v>
      </c>
      <c r="L129" s="1677">
        <f t="shared" si="15"/>
        <v>1715078</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2000</v>
      </c>
    </row>
    <row r="151" spans="1:14" ht="12.75" customHeight="1" thickTop="1" thickBot="1" x14ac:dyDescent="0.25">
      <c r="A151" s="2168" t="s">
        <v>620</v>
      </c>
      <c r="B151" s="2150"/>
      <c r="C151" s="1670">
        <f>SUM(C129,C130,C139,C149,C150)</f>
        <v>318428</v>
      </c>
      <c r="D151" s="1670">
        <f t="shared" ref="D151:K151" si="16">SUM(D129,D130,D139,D149,D150)</f>
        <v>37825</v>
      </c>
      <c r="E151" s="1670">
        <f t="shared" si="16"/>
        <v>303701</v>
      </c>
      <c r="F151" s="1670">
        <f t="shared" si="16"/>
        <v>577051</v>
      </c>
      <c r="G151" s="1670">
        <f t="shared" si="16"/>
        <v>381041</v>
      </c>
      <c r="H151" s="1670">
        <f t="shared" si="16"/>
        <v>0</v>
      </c>
      <c r="I151" s="1670">
        <f t="shared" si="16"/>
        <v>0</v>
      </c>
      <c r="J151" s="1670">
        <f t="shared" si="16"/>
        <v>0</v>
      </c>
      <c r="K151" s="1670">
        <f t="shared" si="16"/>
        <v>1618046</v>
      </c>
      <c r="L151" s="1670">
        <f>SUM(L129,L130,L139,L149,L150)</f>
        <v>1717078</v>
      </c>
    </row>
    <row r="152" spans="1:14" ht="12.75" customHeight="1" thickTop="1" x14ac:dyDescent="0.2">
      <c r="A152" s="2171" t="s">
        <v>1178</v>
      </c>
      <c r="B152" s="2172"/>
      <c r="C152" s="618"/>
      <c r="D152" s="618"/>
      <c r="E152" s="618"/>
      <c r="F152" s="618"/>
      <c r="G152" s="618"/>
      <c r="H152" s="618"/>
      <c r="I152" s="618"/>
      <c r="J152" s="616"/>
      <c r="K152" s="1684">
        <f>'Revenues 9-14'!D268-'Expenditures 15-22'!K151</f>
        <v>-309415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103487+82164+19618</f>
        <v>205269</v>
      </c>
      <c r="I169" s="616"/>
      <c r="J169" s="616"/>
      <c r="K169" s="1671">
        <f>SUM(C169:H169)</f>
        <v>205269</v>
      </c>
      <c r="L169" s="656">
        <v>525070</v>
      </c>
    </row>
    <row r="170" spans="1:14" ht="33.75" customHeight="1" x14ac:dyDescent="0.2">
      <c r="A170" s="669" t="s">
        <v>1670</v>
      </c>
      <c r="B170" s="671" t="s">
        <v>31</v>
      </c>
      <c r="C170" s="616"/>
      <c r="D170" s="616"/>
      <c r="E170" s="616"/>
      <c r="F170" s="616"/>
      <c r="G170" s="616"/>
      <c r="H170" s="569">
        <f>319800+444400+131769</f>
        <v>895969</v>
      </c>
      <c r="I170" s="616"/>
      <c r="J170" s="616"/>
      <c r="K170" s="1671">
        <f>SUM(C170:J170)</f>
        <v>895969</v>
      </c>
      <c r="L170" s="569">
        <v>576170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1101238</v>
      </c>
      <c r="I172" s="638"/>
      <c r="J172" s="616"/>
      <c r="K172" s="1677">
        <f>SUM(K168,K169,K170,K171)</f>
        <v>1101238</v>
      </c>
      <c r="L172" s="1677">
        <f>SUM(L168,L169,L170,L171)</f>
        <v>1101240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1101238</v>
      </c>
      <c r="I174" s="638"/>
      <c r="J174" s="616"/>
      <c r="K174" s="1677">
        <f>SUM(K160,K172,K173)</f>
        <v>1101238</v>
      </c>
      <c r="L174" s="1677">
        <f>SUM(L160,L172,L173)</f>
        <v>1101240</v>
      </c>
    </row>
    <row r="175" spans="1:14" ht="13.5" thickTop="1" x14ac:dyDescent="0.2">
      <c r="A175" s="2178" t="s">
        <v>996</v>
      </c>
      <c r="B175" s="2179"/>
      <c r="C175" s="616"/>
      <c r="D175" s="616"/>
      <c r="E175" s="616"/>
      <c r="F175" s="616"/>
      <c r="G175" s="616"/>
      <c r="H175" s="618"/>
      <c r="I175" s="616"/>
      <c r="J175" s="616"/>
      <c r="K175" s="1684">
        <f>'Revenues 9-14'!E268-'Expenditures 15-22'!K174</f>
        <v>-4686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55016+158072+33720+254+86545</f>
        <v>333607</v>
      </c>
      <c r="D182" s="466">
        <f>571+14949+3828+2+55+13</f>
        <v>19418</v>
      </c>
      <c r="E182" s="466">
        <f>11058+160714+18051+719+3164+18866</f>
        <v>212572</v>
      </c>
      <c r="F182" s="466">
        <f>3586+609+735+63072</f>
        <v>68002</v>
      </c>
      <c r="G182" s="466">
        <v>800</v>
      </c>
      <c r="H182" s="466"/>
      <c r="I182" s="467"/>
      <c r="J182" s="467"/>
      <c r="K182" s="1671">
        <f>SUM(C182:J182)</f>
        <v>634399</v>
      </c>
      <c r="L182" s="466">
        <v>668545</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333607</v>
      </c>
      <c r="D184" s="1677">
        <f t="shared" ref="D184:J184" si="17">SUM(D180,D182,D183)</f>
        <v>19418</v>
      </c>
      <c r="E184" s="1677">
        <f t="shared" si="17"/>
        <v>212572</v>
      </c>
      <c r="F184" s="1677">
        <f t="shared" si="17"/>
        <v>68002</v>
      </c>
      <c r="G184" s="1677">
        <f t="shared" si="17"/>
        <v>800</v>
      </c>
      <c r="H184" s="1677">
        <f t="shared" si="17"/>
        <v>0</v>
      </c>
      <c r="I184" s="1677">
        <f t="shared" si="17"/>
        <v>0</v>
      </c>
      <c r="J184" s="1677">
        <f t="shared" si="17"/>
        <v>0</v>
      </c>
      <c r="K184" s="1677">
        <f>SUM(K180,K182,K183)</f>
        <v>634399</v>
      </c>
      <c r="L184" s="1677">
        <f>SUM(L180, L182:L183)</f>
        <v>668545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500</v>
      </c>
    </row>
    <row r="210" spans="1:14" ht="12.75" customHeight="1" thickTop="1" thickBot="1" x14ac:dyDescent="0.25">
      <c r="A210" s="1692" t="s">
        <v>277</v>
      </c>
      <c r="B210" s="1693"/>
      <c r="C210" s="1670">
        <f>SUM(C184,C185)</f>
        <v>333607</v>
      </c>
      <c r="D210" s="1670">
        <f>SUM(D184,D185)</f>
        <v>19418</v>
      </c>
      <c r="E210" s="1670">
        <f>SUM(E184,E185,E196)</f>
        <v>212572</v>
      </c>
      <c r="F210" s="1670">
        <f>SUM(F184,F185)</f>
        <v>68002</v>
      </c>
      <c r="G210" s="1670">
        <f>SUM(G184,G185)</f>
        <v>800</v>
      </c>
      <c r="H210" s="1670">
        <f>SUM(H184,H185,H196,H208,H209)</f>
        <v>0</v>
      </c>
      <c r="I210" s="1670">
        <f>SUM(I184,I185)</f>
        <v>0</v>
      </c>
      <c r="J210" s="1670">
        <f>SUM(J184,J185)</f>
        <v>0</v>
      </c>
      <c r="K210" s="1671">
        <f>SUM(K184,K185,K196,K208,K209)</f>
        <v>634399</v>
      </c>
      <c r="L210" s="1670">
        <f>SUM(L184,L185,L196,L208,L209)</f>
        <v>669045</v>
      </c>
    </row>
    <row r="211" spans="1:14" ht="13.5" thickTop="1" x14ac:dyDescent="0.2">
      <c r="A211" s="2178" t="s">
        <v>996</v>
      </c>
      <c r="B211" s="2179"/>
      <c r="C211" s="618"/>
      <c r="D211" s="618"/>
      <c r="E211" s="618"/>
      <c r="F211" s="618"/>
      <c r="G211" s="618"/>
      <c r="H211" s="618"/>
      <c r="I211" s="616"/>
      <c r="J211" s="616"/>
      <c r="K211" s="1684">
        <f>'Revenues 9-14'!F268-'Expenditures 15-22'!K210</f>
        <v>247118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1262+6+1173+3234+3061+2193+2299+2889+794+574+1031+2678+746+561+277+397+2424+2777+3291+3362+2262+318+341+665+207+253+2399+1242+603+2194+2603+2505+1667+798+1486+272+292+539+23+2</f>
        <v>55700</v>
      </c>
      <c r="E215" s="616"/>
      <c r="F215" s="616"/>
      <c r="G215" s="616"/>
      <c r="H215" s="616"/>
      <c r="I215" s="616"/>
      <c r="J215" s="616"/>
      <c r="K215" s="1671">
        <f>D215</f>
        <v>55700</v>
      </c>
      <c r="L215" s="466">
        <v>56013</v>
      </c>
    </row>
    <row r="216" spans="1:14" x14ac:dyDescent="0.2">
      <c r="A216" s="1504" t="s">
        <v>163</v>
      </c>
      <c r="B216" s="614" t="s">
        <v>967</v>
      </c>
      <c r="C216" s="616"/>
      <c r="D216" s="467">
        <f>6039+2725+2798</f>
        <v>11562</v>
      </c>
      <c r="E216" s="616"/>
      <c r="F216" s="616"/>
      <c r="G216" s="616"/>
      <c r="H216" s="616"/>
      <c r="I216" s="616"/>
      <c r="J216" s="616"/>
      <c r="K216" s="1671">
        <f t="shared" ref="K216:K228" si="19">D216</f>
        <v>11562</v>
      </c>
      <c r="L216" s="466">
        <v>11443</v>
      </c>
    </row>
    <row r="217" spans="1:14" x14ac:dyDescent="0.2">
      <c r="A217" s="1504" t="s">
        <v>164</v>
      </c>
      <c r="B217" s="614">
        <v>1200</v>
      </c>
      <c r="C217" s="616"/>
      <c r="D217" s="466">
        <f>33377+13698+11102+9896+3961+3948+5939+2636+3454</f>
        <v>88011</v>
      </c>
      <c r="E217" s="616"/>
      <c r="F217" s="616"/>
      <c r="G217" s="616"/>
      <c r="H217" s="616"/>
      <c r="I217" s="616"/>
      <c r="J217" s="616"/>
      <c r="K217" s="1671">
        <f t="shared" si="19"/>
        <v>88011</v>
      </c>
      <c r="L217" s="466">
        <v>87945</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14</v>
      </c>
      <c r="E219" s="616"/>
      <c r="F219" s="616"/>
      <c r="G219" s="616"/>
      <c r="H219" s="616"/>
      <c r="I219" s="616"/>
      <c r="J219" s="616"/>
      <c r="K219" s="1671">
        <f t="shared" si="19"/>
        <v>14</v>
      </c>
      <c r="L219" s="466">
        <v>1</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367</v>
      </c>
      <c r="E222" s="616"/>
      <c r="F222" s="616"/>
      <c r="G222" s="616"/>
      <c r="H222" s="616"/>
      <c r="I222" s="616"/>
      <c r="J222" s="616"/>
      <c r="K222" s="1671">
        <f t="shared" si="19"/>
        <v>367</v>
      </c>
      <c r="L222" s="466">
        <v>356</v>
      </c>
    </row>
    <row r="223" spans="1:14" x14ac:dyDescent="0.2">
      <c r="A223" s="1504" t="s">
        <v>963</v>
      </c>
      <c r="B223" s="614">
        <v>1500</v>
      </c>
      <c r="C223" s="616"/>
      <c r="D223" s="466">
        <f>4+2+8+102+381+46+269+155+273+37+8+24+14+30+61+22+63+65+64+33+17+24+363+61+234+175+53+146+90+146+200+146+85+111+118+19+41+26+52+19+100+43+166+65+126+47+119+92+52+95+49+48+36+26+28+3828+184+71+1563+113+135+1279+27+33</f>
        <v>12112</v>
      </c>
      <c r="E223" s="616"/>
      <c r="F223" s="616"/>
      <c r="G223" s="616"/>
      <c r="H223" s="616"/>
      <c r="I223" s="616"/>
      <c r="J223" s="616"/>
      <c r="K223" s="1671">
        <f t="shared" si="19"/>
        <v>12112</v>
      </c>
      <c r="L223" s="466">
        <v>13551</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v>856</v>
      </c>
      <c r="E226" s="616"/>
      <c r="F226" s="616"/>
      <c r="G226" s="616"/>
      <c r="H226" s="616"/>
      <c r="I226" s="616"/>
      <c r="J226" s="616"/>
      <c r="K226" s="1671">
        <f t="shared" si="19"/>
        <v>856</v>
      </c>
      <c r="L226" s="466">
        <v>862</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168622</v>
      </c>
      <c r="E229" s="616"/>
      <c r="F229" s="616"/>
      <c r="G229" s="616"/>
      <c r="H229" s="616"/>
      <c r="I229" s="616"/>
      <c r="J229" s="616"/>
      <c r="K229" s="1670">
        <f>SUM(K215:K228)</f>
        <v>168622</v>
      </c>
      <c r="L229" s="1670">
        <f>SUM(L215:L228)</f>
        <v>170171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f>895+1011+1968</f>
        <v>3874</v>
      </c>
      <c r="E233" s="616"/>
      <c r="F233" s="616"/>
      <c r="G233" s="616"/>
      <c r="H233" s="616"/>
      <c r="I233" s="616"/>
      <c r="J233" s="616"/>
      <c r="K233" s="1671">
        <f t="shared" si="20"/>
        <v>3874</v>
      </c>
      <c r="L233" s="466">
        <v>3735</v>
      </c>
    </row>
    <row r="234" spans="1:12" x14ac:dyDescent="0.2">
      <c r="A234" s="1504" t="s">
        <v>198</v>
      </c>
      <c r="B234" s="614">
        <v>2130</v>
      </c>
      <c r="C234" s="616"/>
      <c r="D234" s="466">
        <f>11721+4917+1150</f>
        <v>17788</v>
      </c>
      <c r="E234" s="616"/>
      <c r="F234" s="616"/>
      <c r="G234" s="616"/>
      <c r="H234" s="616"/>
      <c r="I234" s="616"/>
      <c r="J234" s="616"/>
      <c r="K234" s="1671">
        <f t="shared" si="20"/>
        <v>17788</v>
      </c>
      <c r="L234" s="466">
        <v>17784</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21662</v>
      </c>
      <c r="E238" s="616"/>
      <c r="F238" s="616"/>
      <c r="G238" s="616"/>
      <c r="H238" s="616"/>
      <c r="I238" s="616"/>
      <c r="J238" s="616"/>
      <c r="K238" s="1670">
        <f>SUM(K232:K237)</f>
        <v>21662</v>
      </c>
      <c r="L238" s="1670">
        <f>SUM(L232:L237)</f>
        <v>21519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f>3+21+81</f>
        <v>105</v>
      </c>
      <c r="E240" s="616"/>
      <c r="F240" s="616"/>
      <c r="G240" s="616"/>
      <c r="H240" s="616"/>
      <c r="I240" s="616"/>
      <c r="J240" s="616"/>
      <c r="K240" s="1672">
        <f>D240</f>
        <v>105</v>
      </c>
      <c r="L240" s="481">
        <v>107</v>
      </c>
    </row>
    <row r="241" spans="1:12" x14ac:dyDescent="0.2">
      <c r="A241" s="1504" t="s">
        <v>815</v>
      </c>
      <c r="B241" s="614">
        <v>2220</v>
      </c>
      <c r="C241" s="616"/>
      <c r="D241" s="466">
        <v>912</v>
      </c>
      <c r="E241" s="616"/>
      <c r="F241" s="616"/>
      <c r="G241" s="616"/>
      <c r="H241" s="616"/>
      <c r="I241" s="616"/>
      <c r="J241" s="616"/>
      <c r="K241" s="1672">
        <f>D241</f>
        <v>912</v>
      </c>
      <c r="L241" s="466">
        <v>872</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1017</v>
      </c>
      <c r="E243" s="616"/>
      <c r="F243" s="616"/>
      <c r="G243" s="616"/>
      <c r="H243" s="616"/>
      <c r="I243" s="616"/>
      <c r="J243" s="616"/>
      <c r="K243" s="1670">
        <f>SUM(K240:K242)</f>
        <v>1017</v>
      </c>
      <c r="L243" s="1670">
        <f>SUM(L240:L242)</f>
        <v>979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1116+480+112</f>
        <v>1708</v>
      </c>
      <c r="E245" s="616"/>
      <c r="F245" s="616"/>
      <c r="G245" s="616"/>
      <c r="H245" s="616"/>
      <c r="I245" s="616"/>
      <c r="J245" s="616"/>
      <c r="K245" s="1672">
        <f>D245</f>
        <v>1708</v>
      </c>
      <c r="L245" s="481">
        <v>1839</v>
      </c>
    </row>
    <row r="246" spans="1:12" x14ac:dyDescent="0.2">
      <c r="A246" s="1504" t="s">
        <v>818</v>
      </c>
      <c r="B246" s="614">
        <v>2320</v>
      </c>
      <c r="C246" s="616"/>
      <c r="D246" s="466">
        <f>1146+501+206+6385+2800+2344</f>
        <v>13382</v>
      </c>
      <c r="E246" s="616"/>
      <c r="F246" s="616"/>
      <c r="G246" s="616"/>
      <c r="H246" s="616"/>
      <c r="I246" s="616"/>
      <c r="J246" s="616"/>
      <c r="K246" s="1672">
        <f t="shared" ref="K246:K256" si="21">D246</f>
        <v>13382</v>
      </c>
      <c r="L246" s="466">
        <v>13262</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1802</v>
      </c>
      <c r="B249" s="683" t="s">
        <v>282</v>
      </c>
      <c r="C249" s="616"/>
      <c r="D249" s="474"/>
      <c r="E249" s="616"/>
      <c r="F249" s="616"/>
      <c r="G249" s="616"/>
      <c r="H249" s="616"/>
      <c r="I249" s="616"/>
      <c r="J249" s="616"/>
      <c r="K249" s="1672">
        <f t="shared" si="21"/>
        <v>0</v>
      </c>
      <c r="L249" s="466">
        <v>0</v>
      </c>
    </row>
    <row r="250" spans="1:12" x14ac:dyDescent="0.2">
      <c r="A250" s="1505" t="s">
        <v>1803</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15090</v>
      </c>
      <c r="E257" s="616"/>
      <c r="F257" s="616"/>
      <c r="G257" s="616"/>
      <c r="H257" s="616"/>
      <c r="I257" s="616"/>
      <c r="J257" s="616"/>
      <c r="K257" s="1670">
        <f>SUM(K245:K256)</f>
        <v>15090</v>
      </c>
      <c r="L257" s="1670">
        <f>SUM(L245:L256)</f>
        <v>15101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5082+2224+2579+5541+1772+2516+7957+3438+3233</f>
        <v>34342</v>
      </c>
      <c r="E259" s="616"/>
      <c r="F259" s="616"/>
      <c r="G259" s="616"/>
      <c r="H259" s="616"/>
      <c r="I259" s="616"/>
      <c r="J259" s="616"/>
      <c r="K259" s="1672">
        <f>D259</f>
        <v>34342</v>
      </c>
      <c r="L259" s="481">
        <v>34422</v>
      </c>
    </row>
    <row r="260" spans="1:14" s="597" customFormat="1" x14ac:dyDescent="0.2">
      <c r="A260" s="1522" t="s">
        <v>1801</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34342</v>
      </c>
      <c r="E261" s="616"/>
      <c r="F261" s="616"/>
      <c r="G261" s="616"/>
      <c r="H261" s="616"/>
      <c r="I261" s="616"/>
      <c r="J261" s="616"/>
      <c r="K261" s="1670">
        <f>SUM(K259:K260)</f>
        <v>34342</v>
      </c>
      <c r="L261" s="1670">
        <f>SUM(L259:L260)</f>
        <v>34422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f>4238+1832+1540</f>
        <v>7610</v>
      </c>
      <c r="E264" s="616"/>
      <c r="F264" s="616"/>
      <c r="G264" s="616"/>
      <c r="H264" s="616"/>
      <c r="I264" s="616"/>
      <c r="J264" s="616"/>
      <c r="K264" s="1672">
        <f t="shared" ref="K264:K269" si="22">D264</f>
        <v>7610</v>
      </c>
      <c r="L264" s="466">
        <v>7661</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f>2733+9006+1135+3677+265+860+11231+5140+1202+13090+5462+1278+5623+4935+2293+2079+536+486</f>
        <v>71031</v>
      </c>
      <c r="E266" s="616"/>
      <c r="F266" s="616"/>
      <c r="G266" s="616"/>
      <c r="H266" s="616"/>
      <c r="I266" s="616"/>
      <c r="J266" s="616"/>
      <c r="K266" s="1672">
        <f t="shared" si="22"/>
        <v>71031</v>
      </c>
      <c r="L266" s="466">
        <v>71872</v>
      </c>
    </row>
    <row r="267" spans="1:14" x14ac:dyDescent="0.2">
      <c r="A267" s="1504" t="s">
        <v>953</v>
      </c>
      <c r="B267" s="614">
        <v>2550</v>
      </c>
      <c r="C267" s="616"/>
      <c r="D267" s="466">
        <f>7617+26003+4573+3424+14916+1940+801+3485+454</f>
        <v>63213</v>
      </c>
      <c r="E267" s="616"/>
      <c r="F267" s="616"/>
      <c r="G267" s="616"/>
      <c r="H267" s="616"/>
      <c r="I267" s="616"/>
      <c r="J267" s="616"/>
      <c r="K267" s="1672">
        <f t="shared" si="22"/>
        <v>63213</v>
      </c>
      <c r="L267" s="466">
        <v>66485</v>
      </c>
    </row>
    <row r="268" spans="1:14" x14ac:dyDescent="0.2">
      <c r="A268" s="1504" t="s">
        <v>100</v>
      </c>
      <c r="B268" s="614">
        <v>2560</v>
      </c>
      <c r="C268" s="616"/>
      <c r="D268" s="466">
        <f>2202+833+195+3611+1598+390</f>
        <v>8829</v>
      </c>
      <c r="E268" s="616"/>
      <c r="F268" s="616"/>
      <c r="G268" s="616"/>
      <c r="H268" s="616"/>
      <c r="I268" s="616"/>
      <c r="J268" s="616"/>
      <c r="K268" s="1672">
        <f t="shared" si="22"/>
        <v>8829</v>
      </c>
      <c r="L268" s="466">
        <v>8711</v>
      </c>
    </row>
    <row r="269" spans="1:14" x14ac:dyDescent="0.2">
      <c r="A269" s="1504" t="s">
        <v>101</v>
      </c>
      <c r="B269" s="614">
        <v>2570</v>
      </c>
      <c r="C269" s="616"/>
      <c r="D269" s="466">
        <f>232+103+24</f>
        <v>359</v>
      </c>
      <c r="E269" s="616"/>
      <c r="F269" s="616"/>
      <c r="G269" s="616"/>
      <c r="H269" s="616"/>
      <c r="I269" s="616"/>
      <c r="J269" s="616"/>
      <c r="K269" s="1672">
        <f t="shared" si="22"/>
        <v>359</v>
      </c>
      <c r="L269" s="466">
        <v>389</v>
      </c>
    </row>
    <row r="270" spans="1:14" ht="12.75" customHeight="1" thickBot="1" x14ac:dyDescent="0.25">
      <c r="A270" s="1668" t="s">
        <v>719</v>
      </c>
      <c r="B270" s="1675" t="s">
        <v>35</v>
      </c>
      <c r="C270" s="616"/>
      <c r="D270" s="1670">
        <f>SUM(D263:D269)</f>
        <v>151042</v>
      </c>
      <c r="E270" s="616"/>
      <c r="F270" s="616"/>
      <c r="G270" s="616"/>
      <c r="H270" s="616"/>
      <c r="I270" s="616"/>
      <c r="J270" s="616"/>
      <c r="K270" s="1670">
        <f>SUM(K263:K269)</f>
        <v>151042</v>
      </c>
      <c r="L270" s="1670">
        <f>SUM(L263:L269)</f>
        <v>155118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f>223+1139+266+292+487+114</f>
        <v>2521</v>
      </c>
      <c r="E278" s="616"/>
      <c r="F278" s="616"/>
      <c r="G278" s="616"/>
      <c r="H278" s="616"/>
      <c r="I278" s="616"/>
      <c r="J278" s="616"/>
      <c r="K278" s="1685">
        <f>D278</f>
        <v>2521</v>
      </c>
      <c r="L278" s="656">
        <v>3276</v>
      </c>
    </row>
    <row r="279" spans="1:12" ht="12.75" customHeight="1" thickBot="1" x14ac:dyDescent="0.25">
      <c r="A279" s="1698" t="s">
        <v>811</v>
      </c>
      <c r="B279" s="1681">
        <v>2000</v>
      </c>
      <c r="C279" s="616"/>
      <c r="D279" s="1677">
        <f>SUM(D238,D243,D257,D261,D270,D277,D278)</f>
        <v>225674</v>
      </c>
      <c r="E279" s="616"/>
      <c r="F279" s="616"/>
      <c r="G279" s="616"/>
      <c r="H279" s="616"/>
      <c r="I279" s="616"/>
      <c r="J279" s="616"/>
      <c r="K279" s="1677">
        <f>SUM(K238,K243,K257,K261,K270,K277,K278)</f>
        <v>225674</v>
      </c>
      <c r="L279" s="1677">
        <f>SUM(L238,L243,L257,L261,L270,L277,L278)</f>
        <v>230415</v>
      </c>
    </row>
    <row r="280" spans="1:12" ht="15.75" customHeight="1" thickTop="1" thickBot="1" x14ac:dyDescent="0.25">
      <c r="A280" s="1624" t="s">
        <v>875</v>
      </c>
      <c r="B280" s="1613">
        <v>3000</v>
      </c>
      <c r="C280" s="616"/>
      <c r="D280" s="576">
        <f>5515+2427+568</f>
        <v>8510</v>
      </c>
      <c r="E280" s="616"/>
      <c r="F280" s="616"/>
      <c r="G280" s="616"/>
      <c r="H280" s="616"/>
      <c r="I280" s="616"/>
      <c r="J280" s="616"/>
      <c r="K280" s="1679">
        <f>D280</f>
        <v>8510</v>
      </c>
      <c r="L280" s="576">
        <v>8682</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69" t="s">
        <v>505</v>
      </c>
      <c r="B295" s="2170"/>
      <c r="C295" s="616"/>
      <c r="D295" s="1670">
        <f>SUM(D229,D279,D280,D285)</f>
        <v>402806</v>
      </c>
      <c r="E295" s="616"/>
      <c r="F295" s="616"/>
      <c r="G295" s="616"/>
      <c r="H295" s="1670">
        <f>H293</f>
        <v>0</v>
      </c>
      <c r="I295" s="616"/>
      <c r="J295" s="616"/>
      <c r="K295" s="1670">
        <f>SUM(K229,K279,K280,K285,K293,K294)</f>
        <v>402806</v>
      </c>
      <c r="L295" s="1670">
        <f>SUM(L229,L279,L280,L285,L293,L294)</f>
        <v>409268</v>
      </c>
    </row>
    <row r="296" spans="1:14" ht="13.5" thickTop="1" x14ac:dyDescent="0.2">
      <c r="A296" s="2178" t="s">
        <v>996</v>
      </c>
      <c r="B296" s="2179"/>
      <c r="C296" s="616"/>
      <c r="D296" s="618"/>
      <c r="E296" s="616"/>
      <c r="F296" s="616"/>
      <c r="G296" s="616"/>
      <c r="H296" s="687"/>
      <c r="I296" s="616"/>
      <c r="J296" s="616"/>
      <c r="K296" s="1684">
        <f>'Revenues 9-14'!G268-'Expenditures 15-22'!K295</f>
        <v>131873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208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4" t="s">
        <v>996</v>
      </c>
      <c r="B343" s="216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78" t="s">
        <v>996</v>
      </c>
      <c r="B368" s="2179"/>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0" sqref="C1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1799</v>
      </c>
      <c r="B2" s="1528" t="s">
        <v>1946</v>
      </c>
      <c r="C2" s="714" t="s">
        <v>1947</v>
      </c>
      <c r="D2" s="714" t="s">
        <v>1948</v>
      </c>
      <c r="E2" s="714" t="s">
        <v>1949</v>
      </c>
      <c r="F2" s="714" t="s">
        <v>1950</v>
      </c>
    </row>
    <row r="3" spans="1:6" ht="12" customHeight="1" x14ac:dyDescent="0.2">
      <c r="A3" s="2181"/>
      <c r="B3" s="1525"/>
      <c r="C3" s="1526"/>
      <c r="D3" s="1527" t="s">
        <v>256</v>
      </c>
      <c r="E3" s="1526"/>
      <c r="F3" s="1527" t="s">
        <v>257</v>
      </c>
    </row>
    <row r="4" spans="1:6" ht="13.7" customHeight="1" x14ac:dyDescent="0.2">
      <c r="A4" s="715" t="s">
        <v>1155</v>
      </c>
      <c r="B4" s="1749">
        <f>'Revenues 9-14'!C5</f>
        <v>3116189</v>
      </c>
      <c r="C4" s="1524">
        <v>1661099</v>
      </c>
      <c r="D4" s="1752">
        <f>B4-C4</f>
        <v>1455090</v>
      </c>
      <c r="E4" s="1524">
        <v>3171758</v>
      </c>
      <c r="F4" s="1752">
        <f>E4-C4</f>
        <v>1510659</v>
      </c>
    </row>
    <row r="5" spans="1:6" ht="13.7" customHeight="1" x14ac:dyDescent="0.2">
      <c r="A5" s="715" t="s">
        <v>870</v>
      </c>
      <c r="B5" s="1750">
        <f>'Revenues 9-14'!D5</f>
        <v>622454</v>
      </c>
      <c r="C5" s="585">
        <v>332300</v>
      </c>
      <c r="D5" s="1753">
        <f t="shared" ref="D5:D18" si="0">B5-C5</f>
        <v>290154</v>
      </c>
      <c r="E5" s="585">
        <v>634505</v>
      </c>
      <c r="F5" s="1753">
        <f>E5-C5</f>
        <v>302205</v>
      </c>
    </row>
    <row r="6" spans="1:6" ht="13.7" customHeight="1" x14ac:dyDescent="0.2">
      <c r="A6" s="715" t="s">
        <v>411</v>
      </c>
      <c r="B6" s="1750">
        <f>'Revenues 9-14'!E5</f>
        <v>944451</v>
      </c>
      <c r="C6" s="585">
        <v>497477</v>
      </c>
      <c r="D6" s="1753">
        <f t="shared" si="0"/>
        <v>446974</v>
      </c>
      <c r="E6" s="585">
        <v>949901</v>
      </c>
      <c r="F6" s="1753">
        <f t="shared" ref="F6:F18" si="1">E6-C6</f>
        <v>452424</v>
      </c>
    </row>
    <row r="7" spans="1:6" ht="13.7" customHeight="1" x14ac:dyDescent="0.2">
      <c r="A7" s="715" t="s">
        <v>155</v>
      </c>
      <c r="B7" s="1750">
        <f>'Revenues 9-14'!F5</f>
        <v>267139</v>
      </c>
      <c r="C7" s="585">
        <v>142434</v>
      </c>
      <c r="D7" s="1753">
        <f t="shared" si="0"/>
        <v>124705</v>
      </c>
      <c r="E7" s="585">
        <v>271968</v>
      </c>
      <c r="F7" s="1753">
        <f t="shared" si="1"/>
        <v>129534</v>
      </c>
    </row>
    <row r="8" spans="1:6" ht="13.7" customHeight="1" x14ac:dyDescent="0.2">
      <c r="A8" s="715" t="s">
        <v>1179</v>
      </c>
      <c r="B8" s="1750">
        <f>'Revenues 9-14'!G5</f>
        <v>267139</v>
      </c>
      <c r="C8" s="585">
        <v>142433</v>
      </c>
      <c r="D8" s="1753">
        <f t="shared" si="0"/>
        <v>124706</v>
      </c>
      <c r="E8" s="585">
        <v>271967</v>
      </c>
      <c r="F8" s="1753">
        <f t="shared" si="1"/>
        <v>129534</v>
      </c>
    </row>
    <row r="9" spans="1:6" ht="13.7" customHeight="1" x14ac:dyDescent="0.2">
      <c r="A9" s="715" t="s">
        <v>408</v>
      </c>
      <c r="B9" s="1750">
        <f>'Revenues 9-14'!H5</f>
        <v>0</v>
      </c>
      <c r="C9" s="585">
        <v>0</v>
      </c>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72136</v>
      </c>
      <c r="C14" s="585">
        <v>37973</v>
      </c>
      <c r="D14" s="1753">
        <f t="shared" si="0"/>
        <v>34163</v>
      </c>
      <c r="E14" s="585">
        <v>72508</v>
      </c>
      <c r="F14" s="1753">
        <f t="shared" si="1"/>
        <v>34535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267139</v>
      </c>
      <c r="C16" s="585">
        <v>142434</v>
      </c>
      <c r="D16" s="1753">
        <f t="shared" si="0"/>
        <v>124705</v>
      </c>
      <c r="E16" s="585">
        <v>271967</v>
      </c>
      <c r="F16" s="1753">
        <f t="shared" si="1"/>
        <v>129533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5556647</v>
      </c>
      <c r="C19" s="1751">
        <f>SUM(C4:C18)</f>
        <v>2956150</v>
      </c>
      <c r="D19" s="1751">
        <f>SUM(D4:D18)</f>
        <v>2600497</v>
      </c>
      <c r="E19" s="1751">
        <f>SUM(E4:E18)</f>
        <v>5644574</v>
      </c>
      <c r="F19" s="1751">
        <f>SUM(F4:F18)</f>
        <v>2688424</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2"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1799</v>
      </c>
      <c r="B2" s="2196"/>
      <c r="C2" s="1884" t="s">
        <v>1951</v>
      </c>
      <c r="D2" s="723" t="s">
        <v>1952</v>
      </c>
      <c r="E2" s="723" t="s">
        <v>1953</v>
      </c>
      <c r="F2" s="1884" t="s">
        <v>1954</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2076</v>
      </c>
      <c r="B31" s="733">
        <v>40226</v>
      </c>
      <c r="C31" s="734">
        <v>2100000</v>
      </c>
      <c r="D31" s="735">
        <v>6</v>
      </c>
      <c r="E31" s="734">
        <v>1121030</v>
      </c>
      <c r="F31" s="734"/>
      <c r="G31" s="734"/>
      <c r="H31" s="734">
        <v>131769</v>
      </c>
      <c r="I31" s="1756">
        <f>((E31+F31)-H31)+G31</f>
        <v>989261</v>
      </c>
      <c r="J31" s="734">
        <v>989261</v>
      </c>
      <c r="K31" s="736"/>
    </row>
    <row r="32" spans="1:11" ht="12" customHeight="1" x14ac:dyDescent="0.2">
      <c r="A32" s="732" t="s">
        <v>2077</v>
      </c>
      <c r="B32" s="733">
        <v>43033</v>
      </c>
      <c r="C32" s="734">
        <v>2227900</v>
      </c>
      <c r="D32" s="735">
        <v>3</v>
      </c>
      <c r="E32" s="734">
        <v>2227900</v>
      </c>
      <c r="F32" s="734"/>
      <c r="G32" s="734"/>
      <c r="H32" s="734">
        <v>319800</v>
      </c>
      <c r="I32" s="1756">
        <f>((E32+F32)-H32)+G32</f>
        <v>1908100</v>
      </c>
      <c r="J32" s="734">
        <v>1908100</v>
      </c>
      <c r="K32" s="736"/>
    </row>
    <row r="33" spans="1:11" ht="12" customHeight="1" x14ac:dyDescent="0.2">
      <c r="A33" s="732" t="s">
        <v>2078</v>
      </c>
      <c r="B33" s="733">
        <v>43033</v>
      </c>
      <c r="C33" s="734">
        <v>2821000</v>
      </c>
      <c r="D33" s="735">
        <v>3</v>
      </c>
      <c r="E33" s="734">
        <v>2821000</v>
      </c>
      <c r="F33" s="734"/>
      <c r="G33" s="734"/>
      <c r="H33" s="734">
        <v>444400</v>
      </c>
      <c r="I33" s="1756">
        <f t="shared" ref="I33:I48" si="1">((E33+F33)-H33)+G33</f>
        <v>2376600</v>
      </c>
      <c r="J33" s="734">
        <v>1614736</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7148900</v>
      </c>
      <c r="D49" s="745"/>
      <c r="E49" s="1756">
        <f t="shared" ref="E49:J49" si="2">SUM(E31:E48)</f>
        <v>6169930</v>
      </c>
      <c r="F49" s="1756">
        <f t="shared" si="2"/>
        <v>0</v>
      </c>
      <c r="G49" s="1756">
        <f t="shared" si="2"/>
        <v>0</v>
      </c>
      <c r="H49" s="1756">
        <f t="shared" si="2"/>
        <v>895969</v>
      </c>
      <c r="I49" s="1756">
        <f t="shared" si="2"/>
        <v>5273961</v>
      </c>
      <c r="J49" s="1756">
        <f t="shared" si="2"/>
        <v>4512097</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1809</v>
      </c>
      <c r="K2" s="762" t="s">
        <v>138</v>
      </c>
    </row>
    <row r="3" spans="1:11" x14ac:dyDescent="0.2">
      <c r="A3" s="2217" t="s">
        <v>1959</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72136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14737</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17344</v>
      </c>
    </row>
    <row r="10" spans="1:11" x14ac:dyDescent="0.2">
      <c r="A10" s="2238" t="s">
        <v>1810</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72136</v>
      </c>
      <c r="I12" s="1758">
        <f>SUM(I5:I11)</f>
        <v>0</v>
      </c>
      <c r="J12" s="1758">
        <f>SUM(J5:J11)</f>
        <v>0</v>
      </c>
      <c r="K12" s="1758">
        <f>SUM(K5:K11)</f>
        <v>32081</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72136</v>
      </c>
      <c r="I14" s="771"/>
      <c r="J14" s="773"/>
      <c r="K14" s="765">
        <v>32081</v>
      </c>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1806</v>
      </c>
      <c r="B19" s="2246"/>
      <c r="C19" s="2246"/>
      <c r="D19" s="2246"/>
      <c r="E19" s="2247"/>
      <c r="F19" s="789" t="s">
        <v>933</v>
      </c>
      <c r="G19" s="782"/>
      <c r="H19" s="782"/>
      <c r="I19" s="782"/>
      <c r="J19" s="765"/>
      <c r="K19" s="795"/>
    </row>
    <row r="20" spans="1:11" x14ac:dyDescent="0.2">
      <c r="A20" s="2225" t="s">
        <v>1811</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1812</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72136</v>
      </c>
      <c r="I23" s="1758">
        <f>SUM(I14:I16,I21,I22)</f>
        <v>0</v>
      </c>
      <c r="J23" s="1758">
        <f>SUM(J14:J16,J21,J22)</f>
        <v>0</v>
      </c>
      <c r="K23" s="1758">
        <f>SUM(K14:K16,K21,K22)</f>
        <v>32081</v>
      </c>
    </row>
    <row r="24" spans="1:11" ht="14.25" thickTop="1" thickBot="1" x14ac:dyDescent="0.25">
      <c r="A24" s="2232" t="s">
        <v>1960</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1905</v>
      </c>
      <c r="B1" s="2251"/>
      <c r="C1" s="2252"/>
      <c r="D1" s="826"/>
      <c r="E1" s="827"/>
      <c r="F1" s="827"/>
      <c r="G1" s="828"/>
      <c r="H1" s="829"/>
      <c r="I1" s="830"/>
      <c r="J1" s="2248"/>
      <c r="K1" s="2249"/>
      <c r="L1" s="224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1553417</v>
      </c>
      <c r="D5" s="841"/>
      <c r="E5" s="841"/>
      <c r="F5" s="1760">
        <f>(C5+D5)-E5</f>
        <v>1553417</v>
      </c>
      <c r="G5" s="837"/>
      <c r="H5" s="842"/>
      <c r="I5" s="842"/>
      <c r="J5" s="842"/>
      <c r="K5" s="793"/>
      <c r="L5" s="1769">
        <f>F5-K5</f>
        <v>1553417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26799646</v>
      </c>
      <c r="D8" s="844">
        <v>312391</v>
      </c>
      <c r="E8" s="844"/>
      <c r="F8" s="1760">
        <f>(C8+D8)-E8</f>
        <v>27112037</v>
      </c>
      <c r="G8" s="843">
        <v>50</v>
      </c>
      <c r="H8" s="765">
        <v>10724800</v>
      </c>
      <c r="I8" s="765">
        <v>542241</v>
      </c>
      <c r="J8" s="765"/>
      <c r="K8" s="1769">
        <f>(H8+I8)-J8</f>
        <v>11267041</v>
      </c>
      <c r="L8" s="1769">
        <f>F8-K8</f>
        <v>15844996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823201</v>
      </c>
      <c r="D10" s="846">
        <v>800</v>
      </c>
      <c r="E10" s="846"/>
      <c r="F10" s="1764">
        <f>(C10+D10)-E10</f>
        <v>824001</v>
      </c>
      <c r="G10" s="843">
        <v>20</v>
      </c>
      <c r="H10" s="847">
        <v>633024</v>
      </c>
      <c r="I10" s="847">
        <v>41200</v>
      </c>
      <c r="J10" s="847"/>
      <c r="K10" s="1769">
        <f>(H10+I10)-J10</f>
        <v>674224</v>
      </c>
      <c r="L10" s="1769">
        <f>F10-K10</f>
        <v>149777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2501620</v>
      </c>
      <c r="D12" s="844">
        <v>23663</v>
      </c>
      <c r="E12" s="844"/>
      <c r="F12" s="1760">
        <f>(C12+D12)-E12</f>
        <v>2525283</v>
      </c>
      <c r="G12" s="843">
        <v>10</v>
      </c>
      <c r="H12" s="765">
        <v>2120744</v>
      </c>
      <c r="I12" s="765">
        <v>40454</v>
      </c>
      <c r="J12" s="765"/>
      <c r="K12" s="1769">
        <f>(H12+I12)-J12</f>
        <v>2161198</v>
      </c>
      <c r="L12" s="1769">
        <f>F12-K12</f>
        <v>364085</v>
      </c>
    </row>
    <row r="13" spans="1:14" ht="14.25" thickTop="1" thickBot="1" x14ac:dyDescent="0.25">
      <c r="A13" s="848" t="s">
        <v>1122</v>
      </c>
      <c r="B13" s="840">
        <v>252</v>
      </c>
      <c r="C13" s="844">
        <v>203013</v>
      </c>
      <c r="D13" s="844">
        <v>97506</v>
      </c>
      <c r="E13" s="844"/>
      <c r="F13" s="1760">
        <f>(C13+D13)-E13</f>
        <v>300519</v>
      </c>
      <c r="G13" s="843">
        <v>5</v>
      </c>
      <c r="H13" s="765">
        <v>156455</v>
      </c>
      <c r="I13" s="765">
        <v>19153</v>
      </c>
      <c r="J13" s="765"/>
      <c r="K13" s="1769">
        <f>(H13+I13)-J13</f>
        <v>175608</v>
      </c>
      <c r="L13" s="1769">
        <f>F13-K13</f>
        <v>124911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31880897</v>
      </c>
      <c r="D16" s="1760">
        <f>SUM(D3,D5:D6,D8:D10,D12:D15)</f>
        <v>434360</v>
      </c>
      <c r="E16" s="1760">
        <f>SUM(E3,E5:E6,E8:E10,E12:E15)</f>
        <v>0</v>
      </c>
      <c r="F16" s="1760">
        <f>SUM(F3,F5:F6,F8:F10,F12:F15)</f>
        <v>32315257</v>
      </c>
      <c r="G16" s="843"/>
      <c r="H16" s="1760">
        <f>SUM(H3,H6,H8:H10,H12:H14,)</f>
        <v>13635023</v>
      </c>
      <c r="I16" s="1760">
        <f>SUM(I3,I6,I8:I10,I12:I14,)</f>
        <v>643048</v>
      </c>
      <c r="J16" s="1760">
        <f>SUM(J3,J6,J8:J10,J12:J14,)</f>
        <v>0</v>
      </c>
      <c r="K16" s="1760">
        <f>(H16+I16)-J16</f>
        <v>14278071</v>
      </c>
      <c r="L16" s="1760">
        <f>F16-K16</f>
        <v>18037186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643048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1970</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10505096</v>
      </c>
      <c r="G8" s="865"/>
    </row>
    <row r="9" spans="1:7" x14ac:dyDescent="0.2">
      <c r="A9" s="869" t="s">
        <v>460</v>
      </c>
      <c r="B9" s="870" t="s">
        <v>1873</v>
      </c>
      <c r="C9" s="871"/>
      <c r="D9" s="869" t="s">
        <v>501</v>
      </c>
      <c r="E9" s="868"/>
      <c r="F9" s="1909">
        <f>'Expenditures 15-22'!K151</f>
        <v>1618046</v>
      </c>
      <c r="G9" s="872"/>
    </row>
    <row r="10" spans="1:7" x14ac:dyDescent="0.2">
      <c r="A10" s="869" t="s">
        <v>499</v>
      </c>
      <c r="B10" s="870" t="s">
        <v>1874</v>
      </c>
      <c r="C10" s="871"/>
      <c r="D10" s="869" t="s">
        <v>501</v>
      </c>
      <c r="E10" s="868"/>
      <c r="F10" s="1909">
        <f>'Expenditures 15-22'!K174</f>
        <v>1101238</v>
      </c>
      <c r="G10" s="872"/>
    </row>
    <row r="11" spans="1:7" x14ac:dyDescent="0.2">
      <c r="A11" s="869" t="s">
        <v>461</v>
      </c>
      <c r="B11" s="870" t="s">
        <v>1875</v>
      </c>
      <c r="C11" s="871"/>
      <c r="D11" s="869" t="s">
        <v>501</v>
      </c>
      <c r="E11" s="868"/>
      <c r="F11" s="1909">
        <f>'Expenditures 15-22'!K210</f>
        <v>634399</v>
      </c>
      <c r="G11" s="872"/>
    </row>
    <row r="12" spans="1:7" x14ac:dyDescent="0.2">
      <c r="A12" s="869" t="s">
        <v>462</v>
      </c>
      <c r="B12" s="870" t="s">
        <v>1876</v>
      </c>
      <c r="C12" s="871"/>
      <c r="D12" s="869" t="s">
        <v>501</v>
      </c>
      <c r="E12" s="868"/>
      <c r="F12" s="1909">
        <f>'Expenditures 15-22'!K295</f>
        <v>402806</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14261585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263086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46030</v>
      </c>
      <c r="G52" s="865"/>
    </row>
    <row r="53" spans="1:7" x14ac:dyDescent="0.2">
      <c r="A53" s="869" t="s">
        <v>459</v>
      </c>
      <c r="B53" s="869" t="s">
        <v>1475</v>
      </c>
      <c r="C53" s="889">
        <f>'Expenditures 15-22'!B102</f>
        <v>4000</v>
      </c>
      <c r="D53" s="888" t="str">
        <f>'Expenditures 15-22'!A102</f>
        <v>Total Payments to Other Govt Units</v>
      </c>
      <c r="E53" s="868"/>
      <c r="F53" s="1913">
        <f>'Expenditures 15-22'!K102</f>
        <v>1220039</v>
      </c>
      <c r="G53" s="865"/>
    </row>
    <row r="54" spans="1:7" x14ac:dyDescent="0.2">
      <c r="A54" s="869" t="s">
        <v>459</v>
      </c>
      <c r="B54" s="869" t="s">
        <v>1476</v>
      </c>
      <c r="C54" s="889" t="s">
        <v>982</v>
      </c>
      <c r="D54" s="885" t="s">
        <v>1095</v>
      </c>
      <c r="E54" s="868"/>
      <c r="F54" s="1913">
        <f>'Expenditures 15-22'!G114</f>
        <v>57760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381041</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895969</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800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11562</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8510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2884797</v>
      </c>
      <c r="G76" s="865"/>
    </row>
    <row r="77" spans="1:8" s="893" customFormat="1" ht="12" customHeight="1" thickTop="1" thickBot="1" x14ac:dyDescent="0.25">
      <c r="A77" s="1779"/>
      <c r="B77" s="1776"/>
      <c r="C77" s="1772"/>
      <c r="D77" s="1777" t="s">
        <v>1896</v>
      </c>
      <c r="E77" s="1774"/>
      <c r="F77" s="1780">
        <f>(F14-F76)</f>
        <v>11376788</v>
      </c>
      <c r="G77" s="869"/>
    </row>
    <row r="78" spans="1:8" s="893" customFormat="1" ht="12" customHeight="1" thickTop="1" x14ac:dyDescent="0.2">
      <c r="A78" s="1781"/>
      <c r="B78" s="1776"/>
      <c r="C78" s="1772"/>
      <c r="D78" s="1777" t="s">
        <v>2057</v>
      </c>
      <c r="E78" s="1774"/>
      <c r="F78" s="898">
        <v>1094.9000000000001</v>
      </c>
      <c r="G78" s="899"/>
      <c r="H78" s="869"/>
    </row>
    <row r="79" spans="1:8" s="893" customFormat="1" ht="12" customHeight="1" thickBot="1" x14ac:dyDescent="0.25">
      <c r="A79" s="1782"/>
      <c r="B79" s="1776"/>
      <c r="C79" s="1772"/>
      <c r="D79" s="1777" t="s">
        <v>1897</v>
      </c>
      <c r="E79" s="1774" t="s">
        <v>958</v>
      </c>
      <c r="F79" s="1783">
        <f>IF(F78&gt;0,F77/F78," Complete Line 78")</f>
        <v>10390.709653849666</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14515</v>
      </c>
      <c r="G94" s="912"/>
    </row>
    <row r="95" spans="1:7" x14ac:dyDescent="0.2">
      <c r="A95" s="908" t="s">
        <v>140</v>
      </c>
      <c r="B95" s="908" t="s">
        <v>175</v>
      </c>
      <c r="C95" s="910">
        <v>1700</v>
      </c>
      <c r="D95" s="918" t="str">
        <f>'Revenues 9-14'!A82</f>
        <v>Total District/School Activity Income</v>
      </c>
      <c r="E95" s="906"/>
      <c r="F95" s="1789">
        <f>SUM('Revenues 9-14'!C82,'Revenues 9-14'!D82)</f>
        <v>86254</v>
      </c>
      <c r="G95" s="912"/>
    </row>
    <row r="96" spans="1:7" x14ac:dyDescent="0.2">
      <c r="A96" s="908" t="s">
        <v>459</v>
      </c>
      <c r="B96" s="908" t="s">
        <v>176</v>
      </c>
      <c r="C96" s="910">
        <f>'Revenues 9-14'!B84</f>
        <v>1811</v>
      </c>
      <c r="D96" s="911" t="str">
        <f>'Revenues 9-14'!A84</f>
        <v>Rentals - Regular Textbooks</v>
      </c>
      <c r="E96" s="906"/>
      <c r="F96" s="1789">
        <f>'Revenues 9-14'!C84</f>
        <v>88000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15049</v>
      </c>
      <c r="G104" s="912"/>
    </row>
    <row r="105" spans="1:7" x14ac:dyDescent="0.2">
      <c r="A105" s="908" t="s">
        <v>503</v>
      </c>
      <c r="B105" s="908" t="s">
        <v>1998</v>
      </c>
      <c r="C105" s="913">
        <v>3100</v>
      </c>
      <c r="D105" s="919" t="str">
        <f>'Revenues 9-14'!A132</f>
        <v>Total Special Education</v>
      </c>
      <c r="E105" s="906"/>
      <c r="F105" s="1789">
        <f>SUM('Revenues 9-14'!C132:D132,'Revenues 9-14'!F132)</f>
        <v>267781</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15213</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17344</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313940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21903</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805729</v>
      </c>
      <c r="G125" s="930"/>
    </row>
    <row r="126" spans="1:7" x14ac:dyDescent="0.2">
      <c r="A126" s="927" t="s">
        <v>668</v>
      </c>
      <c r="B126" s="927" t="s">
        <v>2019</v>
      </c>
      <c r="C126" s="932">
        <v>4300</v>
      </c>
      <c r="D126" s="933" t="str">
        <f>'Revenues 9-14'!A204</f>
        <v>Total Title I</v>
      </c>
      <c r="E126" s="906"/>
      <c r="F126" s="1789">
        <f>SUM('Revenues 9-14'!C204,'Revenues 9-14'!D204,'Revenues 9-14'!F204,'Revenues 9-14'!G204)</f>
        <v>397814</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60366</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113284</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55409</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14114</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174398</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2461113</v>
      </c>
    </row>
    <row r="175" spans="1:7" ht="12" customHeight="1" x14ac:dyDescent="0.2">
      <c r="A175" s="1770"/>
      <c r="B175" s="1784"/>
      <c r="C175" s="1785"/>
      <c r="D175" s="1786" t="s">
        <v>2052</v>
      </c>
      <c r="E175" s="1787"/>
      <c r="F175" s="1789">
        <f>'PCTC-OEPP 27-28'!F77-F174</f>
        <v>8915675</v>
      </c>
    </row>
    <row r="176" spans="1:7" ht="12" customHeight="1" x14ac:dyDescent="0.2">
      <c r="A176" s="1770"/>
      <c r="B176" s="1784"/>
      <c r="C176" s="1785"/>
      <c r="D176" s="1786" t="s">
        <v>1814</v>
      </c>
      <c r="E176" s="1787"/>
      <c r="F176" s="1789">
        <f>'Cap Outlay Deprec 26'!I18</f>
        <v>643048</v>
      </c>
    </row>
    <row r="177" spans="1:7" ht="12" customHeight="1" x14ac:dyDescent="0.2">
      <c r="A177" s="1770"/>
      <c r="B177" s="1784"/>
      <c r="C177" s="1785"/>
      <c r="D177" s="1786" t="s">
        <v>2053</v>
      </c>
      <c r="E177" s="1787"/>
      <c r="F177" s="1789">
        <f>F175+F176</f>
        <v>9558723</v>
      </c>
    </row>
    <row r="178" spans="1:7" ht="12" customHeight="1" x14ac:dyDescent="0.2">
      <c r="A178" s="1770"/>
      <c r="B178" s="1790"/>
      <c r="C178" s="1785"/>
      <c r="D178" s="1786" t="str">
        <f>D78</f>
        <v>9 Month ADA from District Average Daily Attendance/Prior General State Aid Inquiry 2018-2019</v>
      </c>
      <c r="E178" s="1787"/>
      <c r="F178" s="1791">
        <f>'PCTC-OEPP 27-28'!F78</f>
        <v>1094.9000000000001</v>
      </c>
      <c r="G178" s="930"/>
    </row>
    <row r="179" spans="1:7" ht="12" customHeight="1" thickBot="1" x14ac:dyDescent="0.25">
      <c r="A179" s="1770"/>
      <c r="B179" s="1790"/>
      <c r="C179" s="1785"/>
      <c r="D179" s="1786" t="s">
        <v>2054</v>
      </c>
      <c r="E179" s="1787" t="s">
        <v>1545</v>
      </c>
      <c r="F179" s="1792">
        <f>F177/F178</f>
        <v>8730.2246780527894</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1815</v>
      </c>
      <c r="B4" s="2268"/>
      <c r="C4" s="2268"/>
      <c r="D4" s="2268"/>
      <c r="E4" s="2268"/>
      <c r="F4" s="2268"/>
      <c r="G4" s="2269"/>
    </row>
    <row r="5" spans="1:7" x14ac:dyDescent="0.25">
      <c r="A5" s="2270"/>
      <c r="B5" s="2271"/>
      <c r="C5" s="2271"/>
      <c r="D5" s="2271"/>
      <c r="E5" s="2271"/>
      <c r="F5" s="2271"/>
      <c r="G5" s="2272"/>
    </row>
    <row r="6" spans="1:7" ht="18.75" x14ac:dyDescent="0.25">
      <c r="A6" s="1534" t="s">
        <v>1816</v>
      </c>
      <c r="B6" s="1535"/>
      <c r="C6" s="1535"/>
      <c r="D6" s="1535"/>
      <c r="E6" s="1535"/>
      <c r="F6" s="1535"/>
      <c r="G6" s="1536"/>
    </row>
    <row r="7" spans="1:7" ht="30.75" customHeight="1" x14ac:dyDescent="0.25">
      <c r="A7" s="2273" t="s">
        <v>1928</v>
      </c>
      <c r="B7" s="2274"/>
      <c r="C7" s="2274"/>
      <c r="D7" s="2274"/>
      <c r="E7" s="2274"/>
      <c r="F7" s="2274"/>
      <c r="G7" s="2275"/>
    </row>
    <row r="8" spans="1:7" ht="15.75" customHeight="1" x14ac:dyDescent="0.25">
      <c r="A8" s="2276" t="s">
        <v>1903</v>
      </c>
      <c r="B8" s="2277"/>
      <c r="C8" s="2277"/>
      <c r="D8" s="2277"/>
      <c r="E8" s="2277"/>
      <c r="F8" s="2277"/>
      <c r="G8" s="2278"/>
    </row>
    <row r="9" spans="1:7" ht="35.25" customHeight="1" x14ac:dyDescent="0.25">
      <c r="A9" s="2273" t="s">
        <v>2060</v>
      </c>
      <c r="B9" s="2274"/>
      <c r="C9" s="2274"/>
      <c r="D9" s="2274"/>
      <c r="E9" s="2274"/>
      <c r="F9" s="2274"/>
      <c r="G9" s="2275"/>
    </row>
    <row r="10" spans="1:7" ht="15" customHeight="1" x14ac:dyDescent="0.25">
      <c r="A10" s="1537" t="s">
        <v>1817</v>
      </c>
      <c r="B10" s="1538"/>
      <c r="C10" s="1538"/>
      <c r="D10" s="1538"/>
      <c r="E10" s="1538"/>
      <c r="F10" s="1538"/>
      <c r="G10" s="1539"/>
    </row>
    <row r="11" spans="1:7" ht="17.25" customHeight="1" x14ac:dyDescent="0.25">
      <c r="A11" s="2273" t="s">
        <v>1930</v>
      </c>
      <c r="B11" s="2274"/>
      <c r="C11" s="2274"/>
      <c r="D11" s="2274"/>
      <c r="E11" s="2274"/>
      <c r="F11" s="2274"/>
      <c r="G11" s="2275"/>
    </row>
    <row r="12" spans="1:7" ht="15" customHeight="1" x14ac:dyDescent="0.25">
      <c r="A12" s="1537" t="s">
        <v>1822</v>
      </c>
      <c r="B12" s="1538"/>
      <c r="C12" s="1538"/>
      <c r="D12" s="1538"/>
      <c r="E12" s="1538"/>
      <c r="F12" s="1538"/>
      <c r="G12" s="1539"/>
    </row>
    <row r="13" spans="1:7" ht="32.25" customHeight="1" x14ac:dyDescent="0.25">
      <c r="A13" s="2264" t="s">
        <v>1971</v>
      </c>
      <c r="B13" s="2265"/>
      <c r="C13" s="2265"/>
      <c r="D13" s="2265"/>
      <c r="E13" s="2265"/>
      <c r="F13" s="2265"/>
      <c r="G13" s="2266"/>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4" t="s">
        <v>1972</v>
      </c>
      <c r="B11" s="2285"/>
      <c r="C11" s="2285"/>
      <c r="D11" s="2286"/>
      <c r="E11" s="977">
        <f>26159+20000</f>
        <v>46159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6851865</v>
      </c>
      <c r="F19" s="1799"/>
      <c r="G19" s="1801">
        <f>'Expenditures 15-22'!K33-SUM('Expenditures 15-22'!G33,'Expenditures 15-22'!I33)+'Expenditures 15-22'!D229</f>
        <v>6851865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430249</v>
      </c>
      <c r="F21" s="1802"/>
      <c r="G21" s="1805">
        <f>'Expenditures 15-22'!K42-SUM('Expenditures 15-22'!G42,'Expenditures 15-22'!I42)+'Expenditures 15-22'!K120-SUM('Expenditures 15-22'!G120,'Expenditures 15-22'!I120)+'Expenditures 15-22'!K180-SUM('Expenditures 15-22'!G180,'Expenditures 15-22'!I180)+'Expenditures 15-22'!D238</f>
        <v>430249</v>
      </c>
      <c r="H21" s="987"/>
      <c r="I21" s="162"/>
    </row>
    <row r="22" spans="1:9" s="668" customFormat="1" ht="12" customHeight="1" x14ac:dyDescent="0.2">
      <c r="A22" s="994" t="s">
        <v>564</v>
      </c>
      <c r="B22" s="995"/>
      <c r="C22" s="993">
        <v>2200</v>
      </c>
      <c r="D22" s="1802"/>
      <c r="E22" s="1804">
        <f>'Expenditures 15-22'!K47-SUM('Expenditures 15-22'!G47,'Expenditures 15-22'!I47)+'Expenditures 15-22'!D243</f>
        <v>116728</v>
      </c>
      <c r="F22" s="1802"/>
      <c r="G22" s="1805">
        <f>'Expenditures 15-22'!K47-SUM('Expenditures 15-22'!G47,'Expenditures 15-22'!I47)+'Expenditures 15-22'!D243</f>
        <v>116728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404353</v>
      </c>
      <c r="F23" s="1802"/>
      <c r="G23" s="1804">
        <f>'Expenditures 15-22'!K53-SUM('Expenditures 15-22'!G53,'Expenditures 15-22'!I53)+'Expenditures 15-22'!D257+'Expenditures 15-22'!K330-SUM('Expenditures 15-22'!G330,'Expenditures 15-22'!I330)</f>
        <v>404353</v>
      </c>
      <c r="H23" s="987"/>
      <c r="I23" s="162"/>
    </row>
    <row r="24" spans="1:9" s="668" customFormat="1" ht="12" customHeight="1" x14ac:dyDescent="0.2">
      <c r="A24" s="994" t="s">
        <v>566</v>
      </c>
      <c r="B24" s="995"/>
      <c r="C24" s="993">
        <v>2400</v>
      </c>
      <c r="D24" s="1802"/>
      <c r="E24" s="1804">
        <f>'Expenditures 15-22'!K57-SUM('Expenditures 15-22'!G57,'Expenditures 15-22'!I57)+'Expenditures 15-22'!D261</f>
        <v>704445</v>
      </c>
      <c r="F24" s="1802"/>
      <c r="G24" s="1805">
        <f>'Expenditures 15-22'!K57-SUM('Expenditures 15-22'!G57,'Expenditures 15-22'!I57)+'Expenditures 15-22'!D261</f>
        <v>704445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135302</v>
      </c>
      <c r="E27" s="1804">
        <f>E8</f>
        <v>0</v>
      </c>
      <c r="F27" s="1804">
        <f>'Expenditures 15-22'!K60-SUM('Expenditures 15-22'!G60,'Expenditures 15-22'!I60)+'Expenditures 15-22'!D264-E8</f>
        <v>135302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1331350</v>
      </c>
      <c r="F28" s="1806">
        <f>'Expenditures 15-22'!K61-SUM('Expenditures 15-22'!G61,'Expenditures 15-22'!I61)+'Expenditures 15-22'!K124-SUM('Expenditures 15-22'!G124,'Expenditures 15-22'!I124)+'Expenditures 15-22'!D266-E9</f>
        <v>1331350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696812</v>
      </c>
      <c r="F29" s="1802"/>
      <c r="G29" s="1805">
        <f>'Expenditures 15-22'!K62-SUM('Expenditures 15-22'!G62,'Expenditures 15-22'!I62)+'Expenditures 15-22'!K125-SUM('Expenditures 15-22'!G125,'Expenditures 15-22'!I125)+'Expenditures 15-22'!K182-SUM('Expenditures 15-22'!G182,'Expenditures 15-22'!I182)+'Expenditures 15-22'!D267</f>
        <v>696812</v>
      </c>
      <c r="H29" s="985"/>
    </row>
    <row r="30" spans="1:9" ht="12" customHeight="1" x14ac:dyDescent="0.2">
      <c r="A30" s="994" t="s">
        <v>100</v>
      </c>
      <c r="B30" s="997"/>
      <c r="C30" s="993">
        <v>2560</v>
      </c>
      <c r="D30" s="1802"/>
      <c r="E30" s="1804">
        <f>'Expenditures 15-22'!K63-SUM('Expenditures 15-22'!G63,'Expenditures 15-22'!I63)+'Expenditures 15-22'!D268-E10</f>
        <v>743030</v>
      </c>
      <c r="F30" s="1802"/>
      <c r="G30" s="1804">
        <f>'Expenditures 15-22'!K63-SUM('Expenditures 15-22'!G63,'Expenditures 15-22'!I63)+'Expenditures 15-22'!D268-E10</f>
        <v>743030</v>
      </c>
    </row>
    <row r="31" spans="1:9" ht="12" customHeight="1" x14ac:dyDescent="0.2">
      <c r="A31" s="994" t="s">
        <v>101</v>
      </c>
      <c r="B31" s="997"/>
      <c r="C31" s="993">
        <v>2570</v>
      </c>
      <c r="D31" s="1804">
        <f>'Expenditures 15-22'!K64-SUM('Expenditures 15-22'!G64,'Expenditures 15-22'!I64)+'Expenditures 15-22'!D269-E12</f>
        <v>2019</v>
      </c>
      <c r="E31" s="1804">
        <f>E12</f>
        <v>0</v>
      </c>
      <c r="F31" s="1804">
        <f>'Expenditures 15-22'!K64-SUM('Expenditures 15-22'!G64,'Expenditures 15-22'!I64)+'Expenditures 15-22'!D269-E12</f>
        <v>2019</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1167</v>
      </c>
      <c r="E36" s="1804">
        <f>E13</f>
        <v>0</v>
      </c>
      <c r="F36" s="1804">
        <f>'Expenditures 15-22'!K70-SUM('Expenditures 15-22'!G70,'Expenditures 15-22'!I70)+'Expenditures 15-22'!D275-E13</f>
        <v>1167</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28847</v>
      </c>
      <c r="F38" s="1802"/>
      <c r="G38" s="1804">
        <f>'Expenditures 15-22'!K73-SUM('Expenditures 15-22'!G73,'Expenditures 15-22'!I73)+'Expenditures 15-22'!K128-SUM('Expenditures 15-22'!G128,'Expenditures 15-22'!I128)+'Expenditures 15-22'!K183-SUM('Expenditures 15-22'!G183,'Expenditures 15-22'!I183)+'Expenditures 15-22'!D278</f>
        <v>28847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54540</v>
      </c>
      <c r="F39" s="1802"/>
      <c r="G39" s="1804">
        <f>'Expenditures 15-22'!K75-SUM('Expenditures 15-22'!G75,'Expenditures 15-22'!I75)+'Expenditures 15-22'!K130-SUM('Expenditures 15-22'!G130,'Expenditures 15-22'!I130)+'Expenditures 15-22'!K185-SUM('Expenditures 15-22'!G185,'Expenditures 15-22'!I185)+'Expenditures 15-22'!D280</f>
        <v>54540</v>
      </c>
    </row>
    <row r="40" spans="1:7" ht="12" customHeight="1" x14ac:dyDescent="0.2">
      <c r="A40" s="990" t="s">
        <v>1820</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138488</v>
      </c>
      <c r="E41" s="1806">
        <f>SUM(E19:E40)</f>
        <v>11362219</v>
      </c>
      <c r="F41" s="1806">
        <f>SUM(F19:F39)</f>
        <v>1469838</v>
      </c>
      <c r="G41" s="1806">
        <f>SUM(G19:G40)</f>
        <v>10030869</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138488</v>
      </c>
      <c r="F43" s="1807" t="s">
        <v>473</v>
      </c>
      <c r="G43" s="1808">
        <f>F41</f>
        <v>1469838</v>
      </c>
    </row>
    <row r="44" spans="1:7" ht="12" customHeight="1" x14ac:dyDescent="0.2">
      <c r="A44" s="987"/>
      <c r="B44" s="162"/>
      <c r="C44" s="1001"/>
      <c r="D44" s="1807" t="s">
        <v>474</v>
      </c>
      <c r="E44" s="1808">
        <f>E41</f>
        <v>11362219</v>
      </c>
      <c r="F44" s="1807" t="s">
        <v>474</v>
      </c>
      <c r="G44" s="1808">
        <f>G41</f>
        <v>10030869</v>
      </c>
    </row>
    <row r="45" spans="1:7" ht="12" customHeight="1" x14ac:dyDescent="0.2">
      <c r="A45" s="987"/>
      <c r="B45" s="162"/>
      <c r="C45" s="162"/>
      <c r="D45" s="1809" t="s">
        <v>1006</v>
      </c>
      <c r="E45" s="1810">
        <f>(E43/E44)</f>
        <v>1.2188464242768073E-2</v>
      </c>
      <c r="F45" s="1809" t="s">
        <v>1006</v>
      </c>
      <c r="G45" s="1810">
        <f>(G43/G44)</f>
        <v>0.14653147199908603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9" sqref="B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Riverton CUSD 14</v>
      </c>
      <c r="D6" s="2294"/>
      <c r="E6" s="2294"/>
      <c r="F6" s="1852"/>
    </row>
    <row r="7" spans="1:10" ht="11.25" customHeight="1" thickBot="1" x14ac:dyDescent="0.3">
      <c r="A7" s="1850"/>
      <c r="B7" s="1851"/>
      <c r="C7" s="2295">
        <f>COVER!A13</f>
        <v>51084014026</v>
      </c>
      <c r="D7" s="2295"/>
      <c r="E7" s="2295"/>
      <c r="F7" s="1852"/>
    </row>
    <row r="8" spans="1:10" ht="25.5" customHeight="1" thickBot="1" x14ac:dyDescent="0.25">
      <c r="A8" s="1893" t="s">
        <v>1904</v>
      </c>
      <c r="B8" s="1853" t="s">
        <v>2139</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Riverton CUSD 14</v>
      </c>
      <c r="J6" s="2315"/>
      <c r="Q6" s="1664"/>
    </row>
    <row r="7" spans="1:17" x14ac:dyDescent="0.2">
      <c r="A7" s="2316" t="s">
        <v>869</v>
      </c>
      <c r="B7" s="2317"/>
      <c r="C7" s="2317"/>
      <c r="D7" s="2317"/>
      <c r="E7" s="2318"/>
      <c r="F7" s="1017"/>
      <c r="G7" s="1009"/>
      <c r="H7" s="1016" t="s">
        <v>372</v>
      </c>
      <c r="I7" s="2319">
        <f>COVER!A13</f>
        <v>51084014026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230540</v>
      </c>
      <c r="F12" s="1039"/>
      <c r="G12" s="1811">
        <f t="shared" ref="G12:G18" si="0">SUM(E12:F12)</f>
        <v>230540</v>
      </c>
      <c r="H12" s="1040">
        <v>241584</v>
      </c>
      <c r="I12" s="1039"/>
      <c r="J12" s="1811">
        <f t="shared" ref="J12:J18" si="1">SUM(H12:I12)</f>
        <v>241584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1660</v>
      </c>
      <c r="F16" s="1039"/>
      <c r="G16" s="1811">
        <f t="shared" si="0"/>
        <v>1660</v>
      </c>
      <c r="H16" s="1040">
        <v>1700</v>
      </c>
      <c r="I16" s="1039"/>
      <c r="J16" s="1811">
        <f t="shared" si="1"/>
        <v>1700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232200</v>
      </c>
      <c r="F19" s="1813">
        <f t="shared" si="2"/>
        <v>0</v>
      </c>
      <c r="G19" s="1813">
        <f t="shared" si="2"/>
        <v>232200</v>
      </c>
      <c r="H19" s="1813">
        <f t="shared" si="2"/>
        <v>243284</v>
      </c>
      <c r="I19" s="1813">
        <f t="shared" si="2"/>
        <v>0</v>
      </c>
      <c r="J19" s="1813">
        <f t="shared" si="2"/>
        <v>243284</v>
      </c>
    </row>
    <row r="20" spans="1:10" ht="13.5" thickTop="1" x14ac:dyDescent="0.2">
      <c r="A20" s="1035">
        <v>9</v>
      </c>
      <c r="B20" s="2326" t="s">
        <v>1976</v>
      </c>
      <c r="C20" s="2326"/>
      <c r="D20" s="2327"/>
      <c r="E20" s="1046"/>
      <c r="F20" s="1046"/>
      <c r="G20" s="1046"/>
      <c r="H20" s="1046"/>
      <c r="I20" s="1046"/>
      <c r="J20" s="1814">
        <f>IF(AND(G19&gt;0,J19&gt;0),(((J19-G19)/G19)),"Enter Budget Data")</f>
        <v>4.773471145564169E-2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1978</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3" sqref="B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2146</v>
      </c>
    </row>
    <row r="6" spans="1:2" x14ac:dyDescent="0.2">
      <c r="A6" s="1068">
        <v>2</v>
      </c>
      <c r="B6" s="329" t="s">
        <v>2147</v>
      </c>
    </row>
    <row r="7" spans="1:2" x14ac:dyDescent="0.2">
      <c r="A7" s="1068">
        <v>3</v>
      </c>
      <c r="B7" s="329" t="s">
        <v>2148</v>
      </c>
    </row>
    <row r="8" spans="1:2" x14ac:dyDescent="0.2">
      <c r="A8" s="1068">
        <v>4</v>
      </c>
      <c r="B8" s="329" t="s">
        <v>2149</v>
      </c>
    </row>
    <row r="9" spans="1:2" x14ac:dyDescent="0.2">
      <c r="A9" s="1069"/>
      <c r="B9" s="329" t="s">
        <v>2150</v>
      </c>
    </row>
    <row r="10" spans="1:2" x14ac:dyDescent="0.2">
      <c r="A10" s="1069"/>
      <c r="B10" s="329" t="s">
        <v>2151</v>
      </c>
    </row>
    <row r="11" spans="1:2" x14ac:dyDescent="0.2">
      <c r="A11" s="1069"/>
      <c r="B11" s="329" t="s">
        <v>2152</v>
      </c>
    </row>
    <row r="12" spans="1:2" x14ac:dyDescent="0.2">
      <c r="A12" s="1069"/>
      <c r="B12" s="329" t="s">
        <v>2153</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Riverton CUSD 14</v>
      </c>
    </row>
    <row r="65" spans="2:2" x14ac:dyDescent="0.2">
      <c r="B65" s="1070">
        <f>COVER!A13</f>
        <v>51084014026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257175</xdr:colOff>
                <xdr:row>2</xdr:row>
                <xdr:rowOff>76200</xdr:rowOff>
              </from>
              <to>
                <xdr:col>1</xdr:col>
                <xdr:colOff>1171575</xdr:colOff>
                <xdr:row>6</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1982</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1983</v>
      </c>
      <c r="B4" s="2354"/>
      <c r="C4" s="2354"/>
      <c r="D4" s="2354"/>
      <c r="E4" s="2354"/>
      <c r="F4" s="2355"/>
      <c r="G4" s="1074"/>
      <c r="H4" s="1074"/>
    </row>
    <row r="5" spans="1:8" ht="14.25" customHeight="1" x14ac:dyDescent="0.2">
      <c r="A5" s="2356" t="s">
        <v>1979</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11709513</v>
      </c>
      <c r="C8" s="1815">
        <f>'Acct Summary 7-8'!D8</f>
        <v>1308631</v>
      </c>
      <c r="D8" s="1815">
        <f>'Acct Summary 7-8'!F8</f>
        <v>881517</v>
      </c>
      <c r="E8" s="1815">
        <f>'Acct Summary 7-8'!I8</f>
        <v>0</v>
      </c>
      <c r="F8" s="1815">
        <f>SUM(B8:E8)</f>
        <v>13899661</v>
      </c>
    </row>
    <row r="9" spans="1:8" s="1079" customFormat="1" ht="14.25" customHeight="1" thickBot="1" x14ac:dyDescent="0.25">
      <c r="A9" s="1078" t="s">
        <v>1369</v>
      </c>
      <c r="B9" s="1816">
        <f>'Acct Summary 7-8'!C17</f>
        <v>10505096</v>
      </c>
      <c r="C9" s="1816">
        <f>'Acct Summary 7-8'!D17</f>
        <v>1618046</v>
      </c>
      <c r="D9" s="1816">
        <f>'Acct Summary 7-8'!F17</f>
        <v>634399</v>
      </c>
      <c r="E9" s="1815"/>
      <c r="F9" s="1815">
        <f>SUM(B9:E9)</f>
        <v>12757541</v>
      </c>
    </row>
    <row r="10" spans="1:8" s="1079" customFormat="1" ht="14.25" thickTop="1" thickBot="1" x14ac:dyDescent="0.25">
      <c r="A10" s="1080" t="s">
        <v>1370</v>
      </c>
      <c r="B10" s="1817">
        <f>(B8-B9)</f>
        <v>1204417</v>
      </c>
      <c r="C10" s="1817">
        <f>(C8-C9)</f>
        <v>-309415</v>
      </c>
      <c r="D10" s="1817">
        <f>(D8-D9)</f>
        <v>247118</v>
      </c>
      <c r="E10" s="1816">
        <f>(E8-E9)</f>
        <v>0</v>
      </c>
      <c r="F10" s="1818">
        <f>SUM(F8-F9)</f>
        <v>1142120</v>
      </c>
    </row>
    <row r="11" spans="1:8" s="1079" customFormat="1" ht="14.25" thickTop="1" thickBot="1" x14ac:dyDescent="0.25">
      <c r="A11" s="1081" t="s">
        <v>1980</v>
      </c>
      <c r="B11" s="1819">
        <f>'Acct Summary 7-8'!C81</f>
        <v>8828638</v>
      </c>
      <c r="C11" s="1819">
        <f>'Acct Summary 7-8'!D81</f>
        <v>1237725</v>
      </c>
      <c r="D11" s="1819">
        <f>'Acct Summary 7-8'!F81</f>
        <v>959639</v>
      </c>
      <c r="E11" s="1819">
        <f>'Acct Summary 7-8'!I81</f>
        <v>2334033</v>
      </c>
      <c r="F11" s="1820">
        <f>SUM(B11:E11)</f>
        <v>13360035</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51084014026</v>
      </c>
    </row>
    <row r="3" spans="1:2" x14ac:dyDescent="0.2">
      <c r="A3" t="s">
        <v>956</v>
      </c>
      <c r="B3" s="138" t="str">
        <f>COVER!A15</f>
        <v>SANGAMON</v>
      </c>
    </row>
    <row r="4" spans="1:2" x14ac:dyDescent="0.2">
      <c r="A4" t="s">
        <v>1007</v>
      </c>
      <c r="B4" s="138" t="str">
        <f>COVER!A17</f>
        <v>Riverton CUSD 14</v>
      </c>
    </row>
    <row r="5" spans="1:2" x14ac:dyDescent="0.2">
      <c r="A5" t="s">
        <v>704</v>
      </c>
      <c r="B5" s="138" t="str">
        <f>COVER!A38</f>
        <v>BRAD POLANIN</v>
      </c>
    </row>
    <row r="6" spans="1:2" x14ac:dyDescent="0.2">
      <c r="A6" t="s">
        <v>709</v>
      </c>
      <c r="B6" s="138">
        <f>COVER!P35</f>
        <v>0</v>
      </c>
    </row>
    <row r="7" spans="1:2" x14ac:dyDescent="0.2">
      <c r="A7" t="s">
        <v>705</v>
      </c>
      <c r="B7" s="138">
        <f>COVER!I38</f>
        <v>0</v>
      </c>
    </row>
    <row r="8" spans="1:2" x14ac:dyDescent="0.2">
      <c r="A8" t="s">
        <v>706</v>
      </c>
      <c r="B8" s="138" t="str">
        <f>COVER!T38</f>
        <v>JEFF VOSE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066-004886</v>
      </c>
    </row>
    <row r="16" spans="1:2" x14ac:dyDescent="0.2">
      <c r="A16" t="s">
        <v>422</v>
      </c>
      <c r="B16" s="138" t="str">
        <f>COVER!T13</f>
        <v>LOY MILLER TALLEY, PC</v>
      </c>
    </row>
    <row r="17" spans="1:2" x14ac:dyDescent="0.2">
      <c r="A17" t="s">
        <v>884</v>
      </c>
      <c r="B17" s="138" t="str">
        <f>COVER!T15</f>
        <v>KENNETH E. LOY</v>
      </c>
    </row>
    <row r="18" spans="1:2" x14ac:dyDescent="0.2">
      <c r="A18" t="s">
        <v>1150</v>
      </c>
      <c r="B18" s="138" t="str">
        <f>COVER!T17</f>
        <v>#2 CROSSROADS COURT</v>
      </c>
    </row>
    <row r="19" spans="1:2" x14ac:dyDescent="0.2">
      <c r="A19" t="s">
        <v>886</v>
      </c>
      <c r="B19" s="138" t="str">
        <f>COVER!T25</f>
        <v>KEN@LMTCPAS.COM</v>
      </c>
    </row>
    <row r="20" spans="1:2" x14ac:dyDescent="0.2">
      <c r="A20" t="s">
        <v>887</v>
      </c>
      <c r="B20" s="138" t="str">
        <f>COVER!T19</f>
        <v>ALTON</v>
      </c>
    </row>
    <row r="21" spans="1:2" x14ac:dyDescent="0.2">
      <c r="A21" t="s">
        <v>479</v>
      </c>
      <c r="B21" s="138" t="str">
        <f>COVER!X19</f>
        <v>ILLINOIS</v>
      </c>
    </row>
    <row r="22" spans="1:2" x14ac:dyDescent="0.2">
      <c r="A22" t="s">
        <v>888</v>
      </c>
      <c r="B22" s="138">
        <f>COVER!Z19</f>
        <v>62002</v>
      </c>
    </row>
    <row r="23" spans="1:2" x14ac:dyDescent="0.2">
      <c r="A23" t="s">
        <v>1152</v>
      </c>
      <c r="B23" s="138" t="str">
        <f>COVER!T21</f>
        <v>618-465-1196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6594858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4284700</v>
      </c>
      <c r="D76" s="2" t="str">
        <f t="shared" si="0"/>
        <v>Error?</v>
      </c>
    </row>
    <row r="77" spans="1:4" x14ac:dyDescent="0.2">
      <c r="A77" s="5">
        <v>16</v>
      </c>
      <c r="B77" s="138">
        <f>'Assets-Liab 5-6'!C13</f>
        <v>10879558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2050920</v>
      </c>
      <c r="C91" s="2" t="s">
        <v>573</v>
      </c>
      <c r="D91" s="2" t="str">
        <f t="shared" si="0"/>
        <v>Error?</v>
      </c>
    </row>
    <row r="92" spans="1:4" x14ac:dyDescent="0.2">
      <c r="A92" s="5">
        <v>31</v>
      </c>
      <c r="B92" s="138">
        <f>'Assets-Liab 5-6'!C39</f>
        <v>8314462</v>
      </c>
      <c r="D92" s="2" t="str">
        <f t="shared" si="0"/>
        <v>Error?</v>
      </c>
    </row>
    <row r="93" spans="1:4" x14ac:dyDescent="0.2">
      <c r="A93" s="5">
        <v>32</v>
      </c>
      <c r="B93" s="138">
        <f>'Assets-Liab 5-6'!C41</f>
        <v>10879558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1237725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1237725</v>
      </c>
      <c r="D123" s="2" t="str">
        <f t="shared" si="0"/>
        <v>Error?</v>
      </c>
    </row>
    <row r="124" spans="1:4" x14ac:dyDescent="0.2">
      <c r="A124" s="5">
        <v>63</v>
      </c>
      <c r="B124" s="138">
        <f>'Assets-Liab 5-6'!D41</f>
        <v>1237725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761864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761864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959639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959639</v>
      </c>
      <c r="D170" s="2" t="str">
        <f t="shared" si="1"/>
        <v>Error?</v>
      </c>
    </row>
    <row r="171" spans="1:4" x14ac:dyDescent="0.2">
      <c r="A171" s="5">
        <v>110</v>
      </c>
      <c r="B171" s="138">
        <f>'Assets-Liab 5-6'!F41</f>
        <v>959639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390923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390923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9046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9046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9046</v>
      </c>
      <c r="D212" s="2" t="str">
        <f t="shared" si="2"/>
        <v>Error?</v>
      </c>
    </row>
    <row r="213" spans="1:4" x14ac:dyDescent="0.2">
      <c r="A213" s="12">
        <v>152</v>
      </c>
      <c r="B213" s="138">
        <f>'Assets-Liab 5-6'!H41</f>
        <v>9046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1553417</v>
      </c>
      <c r="D273" s="2" t="str">
        <f t="shared" si="3"/>
        <v>Error?</v>
      </c>
    </row>
    <row r="274" spans="1:4" x14ac:dyDescent="0.2">
      <c r="A274" s="5">
        <v>213</v>
      </c>
      <c r="B274" s="138">
        <f>'Assets-Liab 5-6'!M17</f>
        <v>27112037</v>
      </c>
      <c r="D274" s="2" t="str">
        <f t="shared" si="3"/>
        <v>Error?</v>
      </c>
    </row>
    <row r="275" spans="1:4" x14ac:dyDescent="0.2">
      <c r="A275" s="5">
        <v>214</v>
      </c>
      <c r="B275" s="138">
        <f>'Assets-Liab 5-6'!M18</f>
        <v>824001</v>
      </c>
      <c r="D275" s="2" t="str">
        <f t="shared" si="3"/>
        <v>Error?</v>
      </c>
    </row>
    <row r="276" spans="1:4" x14ac:dyDescent="0.2">
      <c r="A276" s="5">
        <v>215</v>
      </c>
      <c r="B276" s="138">
        <f>'Assets-Liab 5-6'!M19</f>
        <v>2825802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32315257</v>
      </c>
      <c r="C279" s="2" t="s">
        <v>573</v>
      </c>
      <c r="D279" s="2" t="str">
        <f t="shared" si="3"/>
        <v>Error?</v>
      </c>
    </row>
    <row r="280" spans="1:4" x14ac:dyDescent="0.2">
      <c r="A280" s="5">
        <v>219</v>
      </c>
      <c r="B280" s="138">
        <f>'Assets-Liab 5-6'!M40</f>
        <v>32315257</v>
      </c>
      <c r="D280" s="2" t="str">
        <f t="shared" si="3"/>
        <v>Error?</v>
      </c>
    </row>
    <row r="281" spans="1:4" x14ac:dyDescent="0.2">
      <c r="A281" s="5">
        <v>220</v>
      </c>
      <c r="B281" s="138">
        <f>'Assets-Liab 5-6'!M41</f>
        <v>32315257</v>
      </c>
      <c r="C281" s="2" t="s">
        <v>573</v>
      </c>
      <c r="D281" s="2" t="str">
        <f t="shared" si="3"/>
        <v>Error?</v>
      </c>
    </row>
    <row r="282" spans="1:4" x14ac:dyDescent="0.2">
      <c r="A282" s="5">
        <v>221</v>
      </c>
      <c r="B282" s="138">
        <f>'Assets-Liab 5-6'!N21</f>
        <v>761864</v>
      </c>
      <c r="D282" s="2" t="str">
        <f t="shared" si="3"/>
        <v>Error?</v>
      </c>
    </row>
    <row r="283" spans="1:4" x14ac:dyDescent="0.2">
      <c r="A283" s="5">
        <v>222</v>
      </c>
      <c r="B283" s="138">
        <f>'Assets-Liab 5-6'!N22</f>
        <v>4512097</v>
      </c>
      <c r="D283" s="2" t="str">
        <f t="shared" si="3"/>
        <v>Error?</v>
      </c>
    </row>
    <row r="284" spans="1:4" x14ac:dyDescent="0.2">
      <c r="A284" s="5">
        <v>223</v>
      </c>
      <c r="B284" s="138">
        <f>'Assets-Liab 5-6'!N23</f>
        <v>5273961</v>
      </c>
      <c r="C284" s="2" t="s">
        <v>573</v>
      </c>
      <c r="D284" s="2" t="str">
        <f t="shared" si="3"/>
        <v>Error?</v>
      </c>
    </row>
    <row r="285" spans="1:4" x14ac:dyDescent="0.2">
      <c r="A285" s="5">
        <v>224</v>
      </c>
      <c r="B285" s="138">
        <f>'Assets-Liab 5-6'!N36</f>
        <v>5273961</v>
      </c>
      <c r="D285" s="2" t="str">
        <f t="shared" si="3"/>
        <v>Error?</v>
      </c>
    </row>
    <row r="286" spans="1:4" x14ac:dyDescent="0.2">
      <c r="A286" s="10">
        <v>225</v>
      </c>
      <c r="D286" s="2" t="str">
        <f t="shared" si="3"/>
        <v>OK</v>
      </c>
    </row>
    <row r="287" spans="1:4" x14ac:dyDescent="0.2">
      <c r="A287" s="5">
        <v>226</v>
      </c>
      <c r="B287" s="138">
        <f>'Assets-Liab 5-6'!N37</f>
        <v>5273961</v>
      </c>
      <c r="C287" s="2" t="s">
        <v>573</v>
      </c>
      <c r="D287" s="2" t="str">
        <f t="shared" si="3"/>
        <v>Error?</v>
      </c>
    </row>
    <row r="288" spans="1:4" x14ac:dyDescent="0.2">
      <c r="A288" s="5">
        <v>227</v>
      </c>
      <c r="B288" s="138">
        <f>'Assets-Liab 5-6'!N41</f>
        <v>5273961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3628733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25304</v>
      </c>
      <c r="D717" s="2" t="str">
        <f t="shared" si="10"/>
        <v>Error?</v>
      </c>
    </row>
    <row r="718" spans="1:4" x14ac:dyDescent="0.2">
      <c r="A718" s="5">
        <v>657</v>
      </c>
      <c r="B718" s="138">
        <f>'Expenditures 15-22'!C14</f>
        <v>212913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5538029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287979</v>
      </c>
      <c r="D722" s="2" t="str">
        <f t="shared" si="10"/>
        <v>Error?</v>
      </c>
    </row>
    <row r="723" spans="1:4" x14ac:dyDescent="0.2">
      <c r="A723" s="5">
        <v>662</v>
      </c>
      <c r="B723" s="138">
        <f>'Expenditures 15-22'!C38</f>
        <v>83404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371383</v>
      </c>
      <c r="C727" s="2" t="s">
        <v>573</v>
      </c>
      <c r="D727" s="2" t="str">
        <f t="shared" si="10"/>
        <v>Error?</v>
      </c>
    </row>
    <row r="728" spans="1:4" x14ac:dyDescent="0.2">
      <c r="A728" s="5">
        <v>667</v>
      </c>
      <c r="B728" s="138">
        <f>'Expenditures 15-22'!C44</f>
        <v>7259</v>
      </c>
      <c r="D728" s="2" t="str">
        <f t="shared" si="10"/>
        <v>Error?</v>
      </c>
    </row>
    <row r="729" spans="1:4" x14ac:dyDescent="0.2">
      <c r="A729" s="5">
        <v>668</v>
      </c>
      <c r="B729" s="138">
        <f>'Expenditures 15-22'!C45</f>
        <v>67164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74423</v>
      </c>
      <c r="C731" s="2" t="s">
        <v>573</v>
      </c>
      <c r="D731" s="2" t="str">
        <f t="shared" si="10"/>
        <v>Error?</v>
      </c>
    </row>
    <row r="732" spans="1:4" x14ac:dyDescent="0.2">
      <c r="A732" s="5">
        <v>671</v>
      </c>
      <c r="B732" s="138">
        <f>'Expenditures 15-22'!C49</f>
        <v>7856</v>
      </c>
      <c r="D732" s="2" t="str">
        <f t="shared" si="10"/>
        <v>Error?</v>
      </c>
    </row>
    <row r="733" spans="1:4" x14ac:dyDescent="0.2">
      <c r="A733" s="5">
        <v>672</v>
      </c>
      <c r="B733" s="138">
        <f>'Expenditures 15-22'!C50</f>
        <v>176375</v>
      </c>
      <c r="D733" s="2" t="str">
        <f t="shared" si="10"/>
        <v>Error?</v>
      </c>
    </row>
    <row r="734" spans="1:4" x14ac:dyDescent="0.2">
      <c r="A734" s="5">
        <v>673</v>
      </c>
      <c r="B734" s="138">
        <f>'Expenditures 15-22'!C53</f>
        <v>184231</v>
      </c>
      <c r="C734" s="2" t="s">
        <v>573</v>
      </c>
      <c r="D734" s="2" t="str">
        <f t="shared" si="10"/>
        <v>Error?</v>
      </c>
    </row>
    <row r="735" spans="1:4" x14ac:dyDescent="0.2">
      <c r="A735" s="5">
        <v>674</v>
      </c>
      <c r="B735" s="138">
        <f>'Expenditures 15-22'!C55</f>
        <v>607738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607738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108769</v>
      </c>
      <c r="D739" s="2" t="str">
        <f t="shared" si="10"/>
        <v>Error?</v>
      </c>
    </row>
    <row r="740" spans="1:4" x14ac:dyDescent="0.2">
      <c r="A740" s="5">
        <v>679</v>
      </c>
      <c r="B740" s="138">
        <f>'Expenditures 15-22'!C61</f>
        <v>18905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42508</v>
      </c>
      <c r="D742" s="2" t="str">
        <f t="shared" si="10"/>
        <v>Error?</v>
      </c>
    </row>
    <row r="743" spans="1:4" x14ac:dyDescent="0.2">
      <c r="A743" s="5">
        <v>682</v>
      </c>
      <c r="B743" s="138">
        <f>'Expenditures 15-22'!C64</f>
        <v>1660</v>
      </c>
      <c r="D743" s="2" t="str">
        <f t="shared" si="10"/>
        <v>Error?</v>
      </c>
    </row>
    <row r="744" spans="1:4" x14ac:dyDescent="0.2">
      <c r="A744" s="10">
        <v>683</v>
      </c>
      <c r="D744" s="2" t="str">
        <f t="shared" si="10"/>
        <v>OK</v>
      </c>
    </row>
    <row r="745" spans="1:4" x14ac:dyDescent="0.2">
      <c r="A745" s="5">
        <v>684</v>
      </c>
      <c r="B745" s="138">
        <f>'Expenditures 15-22'!C65</f>
        <v>171842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26326</v>
      </c>
      <c r="D754" s="2" t="str">
        <f t="shared" si="10"/>
        <v>Error?</v>
      </c>
    </row>
    <row r="755" spans="1:4" x14ac:dyDescent="0.2">
      <c r="A755" s="5">
        <v>694</v>
      </c>
      <c r="B755" s="138">
        <f>'Expenditures 15-22'!C74</f>
        <v>1435943</v>
      </c>
      <c r="C755" s="2" t="s">
        <v>573</v>
      </c>
      <c r="D755" s="2" t="str">
        <f t="shared" si="10"/>
        <v>Error?</v>
      </c>
    </row>
    <row r="756" spans="1:4" x14ac:dyDescent="0.2">
      <c r="A756" s="5">
        <v>695</v>
      </c>
      <c r="B756" s="138">
        <f>'Expenditures 15-22'!C75</f>
        <v>39151</v>
      </c>
      <c r="D756" s="2" t="str">
        <f t="shared" si="10"/>
        <v>Error?</v>
      </c>
    </row>
    <row r="757" spans="1:4" x14ac:dyDescent="0.2">
      <c r="A757" s="5">
        <v>696</v>
      </c>
      <c r="B757" s="138">
        <f>'Expenditures 15-22'!C114</f>
        <v>7013123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291047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369</v>
      </c>
      <c r="D775" s="2" t="str">
        <f t="shared" si="11"/>
        <v>Error?</v>
      </c>
    </row>
    <row r="776" spans="1:4" x14ac:dyDescent="0.2">
      <c r="A776" s="5">
        <v>715</v>
      </c>
      <c r="B776" s="138">
        <f>'Expenditures 15-22'!D14</f>
        <v>7754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430918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17524</v>
      </c>
      <c r="D780" s="2" t="str">
        <f t="shared" si="11"/>
        <v>Error?</v>
      </c>
    </row>
    <row r="781" spans="1:4" x14ac:dyDescent="0.2">
      <c r="A781" s="5">
        <v>720</v>
      </c>
      <c r="B781" s="138">
        <f>'Expenditures 15-22'!D38</f>
        <v>8779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26303</v>
      </c>
      <c r="C785" s="2" t="s">
        <v>573</v>
      </c>
      <c r="D785" s="2" t="str">
        <f t="shared" si="11"/>
        <v>Error?</v>
      </c>
    </row>
    <row r="786" spans="1:4" x14ac:dyDescent="0.2">
      <c r="A786" s="5">
        <v>725</v>
      </c>
      <c r="B786" s="138">
        <f>'Expenditures 15-22'!D44</f>
        <v>687</v>
      </c>
      <c r="D786" s="2" t="str">
        <f t="shared" si="11"/>
        <v>Error?</v>
      </c>
    </row>
    <row r="787" spans="1:4" x14ac:dyDescent="0.2">
      <c r="A787" s="5">
        <v>726</v>
      </c>
      <c r="B787" s="138">
        <f>'Expenditures 15-22'!D45</f>
        <v>5401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6088</v>
      </c>
      <c r="C789" s="2" t="s">
        <v>573</v>
      </c>
      <c r="D789" s="2" t="str">
        <f t="shared" si="11"/>
        <v>Error?</v>
      </c>
    </row>
    <row r="790" spans="1:4" x14ac:dyDescent="0.2">
      <c r="A790" s="5">
        <v>729</v>
      </c>
      <c r="B790" s="138">
        <f>'Expenditures 15-22'!D49</f>
        <v>48335</v>
      </c>
      <c r="D790" s="2" t="str">
        <f t="shared" si="11"/>
        <v>Error?</v>
      </c>
    </row>
    <row r="791" spans="1:4" x14ac:dyDescent="0.2">
      <c r="A791" s="5">
        <v>730</v>
      </c>
      <c r="B791" s="138">
        <f>'Expenditures 15-22'!D50</f>
        <v>29007</v>
      </c>
      <c r="D791" s="2" t="str">
        <f t="shared" si="11"/>
        <v>Error?</v>
      </c>
    </row>
    <row r="792" spans="1:4" x14ac:dyDescent="0.2">
      <c r="A792" s="5">
        <v>731</v>
      </c>
      <c r="B792" s="138">
        <f>'Expenditures 15-22'!D53</f>
        <v>77342</v>
      </c>
      <c r="C792" s="2" t="s">
        <v>573</v>
      </c>
      <c r="D792" s="2" t="str">
        <f t="shared" si="11"/>
        <v>Error?</v>
      </c>
    </row>
    <row r="793" spans="1:4" x14ac:dyDescent="0.2">
      <c r="A793" s="5">
        <v>732</v>
      </c>
      <c r="B793" s="138">
        <f>'Expenditures 15-22'!D55</f>
        <v>51444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51444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18013</v>
      </c>
      <c r="D797" s="2" t="str">
        <f t="shared" si="11"/>
        <v>Error?</v>
      </c>
    </row>
    <row r="798" spans="1:4" x14ac:dyDescent="0.2">
      <c r="A798" s="5">
        <v>737</v>
      </c>
      <c r="B798" s="138">
        <f>'Expenditures 15-22'!D61</f>
        <v>966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4975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23954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185131</v>
      </c>
      <c r="C813" s="2" t="s">
        <v>573</v>
      </c>
      <c r="D813" s="2" t="str">
        <f t="shared" si="11"/>
        <v>Error?</v>
      </c>
    </row>
    <row r="814" spans="1:4" x14ac:dyDescent="0.2">
      <c r="A814" s="5">
        <v>753</v>
      </c>
      <c r="B814" s="138">
        <f>'Expenditures 15-22'!D75</f>
        <v>15</v>
      </c>
      <c r="D814" s="2" t="str">
        <f t="shared" si="11"/>
        <v>Error?</v>
      </c>
    </row>
    <row r="815" spans="1:4" x14ac:dyDescent="0.2">
      <c r="A815" s="5">
        <v>754</v>
      </c>
      <c r="B815" s="138">
        <f>'Expenditures 15-22'!D114</f>
        <v>616064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276094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27164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309801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363</v>
      </c>
      <c r="D838" s="2" t="str">
        <f t="shared" si="12"/>
        <v>Error?</v>
      </c>
    </row>
    <row r="839" spans="1:4" x14ac:dyDescent="0.2">
      <c r="A839" s="5">
        <v>778</v>
      </c>
      <c r="B839" s="138">
        <f>'Expenditures 15-22'!E38</f>
        <v>7241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7604</v>
      </c>
      <c r="C843" s="2" t="s">
        <v>573</v>
      </c>
      <c r="D843" s="2" t="str">
        <f t="shared" si="12"/>
        <v>Error?</v>
      </c>
    </row>
    <row r="844" spans="1:4" x14ac:dyDescent="0.2">
      <c r="A844" s="5">
        <v>783</v>
      </c>
      <c r="B844" s="138">
        <f>'Expenditures 15-22'!E44</f>
        <v>14427</v>
      </c>
      <c r="D844" s="2" t="str">
        <f t="shared" si="12"/>
        <v>Error?</v>
      </c>
    </row>
    <row r="845" spans="1:4" x14ac:dyDescent="0.2">
      <c r="A845" s="5">
        <v>784</v>
      </c>
      <c r="B845" s="138">
        <f>'Expenditures 15-22'!E45</f>
        <v>150</v>
      </c>
      <c r="D845" s="2" t="str">
        <f t="shared" si="12"/>
        <v>Error?</v>
      </c>
    </row>
    <row r="846" spans="1:4" x14ac:dyDescent="0.2">
      <c r="A846" s="5">
        <v>785</v>
      </c>
      <c r="B846" s="138">
        <f>'Expenditures 15-22'!E46</f>
        <v>8282</v>
      </c>
      <c r="D846" s="2" t="str">
        <f t="shared" si="12"/>
        <v>Error?</v>
      </c>
    </row>
    <row r="847" spans="1:4" x14ac:dyDescent="0.2">
      <c r="A847" s="5">
        <v>786</v>
      </c>
      <c r="B847" s="138">
        <f>'Expenditures 15-22'!E47</f>
        <v>22859</v>
      </c>
      <c r="C847" s="2" t="s">
        <v>573</v>
      </c>
      <c r="D847" s="2" t="str">
        <f t="shared" si="12"/>
        <v>Error?</v>
      </c>
    </row>
    <row r="848" spans="1:4" x14ac:dyDescent="0.2">
      <c r="A848" s="5">
        <v>787</v>
      </c>
      <c r="B848" s="138">
        <f>'Expenditures 15-22'!E49</f>
        <v>98167</v>
      </c>
      <c r="D848" s="2" t="str">
        <f t="shared" si="12"/>
        <v>Error?</v>
      </c>
    </row>
    <row r="849" spans="1:4" x14ac:dyDescent="0.2">
      <c r="A849" s="5">
        <v>788</v>
      </c>
      <c r="B849" s="138">
        <f>'Expenditures 15-22'!E50</f>
        <v>21364</v>
      </c>
      <c r="D849" s="2" t="str">
        <f t="shared" si="12"/>
        <v>Error?</v>
      </c>
    </row>
    <row r="850" spans="1:4" x14ac:dyDescent="0.2">
      <c r="A850" s="5">
        <v>789</v>
      </c>
      <c r="B850" s="138">
        <f>'Expenditures 15-22'!E53</f>
        <v>119531</v>
      </c>
      <c r="C850" s="2" t="s">
        <v>573</v>
      </c>
      <c r="D850" s="2" t="str">
        <f t="shared" si="12"/>
        <v>Error?</v>
      </c>
    </row>
    <row r="851" spans="1:4" x14ac:dyDescent="0.2">
      <c r="A851" s="5">
        <v>790</v>
      </c>
      <c r="B851" s="138">
        <f>'Expenditures 15-22'!E55</f>
        <v>2953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2953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681570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681570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1167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1167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835684</v>
      </c>
      <c r="C871" s="2" t="s">
        <v>573</v>
      </c>
      <c r="D871" s="2" t="str">
        <f t="shared" si="12"/>
        <v>Error?</v>
      </c>
    </row>
    <row r="872" spans="1:4" x14ac:dyDescent="0.2">
      <c r="A872" s="5">
        <v>811</v>
      </c>
      <c r="B872" s="138">
        <f>'Expenditures 15-22'!E75</f>
        <v>1741</v>
      </c>
      <c r="D872" s="2" t="str">
        <f t="shared" si="12"/>
        <v>Error?</v>
      </c>
    </row>
    <row r="873" spans="1:4" x14ac:dyDescent="0.2">
      <c r="A873" s="5">
        <v>812</v>
      </c>
      <c r="B873" s="138">
        <f>'Expenditures 15-22'!E114</f>
        <v>2367265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344381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13519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391136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224</v>
      </c>
      <c r="D896" s="2" t="str">
        <f t="shared" si="13"/>
        <v>Error?</v>
      </c>
    </row>
    <row r="897" spans="1:4" x14ac:dyDescent="0.2">
      <c r="A897" s="5">
        <v>836</v>
      </c>
      <c r="B897" s="138">
        <f>'Expenditures 15-22'!F38</f>
        <v>3073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3297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8376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8376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3030</v>
      </c>
      <c r="D907" s="2" t="str">
        <f t="shared" si="13"/>
        <v>Error?</v>
      </c>
    </row>
    <row r="908" spans="1:4" x14ac:dyDescent="0.2">
      <c r="A908" s="5">
        <v>847</v>
      </c>
      <c r="B908" s="138">
        <f>'Expenditures 15-22'!F53</f>
        <v>3030</v>
      </c>
      <c r="C908" s="2" t="s">
        <v>573</v>
      </c>
      <c r="D908" s="2" t="str">
        <f t="shared" si="13"/>
        <v>Error?</v>
      </c>
    </row>
    <row r="909" spans="1:4" x14ac:dyDescent="0.2">
      <c r="A909" s="5">
        <v>848</v>
      </c>
      <c r="B909" s="138">
        <f>'Expenditures 15-22'!F55</f>
        <v>5557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5557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536</v>
      </c>
      <c r="D913" s="2" t="str">
        <f t="shared" si="13"/>
        <v>Error?</v>
      </c>
    </row>
    <row r="914" spans="1:4" x14ac:dyDescent="0.2">
      <c r="A914" s="5">
        <v>853</v>
      </c>
      <c r="B914" s="138">
        <f>'Expenditures 15-22'!F61</f>
        <v>3443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29387</v>
      </c>
      <c r="C929" s="2" t="s">
        <v>573</v>
      </c>
      <c r="D929" s="2" t="str">
        <f t="shared" si="13"/>
        <v>Error?</v>
      </c>
    </row>
    <row r="930" spans="1:4" x14ac:dyDescent="0.2">
      <c r="A930" s="5">
        <v>869</v>
      </c>
      <c r="B930" s="138">
        <f>'Expenditures 15-22'!F75</f>
        <v>5123</v>
      </c>
      <c r="D930" s="2" t="str">
        <f t="shared" si="13"/>
        <v>Error?</v>
      </c>
    </row>
    <row r="931" spans="1:4" x14ac:dyDescent="0.2">
      <c r="A931" s="5">
        <v>870</v>
      </c>
      <c r="B931" s="138">
        <f>'Expenditures 15-22'!F114</f>
        <v>425646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24165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27641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999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999</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2655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2655</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13618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12847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26465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30119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57760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1229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12130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13359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3965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3965</v>
      </c>
      <c r="C1021" s="2" t="s">
        <v>573</v>
      </c>
      <c r="D1021" s="2" t="str">
        <f t="shared" si="14"/>
        <v>Error?</v>
      </c>
    </row>
    <row r="1022" spans="1:4" x14ac:dyDescent="0.2">
      <c r="A1022" s="5">
        <v>961</v>
      </c>
      <c r="B1022" s="138">
        <f>'Expenditures 15-22'!H49</f>
        <v>4365</v>
      </c>
      <c r="D1022" s="2" t="str">
        <f t="shared" si="14"/>
        <v>Error?</v>
      </c>
    </row>
    <row r="1023" spans="1:4" x14ac:dyDescent="0.2">
      <c r="A1023" s="5">
        <v>962</v>
      </c>
      <c r="B1023" s="138">
        <f>'Expenditures 15-22'!H50</f>
        <v>764</v>
      </c>
      <c r="D1023" s="2" t="str">
        <f t="shared" ref="D1023:D1086" si="15">IF(ISBLANK(B1023),"OK",IF(A1023-B1023=0,"OK","Error?"))</f>
        <v>Error?</v>
      </c>
    </row>
    <row r="1024" spans="1:4" x14ac:dyDescent="0.2">
      <c r="A1024" s="5">
        <v>963</v>
      </c>
      <c r="B1024" s="138">
        <f>'Expenditures 15-22'!H53</f>
        <v>5129</v>
      </c>
      <c r="C1024" s="2" t="s">
        <v>573</v>
      </c>
      <c r="D1024" s="2" t="str">
        <f t="shared" si="15"/>
        <v>Error?</v>
      </c>
    </row>
    <row r="1025" spans="1:4" x14ac:dyDescent="0.2">
      <c r="A1025" s="5">
        <v>964</v>
      </c>
      <c r="B1025" s="138">
        <f>'Expenditures 15-22'!H55</f>
        <v>2411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2411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374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11879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25238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4565649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25673</v>
      </c>
      <c r="C1105" s="2" t="s">
        <v>573</v>
      </c>
      <c r="D1105" s="2" t="str">
        <f t="shared" si="16"/>
        <v>Error?</v>
      </c>
    </row>
    <row r="1106" spans="1:4" x14ac:dyDescent="0.2">
      <c r="A1106" s="5">
        <v>1045</v>
      </c>
      <c r="B1106" s="138">
        <f>'Expenditures 15-22'!K14</f>
        <v>273480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6710884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306090</v>
      </c>
      <c r="C1110" s="2" t="s">
        <v>573</v>
      </c>
      <c r="D1110" s="2" t="str">
        <f t="shared" si="16"/>
        <v>Error?</v>
      </c>
    </row>
    <row r="1111" spans="1:4" x14ac:dyDescent="0.2">
      <c r="A1111" s="5">
        <v>1050</v>
      </c>
      <c r="B1111" s="138">
        <f>'Expenditures 15-22'!K38</f>
        <v>103496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409586</v>
      </c>
      <c r="C1115" s="2" t="s">
        <v>573</v>
      </c>
      <c r="D1115" s="2" t="str">
        <f t="shared" si="16"/>
        <v>Error?</v>
      </c>
    </row>
    <row r="1116" spans="1:4" x14ac:dyDescent="0.2">
      <c r="A1116" s="5">
        <v>1055</v>
      </c>
      <c r="B1116" s="138">
        <f>'Expenditures 15-22'!K44</f>
        <v>22373</v>
      </c>
      <c r="C1116" s="2" t="s">
        <v>573</v>
      </c>
      <c r="D1116" s="2" t="str">
        <f t="shared" si="16"/>
        <v>Error?</v>
      </c>
    </row>
    <row r="1117" spans="1:4" x14ac:dyDescent="0.2">
      <c r="A1117" s="5">
        <v>1056</v>
      </c>
      <c r="B1117" s="138">
        <f>'Expenditures 15-22'!K45</f>
        <v>85056</v>
      </c>
      <c r="C1117" s="2" t="s">
        <v>573</v>
      </c>
      <c r="D1117" s="2" t="str">
        <f t="shared" si="16"/>
        <v>Error?</v>
      </c>
    </row>
    <row r="1118" spans="1:4" x14ac:dyDescent="0.2">
      <c r="A1118" s="5">
        <v>1057</v>
      </c>
      <c r="B1118" s="138">
        <f>'Expenditures 15-22'!K46</f>
        <v>8282</v>
      </c>
      <c r="C1118" s="2" t="s">
        <v>573</v>
      </c>
      <c r="D1118" s="2" t="str">
        <f t="shared" si="16"/>
        <v>Error?</v>
      </c>
    </row>
    <row r="1119" spans="1:4" x14ac:dyDescent="0.2">
      <c r="A1119" s="5">
        <v>1058</v>
      </c>
      <c r="B1119" s="138">
        <f>'Expenditures 15-22'!K47</f>
        <v>115711</v>
      </c>
      <c r="C1119" s="2" t="s">
        <v>573</v>
      </c>
      <c r="D1119" s="2" t="str">
        <f t="shared" si="16"/>
        <v>Error?</v>
      </c>
    </row>
    <row r="1120" spans="1:4" x14ac:dyDescent="0.2">
      <c r="A1120" s="5">
        <v>1059</v>
      </c>
      <c r="B1120" s="138">
        <f>'Expenditures 15-22'!K49</f>
        <v>158723</v>
      </c>
      <c r="C1120" s="2" t="s">
        <v>573</v>
      </c>
      <c r="D1120" s="2" t="str">
        <f t="shared" si="16"/>
        <v>Error?</v>
      </c>
    </row>
    <row r="1121" spans="1:4" x14ac:dyDescent="0.2">
      <c r="A1121" s="5">
        <v>1060</v>
      </c>
      <c r="B1121" s="138">
        <f>'Expenditures 15-22'!K50</f>
        <v>230540</v>
      </c>
      <c r="C1121" s="2" t="s">
        <v>573</v>
      </c>
      <c r="D1121" s="2" t="str">
        <f t="shared" si="16"/>
        <v>Error?</v>
      </c>
    </row>
    <row r="1122" spans="1:4" x14ac:dyDescent="0.2">
      <c r="A1122" s="5">
        <v>1061</v>
      </c>
      <c r="B1122" s="138">
        <f>'Expenditures 15-22'!K53</f>
        <v>389263</v>
      </c>
      <c r="C1122" s="2" t="s">
        <v>573</v>
      </c>
      <c r="D1122" s="2" t="str">
        <f t="shared" si="16"/>
        <v>Error?</v>
      </c>
    </row>
    <row r="1123" spans="1:4" x14ac:dyDescent="0.2">
      <c r="A1123" s="5">
        <v>1062</v>
      </c>
      <c r="B1123" s="138">
        <f>'Expenditures 15-22'!K55</f>
        <v>672758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672758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127692</v>
      </c>
      <c r="C1127" s="2" t="s">
        <v>573</v>
      </c>
      <c r="D1127" s="2" t="str">
        <f t="shared" si="16"/>
        <v>Error?</v>
      </c>
    </row>
    <row r="1128" spans="1:4" x14ac:dyDescent="0.2">
      <c r="A1128" s="5">
        <v>1067</v>
      </c>
      <c r="B1128" s="138">
        <f>'Expenditures 15-22'!K61</f>
        <v>36932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747048</v>
      </c>
      <c r="C1130" s="2" t="s">
        <v>573</v>
      </c>
      <c r="D1130" s="2" t="str">
        <f t="shared" si="16"/>
        <v>Error?</v>
      </c>
    </row>
    <row r="1131" spans="1:4" x14ac:dyDescent="0.2">
      <c r="A1131" s="5">
        <v>1070</v>
      </c>
      <c r="B1131" s="138">
        <f>'Expenditures 15-22'!K64</f>
        <v>1660</v>
      </c>
      <c r="C1131" s="2" t="s">
        <v>573</v>
      </c>
      <c r="D1131" s="2" t="str">
        <f t="shared" si="16"/>
        <v>Error?</v>
      </c>
    </row>
    <row r="1132" spans="1:4" x14ac:dyDescent="0.2">
      <c r="A1132" s="10">
        <v>1071</v>
      </c>
      <c r="D1132" s="2" t="str">
        <f t="shared" si="16"/>
        <v>OK</v>
      </c>
    </row>
    <row r="1133" spans="1:4" x14ac:dyDescent="0.2">
      <c r="A1133" s="5">
        <v>1072</v>
      </c>
      <c r="B1133" s="138">
        <f>'Expenditures 15-22'!K65</f>
        <v>913332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1167</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1167</v>
      </c>
      <c r="C1141" s="2" t="s">
        <v>573</v>
      </c>
      <c r="D1141" s="2" t="str">
        <f t="shared" si="16"/>
        <v>Error?</v>
      </c>
    </row>
    <row r="1142" spans="1:4" x14ac:dyDescent="0.2">
      <c r="A1142" s="5">
        <v>1081</v>
      </c>
      <c r="B1142" s="138">
        <f>'Expenditures 15-22'!K73</f>
        <v>26326</v>
      </c>
      <c r="C1142" s="2" t="s">
        <v>573</v>
      </c>
      <c r="D1142" s="2" t="str">
        <f t="shared" si="16"/>
        <v>Error?</v>
      </c>
    </row>
    <row r="1143" spans="1:4" x14ac:dyDescent="0.2">
      <c r="A1143" s="5">
        <v>1082</v>
      </c>
      <c r="B1143" s="138">
        <f>'Expenditures 15-22'!K74</f>
        <v>2528143</v>
      </c>
      <c r="C1143" s="2" t="s">
        <v>573</v>
      </c>
      <c r="D1143" s="2" t="str">
        <f t="shared" si="16"/>
        <v>Error?</v>
      </c>
    </row>
    <row r="1144" spans="1:4" x14ac:dyDescent="0.2">
      <c r="A1144" s="5">
        <v>1083</v>
      </c>
      <c r="B1144" s="138">
        <f>'Expenditures 15-22'!K75</f>
        <v>46030</v>
      </c>
      <c r="C1144" s="2" t="s">
        <v>573</v>
      </c>
      <c r="D1144" s="2" t="str">
        <f t="shared" si="16"/>
        <v>Error?</v>
      </c>
    </row>
    <row r="1145" spans="1:4" x14ac:dyDescent="0.2">
      <c r="A1145" s="5">
        <v>1084</v>
      </c>
      <c r="B1145" s="138">
        <f>'Expenditures 15-22'!K102</f>
        <v>1220039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10505096</v>
      </c>
      <c r="C1152" s="2" t="s">
        <v>573</v>
      </c>
      <c r="D1152" s="2" t="str">
        <f t="shared" si="17"/>
        <v>Error?</v>
      </c>
    </row>
    <row r="1153" spans="1:4" x14ac:dyDescent="0.2">
      <c r="A1153" s="5">
        <v>1092</v>
      </c>
      <c r="B1153" s="138">
        <f>'Expenditures 15-22'!K115</f>
        <v>1204417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318428</v>
      </c>
      <c r="D1221" s="2" t="str">
        <f t="shared" si="18"/>
        <v>Error?</v>
      </c>
    </row>
    <row r="1222" spans="1:4" x14ac:dyDescent="0.2">
      <c r="A1222" s="10">
        <v>1161</v>
      </c>
      <c r="D1222" s="2" t="str">
        <f t="shared" si="18"/>
        <v>OK</v>
      </c>
    </row>
    <row r="1223" spans="1:4" x14ac:dyDescent="0.2">
      <c r="A1223" s="5">
        <v>1162</v>
      </c>
      <c r="B1223" s="138">
        <f>'Expenditures 15-22'!C127</f>
        <v>318428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318428</v>
      </c>
      <c r="C1225" s="2" t="s">
        <v>573</v>
      </c>
      <c r="D1225" s="2" t="str">
        <f t="shared" si="18"/>
        <v>Error?</v>
      </c>
    </row>
    <row r="1226" spans="1:4" x14ac:dyDescent="0.2">
      <c r="A1226" s="5">
        <v>1165</v>
      </c>
      <c r="B1226" s="138">
        <f>'Expenditures 15-22'!C151</f>
        <v>318428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37825</v>
      </c>
      <c r="D1229" s="2" t="str">
        <f t="shared" si="18"/>
        <v>Error?</v>
      </c>
    </row>
    <row r="1230" spans="1:4" x14ac:dyDescent="0.2">
      <c r="A1230" s="10">
        <v>1169</v>
      </c>
      <c r="D1230" s="2" t="str">
        <f t="shared" si="18"/>
        <v>OK</v>
      </c>
    </row>
    <row r="1231" spans="1:4" x14ac:dyDescent="0.2">
      <c r="A1231" s="5">
        <v>1170</v>
      </c>
      <c r="B1231" s="138">
        <f>'Expenditures 15-22'!D127</f>
        <v>37825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37825</v>
      </c>
      <c r="C1233" s="2" t="s">
        <v>573</v>
      </c>
      <c r="D1233" s="2" t="str">
        <f t="shared" si="18"/>
        <v>Error?</v>
      </c>
    </row>
    <row r="1234" spans="1:4" x14ac:dyDescent="0.2">
      <c r="A1234" s="5">
        <v>1173</v>
      </c>
      <c r="B1234" s="138">
        <f>'Expenditures 15-22'!D151</f>
        <v>37825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303701</v>
      </c>
      <c r="D1237" s="2" t="str">
        <f t="shared" si="18"/>
        <v>Error?</v>
      </c>
    </row>
    <row r="1238" spans="1:4" x14ac:dyDescent="0.2">
      <c r="A1238" s="10">
        <v>1177</v>
      </c>
      <c r="D1238" s="2" t="str">
        <f t="shared" si="18"/>
        <v>OK</v>
      </c>
    </row>
    <row r="1239" spans="1:4" x14ac:dyDescent="0.2">
      <c r="A1239" s="5">
        <v>1178</v>
      </c>
      <c r="B1239" s="138">
        <f>'Expenditures 15-22'!E127</f>
        <v>303701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303701</v>
      </c>
      <c r="C1241" s="2" t="s">
        <v>573</v>
      </c>
      <c r="D1241" s="2" t="str">
        <f t="shared" si="18"/>
        <v>Error?</v>
      </c>
    </row>
    <row r="1242" spans="1:4" x14ac:dyDescent="0.2">
      <c r="A1242" s="5">
        <v>1181</v>
      </c>
      <c r="B1242" s="138">
        <f>'Expenditures 15-22'!E151</f>
        <v>303701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577051</v>
      </c>
      <c r="D1245" s="2" t="str">
        <f t="shared" si="18"/>
        <v>Error?</v>
      </c>
    </row>
    <row r="1246" spans="1:4" x14ac:dyDescent="0.2">
      <c r="A1246" s="10">
        <v>1185</v>
      </c>
      <c r="D1246" s="2" t="str">
        <f t="shared" si="18"/>
        <v>OK</v>
      </c>
    </row>
    <row r="1247" spans="1:4" x14ac:dyDescent="0.2">
      <c r="A1247" s="5">
        <v>1186</v>
      </c>
      <c r="B1247" s="138">
        <f>'Expenditures 15-22'!F127</f>
        <v>577051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577051</v>
      </c>
      <c r="C1249" s="2" t="s">
        <v>573</v>
      </c>
      <c r="D1249" s="2" t="str">
        <f t="shared" si="18"/>
        <v>Error?</v>
      </c>
    </row>
    <row r="1250" spans="1:4" x14ac:dyDescent="0.2">
      <c r="A1250" s="5">
        <v>1189</v>
      </c>
      <c r="B1250" s="138">
        <f>'Expenditures 15-22'!F151</f>
        <v>577051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291176</v>
      </c>
      <c r="D1252" s="2" t="str">
        <f t="shared" si="18"/>
        <v>Error?</v>
      </c>
    </row>
    <row r="1253" spans="1:4" x14ac:dyDescent="0.2">
      <c r="A1253" s="5">
        <v>1192</v>
      </c>
      <c r="B1253" s="138">
        <f>'Expenditures 15-22'!G124</f>
        <v>89865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381041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381041</v>
      </c>
      <c r="C1258" s="2" t="s">
        <v>573</v>
      </c>
      <c r="D1258" s="2" t="str">
        <f t="shared" si="18"/>
        <v>Error?</v>
      </c>
    </row>
    <row r="1259" spans="1:4" x14ac:dyDescent="0.2">
      <c r="A1259" s="5">
        <v>1198</v>
      </c>
      <c r="B1259" s="138">
        <f>'Expenditures 15-22'!G151</f>
        <v>381041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291176</v>
      </c>
      <c r="C1275" s="2" t="s">
        <v>573</v>
      </c>
      <c r="D1275" s="2" t="str">
        <f t="shared" si="18"/>
        <v>Error?</v>
      </c>
    </row>
    <row r="1276" spans="1:4" x14ac:dyDescent="0.2">
      <c r="A1276" s="5">
        <v>1215</v>
      </c>
      <c r="B1276" s="138">
        <f>'Expenditures 15-22'!K124</f>
        <v>1326870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1618046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1618046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1618046</v>
      </c>
      <c r="C1288" s="2" t="s">
        <v>573</v>
      </c>
      <c r="D1288" s="2" t="str">
        <f t="shared" si="19"/>
        <v>Error?</v>
      </c>
    </row>
    <row r="1289" spans="1:4" x14ac:dyDescent="0.2">
      <c r="A1289" s="5">
        <v>1228</v>
      </c>
      <c r="B1289" s="138">
        <f>'Expenditures 15-22'!K152</f>
        <v>-309415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205269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895969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1101238</v>
      </c>
      <c r="C1317" s="2" t="s">
        <v>573</v>
      </c>
      <c r="D1317" s="2" t="str">
        <f t="shared" si="19"/>
        <v>Error?</v>
      </c>
    </row>
    <row r="1318" spans="1:4" x14ac:dyDescent="0.2">
      <c r="A1318" s="5">
        <v>1257</v>
      </c>
      <c r="B1318" s="138">
        <f>'Expenditures 15-22'!H174</f>
        <v>1101238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205269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895969</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1101238</v>
      </c>
      <c r="C1331" s="2" t="s">
        <v>573</v>
      </c>
      <c r="D1331" s="2" t="str">
        <f t="shared" si="19"/>
        <v>Error?</v>
      </c>
    </row>
    <row r="1332" spans="1:4" x14ac:dyDescent="0.2">
      <c r="A1332" s="5">
        <v>1271</v>
      </c>
      <c r="B1332" s="138">
        <f>'Expenditures 15-22'!K174</f>
        <v>1101238</v>
      </c>
      <c r="C1332" s="2" t="s">
        <v>573</v>
      </c>
      <c r="D1332" s="2" t="str">
        <f t="shared" si="19"/>
        <v>Error?</v>
      </c>
    </row>
    <row r="1333" spans="1:4" x14ac:dyDescent="0.2">
      <c r="A1333" s="5">
        <v>1272</v>
      </c>
      <c r="B1333" s="138">
        <f>'Expenditures 15-22'!K175</f>
        <v>-4686</v>
      </c>
      <c r="C1333" s="2" t="s">
        <v>573</v>
      </c>
      <c r="D1333" s="2" t="str">
        <f t="shared" si="19"/>
        <v>Error?</v>
      </c>
    </row>
    <row r="1334" spans="1:4" x14ac:dyDescent="0.2">
      <c r="A1334" s="10">
        <v>1273</v>
      </c>
      <c r="D1334" s="2" t="str">
        <f t="shared" si="19"/>
        <v>OK</v>
      </c>
    </row>
    <row r="1335" spans="1:4" x14ac:dyDescent="0.2">
      <c r="A1335" s="5">
        <v>1274</v>
      </c>
      <c r="B1335" s="138">
        <f>'Expenditures 15-22'!C182</f>
        <v>333607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333607</v>
      </c>
      <c r="C1339" s="2" t="s">
        <v>573</v>
      </c>
      <c r="D1339" s="2" t="str">
        <f t="shared" si="19"/>
        <v>Error?</v>
      </c>
    </row>
    <row r="1340" spans="1:4" x14ac:dyDescent="0.2">
      <c r="A1340" s="5">
        <v>1279</v>
      </c>
      <c r="B1340" s="138">
        <f>'Expenditures 15-22'!C210</f>
        <v>333607</v>
      </c>
      <c r="C1340" s="2" t="s">
        <v>573</v>
      </c>
      <c r="D1340" s="2" t="str">
        <f t="shared" si="19"/>
        <v>Error?</v>
      </c>
    </row>
    <row r="1341" spans="1:4" x14ac:dyDescent="0.2">
      <c r="A1341" s="5">
        <v>1280</v>
      </c>
      <c r="B1341" s="138">
        <f>'Expenditures 15-22'!D182</f>
        <v>19418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19418</v>
      </c>
      <c r="C1345" s="2" t="s">
        <v>573</v>
      </c>
      <c r="D1345" s="2" t="str">
        <f t="shared" si="20"/>
        <v>Error?</v>
      </c>
    </row>
    <row r="1346" spans="1:4" x14ac:dyDescent="0.2">
      <c r="A1346" s="5">
        <v>1285</v>
      </c>
      <c r="B1346" s="138">
        <f>'Expenditures 15-22'!D210</f>
        <v>19418</v>
      </c>
      <c r="C1346" s="2" t="s">
        <v>573</v>
      </c>
      <c r="D1346" s="2" t="str">
        <f t="shared" si="20"/>
        <v>Error?</v>
      </c>
    </row>
    <row r="1347" spans="1:4" x14ac:dyDescent="0.2">
      <c r="A1347" s="5">
        <v>1286</v>
      </c>
      <c r="B1347" s="138">
        <f>'Expenditures 15-22'!E182</f>
        <v>212572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212572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212572</v>
      </c>
      <c r="C1353" s="2" t="s">
        <v>573</v>
      </c>
      <c r="D1353" s="2" t="str">
        <f t="shared" si="20"/>
        <v>Error?</v>
      </c>
    </row>
    <row r="1354" spans="1:4" x14ac:dyDescent="0.2">
      <c r="A1354" s="5">
        <v>1293</v>
      </c>
      <c r="B1354" s="138">
        <f>'Expenditures 15-22'!F182</f>
        <v>68002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68002</v>
      </c>
      <c r="C1358" s="2" t="s">
        <v>573</v>
      </c>
      <c r="D1358" s="2" t="str">
        <f t="shared" si="20"/>
        <v>Error?</v>
      </c>
    </row>
    <row r="1359" spans="1:4" x14ac:dyDescent="0.2">
      <c r="A1359" s="5">
        <v>1298</v>
      </c>
      <c r="B1359" s="138">
        <f>'Expenditures 15-22'!F210</f>
        <v>68002</v>
      </c>
      <c r="C1359" s="2" t="s">
        <v>573</v>
      </c>
      <c r="D1359" s="2" t="str">
        <f t="shared" si="20"/>
        <v>Error?</v>
      </c>
    </row>
    <row r="1360" spans="1:4" x14ac:dyDescent="0.2">
      <c r="A1360" s="5">
        <v>1299</v>
      </c>
      <c r="B1360" s="138">
        <f>'Expenditures 15-22'!G182</f>
        <v>800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800</v>
      </c>
      <c r="C1364" s="2" t="s">
        <v>573</v>
      </c>
      <c r="D1364" s="2" t="str">
        <f t="shared" si="20"/>
        <v>Error?</v>
      </c>
    </row>
    <row r="1365" spans="1:4" x14ac:dyDescent="0.2">
      <c r="A1365" s="5">
        <v>1304</v>
      </c>
      <c r="B1365" s="138">
        <f>'Expenditures 15-22'!G210</f>
        <v>800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634399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634399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634399</v>
      </c>
      <c r="C1388" s="2" t="s">
        <v>573</v>
      </c>
      <c r="D1388" s="2" t="str">
        <f t="shared" si="20"/>
        <v>Error?</v>
      </c>
    </row>
    <row r="1389" spans="1:4" x14ac:dyDescent="0.2">
      <c r="A1389" s="5">
        <v>1328</v>
      </c>
      <c r="B1389" s="138">
        <f>'Expenditures 15-22'!K211</f>
        <v>247118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367</v>
      </c>
      <c r="D1407" s="2" t="str">
        <f t="shared" ref="D1407:D1470" si="21">IF(ISBLANK(B1407),"OK",IF(A1407-B1407=0,"OK","Error?"))</f>
        <v>Error?</v>
      </c>
    </row>
    <row r="1408" spans="1:4" x14ac:dyDescent="0.2">
      <c r="A1408" s="5">
        <v>1347</v>
      </c>
      <c r="B1408" s="138">
        <f>'Expenditures 15-22'!D223</f>
        <v>12112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168622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3874</v>
      </c>
      <c r="D1412" s="2" t="str">
        <f t="shared" si="21"/>
        <v>Error?</v>
      </c>
    </row>
    <row r="1413" spans="1:4" x14ac:dyDescent="0.2">
      <c r="A1413" s="5">
        <v>1352</v>
      </c>
      <c r="B1413" s="138">
        <f>'Expenditures 15-22'!D234</f>
        <v>17788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21662</v>
      </c>
      <c r="C1417" s="2" t="s">
        <v>573</v>
      </c>
      <c r="D1417" s="2" t="str">
        <f t="shared" si="21"/>
        <v>Error?</v>
      </c>
    </row>
    <row r="1418" spans="1:4" x14ac:dyDescent="0.2">
      <c r="A1418" s="5">
        <v>1357</v>
      </c>
      <c r="B1418" s="138">
        <f>'Expenditures 15-22'!D240</f>
        <v>105</v>
      </c>
      <c r="D1418" s="2" t="str">
        <f t="shared" si="21"/>
        <v>Error?</v>
      </c>
    </row>
    <row r="1419" spans="1:4" x14ac:dyDescent="0.2">
      <c r="A1419" s="5">
        <v>1358</v>
      </c>
      <c r="B1419" s="138">
        <f>'Expenditures 15-22'!D241</f>
        <v>912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1017</v>
      </c>
      <c r="C1421" s="2" t="s">
        <v>573</v>
      </c>
      <c r="D1421" s="2" t="str">
        <f t="shared" si="21"/>
        <v>Error?</v>
      </c>
    </row>
    <row r="1422" spans="1:4" x14ac:dyDescent="0.2">
      <c r="A1422" s="5">
        <v>1361</v>
      </c>
      <c r="B1422" s="138">
        <f>'Expenditures 15-22'!D245</f>
        <v>1708</v>
      </c>
      <c r="D1422" s="2" t="str">
        <f t="shared" si="21"/>
        <v>Error?</v>
      </c>
    </row>
    <row r="1423" spans="1:4" x14ac:dyDescent="0.2">
      <c r="A1423" s="5">
        <v>1362</v>
      </c>
      <c r="B1423" s="138">
        <f>'Expenditures 15-22'!D246</f>
        <v>13382</v>
      </c>
      <c r="D1423" s="2" t="str">
        <f t="shared" si="21"/>
        <v>Error?</v>
      </c>
    </row>
    <row r="1424" spans="1:4" x14ac:dyDescent="0.2">
      <c r="A1424" s="5">
        <v>1363</v>
      </c>
      <c r="B1424" s="138">
        <f>'Expenditures 15-22'!D257</f>
        <v>15090</v>
      </c>
      <c r="C1424" s="2" t="s">
        <v>573</v>
      </c>
      <c r="D1424" s="2" t="str">
        <f t="shared" si="21"/>
        <v>Error?</v>
      </c>
    </row>
    <row r="1425" spans="1:4" x14ac:dyDescent="0.2">
      <c r="A1425" s="5">
        <v>1364</v>
      </c>
      <c r="B1425" s="138">
        <f>'Expenditures 15-22'!D259</f>
        <v>34342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34342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71031</v>
      </c>
      <c r="D1431" s="2" t="str">
        <f t="shared" si="21"/>
        <v>Error?</v>
      </c>
    </row>
    <row r="1432" spans="1:4" x14ac:dyDescent="0.2">
      <c r="A1432" s="5">
        <v>1371</v>
      </c>
      <c r="B1432" s="138">
        <f>'Expenditures 15-22'!D267</f>
        <v>63213</v>
      </c>
      <c r="D1432" s="2" t="str">
        <f t="shared" si="21"/>
        <v>Error?</v>
      </c>
    </row>
    <row r="1433" spans="1:4" x14ac:dyDescent="0.2">
      <c r="A1433" s="5">
        <v>1372</v>
      </c>
      <c r="B1433" s="138">
        <f>'Expenditures 15-22'!D268</f>
        <v>8829</v>
      </c>
      <c r="D1433" s="2" t="str">
        <f t="shared" si="21"/>
        <v>Error?</v>
      </c>
    </row>
    <row r="1434" spans="1:4" x14ac:dyDescent="0.2">
      <c r="A1434" s="5">
        <v>1373</v>
      </c>
      <c r="B1434" s="138">
        <f>'Expenditures 15-22'!D269</f>
        <v>359</v>
      </c>
      <c r="D1434" s="2" t="str">
        <f t="shared" si="21"/>
        <v>Error?</v>
      </c>
    </row>
    <row r="1435" spans="1:4" x14ac:dyDescent="0.2">
      <c r="A1435" s="10">
        <v>1374</v>
      </c>
      <c r="D1435" s="2" t="str">
        <f t="shared" si="21"/>
        <v>OK</v>
      </c>
    </row>
    <row r="1436" spans="1:4" x14ac:dyDescent="0.2">
      <c r="A1436" s="5">
        <v>1375</v>
      </c>
      <c r="B1436" s="138">
        <f>'Expenditures 15-22'!D270</f>
        <v>151042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2521</v>
      </c>
      <c r="D1445" s="2" t="str">
        <f t="shared" si="21"/>
        <v>Error?</v>
      </c>
    </row>
    <row r="1446" spans="1:4" x14ac:dyDescent="0.2">
      <c r="A1446" s="5">
        <v>1385</v>
      </c>
      <c r="B1446" s="138">
        <f>'Expenditures 15-22'!D279</f>
        <v>225674</v>
      </c>
      <c r="C1446" s="2" t="s">
        <v>573</v>
      </c>
      <c r="D1446" s="2" t="str">
        <f t="shared" si="21"/>
        <v>Error?</v>
      </c>
    </row>
    <row r="1447" spans="1:4" x14ac:dyDescent="0.2">
      <c r="A1447" s="5">
        <v>1386</v>
      </c>
      <c r="B1447" s="138">
        <f>'Expenditures 15-22'!D280</f>
        <v>8510</v>
      </c>
      <c r="D1447" s="2" t="str">
        <f t="shared" si="21"/>
        <v>Error?</v>
      </c>
    </row>
    <row r="1448" spans="1:4" x14ac:dyDescent="0.2">
      <c r="A1448" s="5">
        <v>1387</v>
      </c>
      <c r="B1448" s="138">
        <f>'Expenditures 15-22'!D295</f>
        <v>402806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367</v>
      </c>
      <c r="C1471" s="2" t="s">
        <v>573</v>
      </c>
      <c r="D1471" s="2" t="str">
        <f t="shared" ref="D1471:D1534" si="22">IF(ISBLANK(B1471),"OK",IF(A1471-B1471=0,"OK","Error?"))</f>
        <v>Error?</v>
      </c>
    </row>
    <row r="1472" spans="1:4" x14ac:dyDescent="0.2">
      <c r="A1472" s="5">
        <v>1411</v>
      </c>
      <c r="B1472" s="138">
        <f>'Expenditures 15-22'!K223</f>
        <v>12112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168622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3874</v>
      </c>
      <c r="C1476" s="2" t="s">
        <v>573</v>
      </c>
      <c r="D1476" s="2" t="str">
        <f t="shared" si="22"/>
        <v>Error?</v>
      </c>
    </row>
    <row r="1477" spans="1:4" x14ac:dyDescent="0.2">
      <c r="A1477" s="5">
        <v>1416</v>
      </c>
      <c r="B1477" s="138">
        <f>'Expenditures 15-22'!K234</f>
        <v>17788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21662</v>
      </c>
      <c r="C1481" s="2" t="s">
        <v>573</v>
      </c>
      <c r="D1481" s="2" t="str">
        <f t="shared" si="22"/>
        <v>Error?</v>
      </c>
    </row>
    <row r="1482" spans="1:4" x14ac:dyDescent="0.2">
      <c r="A1482" s="5">
        <v>1421</v>
      </c>
      <c r="B1482" s="138">
        <f>'Expenditures 15-22'!K240</f>
        <v>105</v>
      </c>
      <c r="C1482" s="2" t="s">
        <v>573</v>
      </c>
      <c r="D1482" s="2" t="str">
        <f t="shared" si="22"/>
        <v>Error?</v>
      </c>
    </row>
    <row r="1483" spans="1:4" x14ac:dyDescent="0.2">
      <c r="A1483" s="5">
        <v>1422</v>
      </c>
      <c r="B1483" s="138">
        <f>'Expenditures 15-22'!K241</f>
        <v>912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1017</v>
      </c>
      <c r="C1485" s="2" t="s">
        <v>573</v>
      </c>
      <c r="D1485" s="2" t="str">
        <f t="shared" si="22"/>
        <v>Error?</v>
      </c>
    </row>
    <row r="1486" spans="1:4" x14ac:dyDescent="0.2">
      <c r="A1486" s="5">
        <v>1425</v>
      </c>
      <c r="B1486" s="138">
        <f>'Expenditures 15-22'!K245</f>
        <v>1708</v>
      </c>
      <c r="C1486" s="2" t="s">
        <v>573</v>
      </c>
      <c r="D1486" s="2" t="str">
        <f t="shared" si="22"/>
        <v>Error?</v>
      </c>
    </row>
    <row r="1487" spans="1:4" x14ac:dyDescent="0.2">
      <c r="A1487" s="5">
        <v>1426</v>
      </c>
      <c r="B1487" s="138">
        <f>'Expenditures 15-22'!K246</f>
        <v>13382</v>
      </c>
      <c r="C1487" s="2" t="s">
        <v>573</v>
      </c>
      <c r="D1487" s="2" t="str">
        <f t="shared" si="22"/>
        <v>Error?</v>
      </c>
    </row>
    <row r="1488" spans="1:4" x14ac:dyDescent="0.2">
      <c r="A1488" s="5">
        <v>1427</v>
      </c>
      <c r="B1488" s="138">
        <f>'Expenditures 15-22'!K257</f>
        <v>15090</v>
      </c>
      <c r="C1488" s="2" t="s">
        <v>573</v>
      </c>
      <c r="D1488" s="2" t="str">
        <f t="shared" si="22"/>
        <v>Error?</v>
      </c>
    </row>
    <row r="1489" spans="1:4" x14ac:dyDescent="0.2">
      <c r="A1489" s="5">
        <v>1428</v>
      </c>
      <c r="B1489" s="138">
        <f>'Expenditures 15-22'!K259</f>
        <v>34342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34342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7610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71031</v>
      </c>
      <c r="C1495" s="2" t="s">
        <v>573</v>
      </c>
      <c r="D1495" s="2" t="str">
        <f t="shared" si="22"/>
        <v>Error?</v>
      </c>
    </row>
    <row r="1496" spans="1:4" x14ac:dyDescent="0.2">
      <c r="A1496" s="5">
        <v>1435</v>
      </c>
      <c r="B1496" s="138">
        <f>'Expenditures 15-22'!K267</f>
        <v>63213</v>
      </c>
      <c r="C1496" s="2" t="s">
        <v>573</v>
      </c>
      <c r="D1496" s="2" t="str">
        <f t="shared" si="22"/>
        <v>Error?</v>
      </c>
    </row>
    <row r="1497" spans="1:4" x14ac:dyDescent="0.2">
      <c r="A1497" s="5">
        <v>1436</v>
      </c>
      <c r="B1497" s="138">
        <f>'Expenditures 15-22'!K268</f>
        <v>8829</v>
      </c>
      <c r="C1497" s="2" t="s">
        <v>573</v>
      </c>
      <c r="D1497" s="2" t="str">
        <f t="shared" si="22"/>
        <v>Error?</v>
      </c>
    </row>
    <row r="1498" spans="1:4" x14ac:dyDescent="0.2">
      <c r="A1498" s="5">
        <v>1437</v>
      </c>
      <c r="B1498" s="138">
        <f>'Expenditures 15-22'!K269</f>
        <v>359</v>
      </c>
      <c r="C1498" s="2" t="s">
        <v>573</v>
      </c>
      <c r="D1498" s="2" t="str">
        <f t="shared" si="22"/>
        <v>Error?</v>
      </c>
    </row>
    <row r="1499" spans="1:4" x14ac:dyDescent="0.2">
      <c r="A1499" s="10">
        <v>1438</v>
      </c>
      <c r="D1499" s="2" t="str">
        <f t="shared" si="22"/>
        <v>OK</v>
      </c>
    </row>
    <row r="1500" spans="1:4" x14ac:dyDescent="0.2">
      <c r="A1500" s="5">
        <v>1439</v>
      </c>
      <c r="B1500" s="138">
        <f>'Expenditures 15-22'!K270</f>
        <v>151042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2521</v>
      </c>
      <c r="C1509" s="2" t="s">
        <v>573</v>
      </c>
      <c r="D1509" s="2" t="str">
        <f t="shared" si="22"/>
        <v>Error?</v>
      </c>
    </row>
    <row r="1510" spans="1:4" x14ac:dyDescent="0.2">
      <c r="A1510" s="5">
        <v>1449</v>
      </c>
      <c r="B1510" s="138">
        <f>'Expenditures 15-22'!K279</f>
        <v>225674</v>
      </c>
      <c r="C1510" s="2" t="s">
        <v>573</v>
      </c>
      <c r="D1510" s="2" t="str">
        <f t="shared" si="22"/>
        <v>Error?</v>
      </c>
    </row>
    <row r="1511" spans="1:4" x14ac:dyDescent="0.2">
      <c r="A1511" s="5">
        <v>1450</v>
      </c>
      <c r="B1511" s="138">
        <f>'Expenditures 15-22'!K280</f>
        <v>8510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402806</v>
      </c>
      <c r="C1517" s="2" t="s">
        <v>573</v>
      </c>
      <c r="D1517" s="2" t="str">
        <f t="shared" si="22"/>
        <v>Error?</v>
      </c>
    </row>
    <row r="1518" spans="1:4" x14ac:dyDescent="0.2">
      <c r="A1518" s="5">
        <v>1457</v>
      </c>
      <c r="B1518" s="138">
        <f>'Expenditures 15-22'!K296</f>
        <v>131873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208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7624221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8828638</v>
      </c>
      <c r="C1630" s="2" t="s">
        <v>573</v>
      </c>
      <c r="D1630" s="2" t="str">
        <f t="shared" si="24"/>
        <v>Error?</v>
      </c>
    </row>
    <row r="1631" spans="1:4" x14ac:dyDescent="0.2">
      <c r="A1631" s="5">
        <v>1570</v>
      </c>
      <c r="B1631" s="138">
        <f>'Acct Summary 7-8'!D79</f>
        <v>947140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1237725</v>
      </c>
      <c r="C1644" s="2" t="s">
        <v>573</v>
      </c>
      <c r="D1644" s="2" t="str">
        <f t="shared" si="24"/>
        <v>Error?</v>
      </c>
    </row>
    <row r="1645" spans="1:4" x14ac:dyDescent="0.2">
      <c r="A1645" s="5">
        <v>1584</v>
      </c>
      <c r="B1645" s="138">
        <f>'Acct Summary 7-8'!E79</f>
        <v>766550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761864</v>
      </c>
      <c r="C1658" s="2" t="s">
        <v>573</v>
      </c>
      <c r="D1658" s="2" t="str">
        <f t="shared" si="24"/>
        <v>Error?</v>
      </c>
    </row>
    <row r="1659" spans="1:4" x14ac:dyDescent="0.2">
      <c r="A1659" s="5">
        <v>1598</v>
      </c>
      <c r="B1659" s="138">
        <f>'Acct Summary 7-8'!F79</f>
        <v>712521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959639</v>
      </c>
      <c r="C1672" s="2" t="s">
        <v>573</v>
      </c>
      <c r="D1672" s="2" t="str">
        <f t="shared" si="25"/>
        <v>Error?</v>
      </c>
    </row>
    <row r="1673" spans="1:4" x14ac:dyDescent="0.2">
      <c r="A1673" s="5">
        <v>1612</v>
      </c>
      <c r="B1673" s="138">
        <f>'Acct Summary 7-8'!G79</f>
        <v>259050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390923</v>
      </c>
      <c r="C1686" s="2" t="s">
        <v>573</v>
      </c>
      <c r="D1686" s="2" t="str">
        <f t="shared" si="25"/>
        <v>Error?</v>
      </c>
    </row>
    <row r="1687" spans="1:4" x14ac:dyDescent="0.2">
      <c r="A1687" s="5">
        <v>1626</v>
      </c>
      <c r="B1687" s="138">
        <f>'Acct Summary 7-8'!H79</f>
        <v>8838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9046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3116189</v>
      </c>
      <c r="C1744" s="2" t="s">
        <v>573</v>
      </c>
      <c r="D1744" s="2" t="str">
        <f t="shared" si="26"/>
        <v>Error?</v>
      </c>
    </row>
    <row r="1745" spans="1:5" x14ac:dyDescent="0.2">
      <c r="A1745" s="5">
        <v>1684</v>
      </c>
      <c r="B1745" s="138">
        <f>'Tax Sched 23'!B5</f>
        <v>622454</v>
      </c>
      <c r="C1745" s="2" t="s">
        <v>573</v>
      </c>
      <c r="D1745" s="2" t="str">
        <f t="shared" si="26"/>
        <v>Error?</v>
      </c>
    </row>
    <row r="1746" spans="1:5" x14ac:dyDescent="0.2">
      <c r="A1746" s="5">
        <v>1685</v>
      </c>
      <c r="B1746" s="138">
        <f>'Tax Sched 23'!B6</f>
        <v>944451</v>
      </c>
      <c r="C1746" s="2" t="s">
        <v>573</v>
      </c>
      <c r="D1746" s="2" t="str">
        <f t="shared" si="26"/>
        <v>Error?</v>
      </c>
    </row>
    <row r="1747" spans="1:5" x14ac:dyDescent="0.2">
      <c r="A1747" s="5">
        <v>1686</v>
      </c>
      <c r="B1747" s="138">
        <f>'Tax Sched 23'!B7</f>
        <v>267139</v>
      </c>
      <c r="C1747" s="2" t="s">
        <v>573</v>
      </c>
      <c r="D1747" s="2" t="str">
        <f t="shared" si="26"/>
        <v>Error?</v>
      </c>
    </row>
    <row r="1748" spans="1:5" x14ac:dyDescent="0.2">
      <c r="A1748" s="5">
        <v>1687</v>
      </c>
      <c r="B1748" s="138">
        <f>'Tax Sched 23'!B8</f>
        <v>267139</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72136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5556647</v>
      </c>
      <c r="C1759" s="2" t="s">
        <v>573</v>
      </c>
      <c r="D1759" s="2" t="str">
        <f t="shared" si="26"/>
        <v>Error?</v>
      </c>
    </row>
    <row r="1760" spans="1:5" x14ac:dyDescent="0.2">
      <c r="A1760" s="5">
        <v>1699</v>
      </c>
      <c r="B1760" s="138">
        <f>'Tax Sched 23'!D4</f>
        <v>1455090</v>
      </c>
      <c r="C1760" s="2" t="s">
        <v>573</v>
      </c>
      <c r="D1760" s="2" t="str">
        <f t="shared" si="26"/>
        <v>Error?</v>
      </c>
    </row>
    <row r="1761" spans="1:5" x14ac:dyDescent="0.2">
      <c r="A1761" s="5">
        <v>1700</v>
      </c>
      <c r="B1761" s="138">
        <f>'Tax Sched 23'!D5</f>
        <v>290154</v>
      </c>
      <c r="C1761" s="2" t="s">
        <v>573</v>
      </c>
      <c r="D1761" s="2" t="str">
        <f t="shared" si="26"/>
        <v>Error?</v>
      </c>
    </row>
    <row r="1762" spans="1:5" s="8" customFormat="1" x14ac:dyDescent="0.2">
      <c r="A1762" s="5">
        <v>1701</v>
      </c>
      <c r="B1762" s="138">
        <f>'Tax Sched 23'!D6</f>
        <v>446974</v>
      </c>
      <c r="C1762" s="2" t="s">
        <v>573</v>
      </c>
      <c r="D1762" s="2" t="str">
        <f t="shared" si="26"/>
        <v>Error?</v>
      </c>
      <c r="E1762" s="9"/>
    </row>
    <row r="1763" spans="1:5" x14ac:dyDescent="0.2">
      <c r="A1763" s="5">
        <v>1702</v>
      </c>
      <c r="B1763" s="138">
        <f>'Tax Sched 23'!D7</f>
        <v>124705</v>
      </c>
      <c r="C1763" s="2" t="s">
        <v>573</v>
      </c>
      <c r="D1763" s="2" t="str">
        <f t="shared" si="26"/>
        <v>Error?</v>
      </c>
    </row>
    <row r="1764" spans="1:5" x14ac:dyDescent="0.2">
      <c r="A1764" s="5">
        <v>1703</v>
      </c>
      <c r="B1764" s="138">
        <f>'Tax Sched 23'!D8</f>
        <v>124706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34163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2600497</v>
      </c>
      <c r="C1775" s="2" t="s">
        <v>573</v>
      </c>
      <c r="D1775" s="2" t="str">
        <f t="shared" si="26"/>
        <v>Error?</v>
      </c>
    </row>
    <row r="1776" spans="1:5" x14ac:dyDescent="0.2">
      <c r="A1776" s="5">
        <v>1715</v>
      </c>
      <c r="B1776" s="138">
        <f>'Tax Sched 23'!C4</f>
        <v>1661099</v>
      </c>
      <c r="D1776" s="2" t="str">
        <f t="shared" si="26"/>
        <v>Error?</v>
      </c>
    </row>
    <row r="1777" spans="1:4" x14ac:dyDescent="0.2">
      <c r="A1777" s="5">
        <v>1716</v>
      </c>
      <c r="B1777" s="138">
        <f>'Tax Sched 23'!C5</f>
        <v>332300</v>
      </c>
      <c r="D1777" s="2" t="str">
        <f t="shared" si="26"/>
        <v>Error?</v>
      </c>
    </row>
    <row r="1778" spans="1:4" x14ac:dyDescent="0.2">
      <c r="A1778" s="5">
        <v>1717</v>
      </c>
      <c r="B1778" s="138">
        <f>'Tax Sched 23'!C6</f>
        <v>497477</v>
      </c>
      <c r="D1778" s="2" t="str">
        <f t="shared" si="26"/>
        <v>Error?</v>
      </c>
    </row>
    <row r="1779" spans="1:4" x14ac:dyDescent="0.2">
      <c r="A1779" s="5">
        <v>1718</v>
      </c>
      <c r="B1779" s="138">
        <f>'Tax Sched 23'!C7</f>
        <v>142434</v>
      </c>
      <c r="D1779" s="2" t="str">
        <f t="shared" si="26"/>
        <v>Error?</v>
      </c>
    </row>
    <row r="1780" spans="1:4" x14ac:dyDescent="0.2">
      <c r="A1780" s="5">
        <v>1719</v>
      </c>
      <c r="B1780" s="138">
        <f>'Tax Sched 23'!C8</f>
        <v>142433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37973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2956150</v>
      </c>
      <c r="C1791" s="2" t="s">
        <v>573</v>
      </c>
      <c r="D1791" s="2" t="str">
        <f t="shared" ref="D1791:D1854" si="27">IF(ISBLANK(B1791),"OK",IF(A1791-B1791=0,"OK","Error?"))</f>
        <v>Error?</v>
      </c>
    </row>
    <row r="1792" spans="1:4" x14ac:dyDescent="0.2">
      <c r="A1792" s="5">
        <v>1731</v>
      </c>
      <c r="B1792" s="138">
        <f>'Tax Sched 23'!F4</f>
        <v>1510659</v>
      </c>
      <c r="C1792" s="2" t="s">
        <v>573</v>
      </c>
      <c r="D1792" s="2" t="str">
        <f t="shared" si="27"/>
        <v>Error?</v>
      </c>
    </row>
    <row r="1793" spans="1:4" x14ac:dyDescent="0.2">
      <c r="A1793" s="5">
        <v>1732</v>
      </c>
      <c r="B1793" s="138">
        <f>'Tax Sched 23'!F5</f>
        <v>302205</v>
      </c>
      <c r="C1793" s="2" t="s">
        <v>573</v>
      </c>
      <c r="D1793" s="2" t="str">
        <f t="shared" si="27"/>
        <v>Error?</v>
      </c>
    </row>
    <row r="1794" spans="1:4" x14ac:dyDescent="0.2">
      <c r="A1794" s="5">
        <v>1733</v>
      </c>
      <c r="B1794" s="138">
        <f>'Tax Sched 23'!F6</f>
        <v>452424</v>
      </c>
      <c r="C1794" s="2" t="s">
        <v>573</v>
      </c>
      <c r="D1794" s="2" t="str">
        <f t="shared" si="27"/>
        <v>Error?</v>
      </c>
    </row>
    <row r="1795" spans="1:4" x14ac:dyDescent="0.2">
      <c r="A1795" s="5">
        <v>1734</v>
      </c>
      <c r="B1795" s="138">
        <f>'Tax Sched 23'!F7</f>
        <v>129534</v>
      </c>
      <c r="C1795" s="2" t="s">
        <v>573</v>
      </c>
      <c r="D1795" s="2" t="str">
        <f t="shared" si="27"/>
        <v>Error?</v>
      </c>
    </row>
    <row r="1796" spans="1:4" x14ac:dyDescent="0.2">
      <c r="A1796" s="5">
        <v>1735</v>
      </c>
      <c r="B1796" s="138">
        <f>'Tax Sched 23'!F8</f>
        <v>129534</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34535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2688424</v>
      </c>
      <c r="C1807" s="2" t="s">
        <v>573</v>
      </c>
      <c r="D1807" s="2" t="str">
        <f t="shared" si="27"/>
        <v>Error?</v>
      </c>
    </row>
    <row r="1808" spans="1:4" x14ac:dyDescent="0.2">
      <c r="A1808" s="5">
        <v>1747</v>
      </c>
      <c r="B1808" s="138">
        <f>'Tax Sched 23'!E4</f>
        <v>3171758</v>
      </c>
      <c r="D1808" s="2" t="str">
        <f t="shared" si="27"/>
        <v>Error?</v>
      </c>
    </row>
    <row r="1809" spans="1:4" x14ac:dyDescent="0.2">
      <c r="A1809" s="5">
        <v>1748</v>
      </c>
      <c r="B1809" s="138">
        <f>'Tax Sched 23'!E5</f>
        <v>634505</v>
      </c>
      <c r="D1809" s="2" t="str">
        <f t="shared" si="27"/>
        <v>Error?</v>
      </c>
    </row>
    <row r="1810" spans="1:4" x14ac:dyDescent="0.2">
      <c r="A1810" s="5">
        <v>1749</v>
      </c>
      <c r="B1810" s="138">
        <f>'Tax Sched 23'!E6</f>
        <v>949901</v>
      </c>
      <c r="D1810" s="2" t="str">
        <f t="shared" si="27"/>
        <v>Error?</v>
      </c>
    </row>
    <row r="1811" spans="1:4" x14ac:dyDescent="0.2">
      <c r="A1811" s="5">
        <v>1750</v>
      </c>
      <c r="B1811" s="138">
        <f>'Tax Sched 23'!E7</f>
        <v>271968</v>
      </c>
      <c r="D1811" s="2" t="str">
        <f t="shared" si="27"/>
        <v>Error?</v>
      </c>
    </row>
    <row r="1812" spans="1:4" x14ac:dyDescent="0.2">
      <c r="A1812" s="5">
        <v>1751</v>
      </c>
      <c r="B1812" s="138">
        <f>'Tax Sched 23'!E8</f>
        <v>271967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72508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5644574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6169930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72136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72136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72136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1553417</v>
      </c>
      <c r="D2008" s="2" t="str">
        <f t="shared" si="30"/>
        <v>Error?</v>
      </c>
    </row>
    <row r="2009" spans="1:4" x14ac:dyDescent="0.2">
      <c r="A2009" s="5">
        <v>1948</v>
      </c>
      <c r="B2009" s="138">
        <f>'Cap Outlay Deprec 26'!C8</f>
        <v>26799646</v>
      </c>
      <c r="D2009" s="2" t="str">
        <f t="shared" si="30"/>
        <v>Error?</v>
      </c>
    </row>
    <row r="2010" spans="1:4" x14ac:dyDescent="0.2">
      <c r="A2010" s="5">
        <v>1949</v>
      </c>
      <c r="B2010" s="138">
        <f>'Cap Outlay Deprec 26'!C10</f>
        <v>823201</v>
      </c>
      <c r="D2010" s="2" t="str">
        <f t="shared" si="30"/>
        <v>Error?</v>
      </c>
    </row>
    <row r="2011" spans="1:4" x14ac:dyDescent="0.2">
      <c r="A2011" s="5">
        <v>1950</v>
      </c>
      <c r="B2011" s="138">
        <f>'Cap Outlay Deprec 26'!C12</f>
        <v>2501620</v>
      </c>
      <c r="D2011" s="2" t="str">
        <f t="shared" si="30"/>
        <v>Error?</v>
      </c>
    </row>
    <row r="2012" spans="1:4" x14ac:dyDescent="0.2">
      <c r="A2012" s="5">
        <v>1951</v>
      </c>
      <c r="B2012" s="138">
        <f>'Cap Outlay Deprec 26'!C13</f>
        <v>203013</v>
      </c>
      <c r="D2012" s="2" t="str">
        <f t="shared" si="30"/>
        <v>Error?</v>
      </c>
    </row>
    <row r="2013" spans="1:4" x14ac:dyDescent="0.2">
      <c r="A2013" s="5">
        <v>1952</v>
      </c>
      <c r="B2013" s="138">
        <f>'Cap Outlay Deprec 26'!C16</f>
        <v>31880897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312391</v>
      </c>
      <c r="D2015" s="2" t="str">
        <f t="shared" si="30"/>
        <v>Error?</v>
      </c>
    </row>
    <row r="2016" spans="1:4" x14ac:dyDescent="0.2">
      <c r="A2016" s="5">
        <v>1955</v>
      </c>
      <c r="B2016" s="138">
        <f>'Cap Outlay Deprec 26'!D10</f>
        <v>800</v>
      </c>
      <c r="D2016" s="2" t="str">
        <f t="shared" si="30"/>
        <v>Error?</v>
      </c>
    </row>
    <row r="2017" spans="1:4" x14ac:dyDescent="0.2">
      <c r="A2017" s="5">
        <v>1956</v>
      </c>
      <c r="B2017" s="138">
        <f>'Cap Outlay Deprec 26'!D12</f>
        <v>23663</v>
      </c>
      <c r="D2017" s="2" t="str">
        <f t="shared" si="30"/>
        <v>Error?</v>
      </c>
    </row>
    <row r="2018" spans="1:4" x14ac:dyDescent="0.2">
      <c r="A2018" s="5">
        <v>1957</v>
      </c>
      <c r="B2018" s="138">
        <f>'Cap Outlay Deprec 26'!D13</f>
        <v>97506</v>
      </c>
      <c r="D2018" s="2" t="str">
        <f t="shared" si="30"/>
        <v>Error?</v>
      </c>
    </row>
    <row r="2019" spans="1:4" x14ac:dyDescent="0.2">
      <c r="A2019" s="5">
        <v>1958</v>
      </c>
      <c r="B2019" s="138">
        <f>'Cap Outlay Deprec 26'!D16</f>
        <v>434360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1553417</v>
      </c>
      <c r="C2026" s="2" t="s">
        <v>573</v>
      </c>
      <c r="D2026" s="2" t="str">
        <f t="shared" si="30"/>
        <v>Error?</v>
      </c>
    </row>
    <row r="2027" spans="1:4" x14ac:dyDescent="0.2">
      <c r="A2027" s="5">
        <v>1966</v>
      </c>
      <c r="B2027" s="138">
        <f>'Cap Outlay Deprec 26'!F8</f>
        <v>27112037</v>
      </c>
      <c r="C2027" s="2" t="s">
        <v>573</v>
      </c>
      <c r="D2027" s="2" t="str">
        <f t="shared" si="30"/>
        <v>Error?</v>
      </c>
    </row>
    <row r="2028" spans="1:4" x14ac:dyDescent="0.2">
      <c r="A2028" s="5">
        <v>1967</v>
      </c>
      <c r="B2028" s="138">
        <f>'Cap Outlay Deprec 26'!F10</f>
        <v>824001</v>
      </c>
      <c r="C2028" s="2" t="s">
        <v>573</v>
      </c>
      <c r="D2028" s="2" t="str">
        <f t="shared" si="30"/>
        <v>Error?</v>
      </c>
    </row>
    <row r="2029" spans="1:4" x14ac:dyDescent="0.2">
      <c r="A2029" s="5">
        <v>1968</v>
      </c>
      <c r="B2029" s="138">
        <f>'Cap Outlay Deprec 26'!F12</f>
        <v>2525283</v>
      </c>
      <c r="C2029" s="2" t="s">
        <v>573</v>
      </c>
      <c r="D2029" s="2" t="str">
        <f t="shared" si="30"/>
        <v>Error?</v>
      </c>
    </row>
    <row r="2030" spans="1:4" x14ac:dyDescent="0.2">
      <c r="A2030" s="5">
        <v>1969</v>
      </c>
      <c r="B2030" s="138">
        <f>'Cap Outlay Deprec 26'!F13</f>
        <v>300519</v>
      </c>
      <c r="C2030" s="2" t="s">
        <v>573</v>
      </c>
      <c r="D2030" s="2" t="str">
        <f t="shared" si="30"/>
        <v>Error?</v>
      </c>
    </row>
    <row r="2031" spans="1:4" x14ac:dyDescent="0.2">
      <c r="A2031" s="5">
        <v>1970</v>
      </c>
      <c r="B2031" s="138">
        <f>'Cap Outlay Deprec 26'!F16</f>
        <v>32315257</v>
      </c>
      <c r="C2031" s="2" t="s">
        <v>573</v>
      </c>
      <c r="D2031" s="2" t="str">
        <f t="shared" si="30"/>
        <v>Error?</v>
      </c>
    </row>
    <row r="2032" spans="1:4" x14ac:dyDescent="0.2">
      <c r="A2032" s="10">
        <v>1971</v>
      </c>
      <c r="D2032" s="2" t="str">
        <f t="shared" si="30"/>
        <v>OK</v>
      </c>
    </row>
    <row r="2033" spans="1:4" x14ac:dyDescent="0.2">
      <c r="A2033" s="5">
        <v>1972</v>
      </c>
      <c r="B2033" s="138">
        <f>'Cap Outlay Deprec 26'!H8</f>
        <v>10724800</v>
      </c>
      <c r="D2033" s="2" t="str">
        <f t="shared" si="30"/>
        <v>Error?</v>
      </c>
    </row>
    <row r="2034" spans="1:4" x14ac:dyDescent="0.2">
      <c r="A2034" s="5">
        <v>1973</v>
      </c>
      <c r="B2034" s="138">
        <f>'Cap Outlay Deprec 26'!H10</f>
        <v>633024</v>
      </c>
      <c r="D2034" s="2" t="str">
        <f t="shared" si="30"/>
        <v>Error?</v>
      </c>
    </row>
    <row r="2035" spans="1:4" x14ac:dyDescent="0.2">
      <c r="A2035" s="5">
        <v>1974</v>
      </c>
      <c r="B2035" s="138">
        <f>'Cap Outlay Deprec 26'!H12</f>
        <v>2120744</v>
      </c>
      <c r="D2035" s="2" t="str">
        <f t="shared" si="30"/>
        <v>Error?</v>
      </c>
    </row>
    <row r="2036" spans="1:4" x14ac:dyDescent="0.2">
      <c r="A2036" s="5">
        <v>1975</v>
      </c>
      <c r="B2036" s="138">
        <f>'Cap Outlay Deprec 26'!H13</f>
        <v>156455</v>
      </c>
      <c r="D2036" s="2" t="str">
        <f t="shared" si="30"/>
        <v>Error?</v>
      </c>
    </row>
    <row r="2037" spans="1:4" x14ac:dyDescent="0.2">
      <c r="A2037" s="5">
        <v>1976</v>
      </c>
      <c r="B2037" s="138">
        <f>'Cap Outlay Deprec 26'!H16</f>
        <v>13635023</v>
      </c>
      <c r="C2037" s="2" t="s">
        <v>573</v>
      </c>
      <c r="D2037" s="2" t="str">
        <f t="shared" si="30"/>
        <v>Error?</v>
      </c>
    </row>
    <row r="2038" spans="1:4" x14ac:dyDescent="0.2">
      <c r="A2038" s="10">
        <v>1977</v>
      </c>
      <c r="D2038" s="2" t="str">
        <f t="shared" si="30"/>
        <v>OK</v>
      </c>
    </row>
    <row r="2039" spans="1:4" x14ac:dyDescent="0.2">
      <c r="A2039" s="5">
        <v>1978</v>
      </c>
      <c r="B2039" s="138">
        <f>'Cap Outlay Deprec 26'!I8</f>
        <v>542241</v>
      </c>
      <c r="D2039" s="2" t="str">
        <f t="shared" si="30"/>
        <v>Error?</v>
      </c>
    </row>
    <row r="2040" spans="1:4" x14ac:dyDescent="0.2">
      <c r="A2040" s="5">
        <v>1979</v>
      </c>
      <c r="B2040" s="138">
        <f>'Cap Outlay Deprec 26'!I10</f>
        <v>41200</v>
      </c>
      <c r="D2040" s="2" t="str">
        <f t="shared" si="30"/>
        <v>Error?</v>
      </c>
    </row>
    <row r="2041" spans="1:4" x14ac:dyDescent="0.2">
      <c r="A2041" s="5">
        <v>1980</v>
      </c>
      <c r="B2041" s="138">
        <f>'Cap Outlay Deprec 26'!I12</f>
        <v>40454</v>
      </c>
      <c r="D2041" s="2" t="str">
        <f t="shared" si="30"/>
        <v>Error?</v>
      </c>
    </row>
    <row r="2042" spans="1:4" x14ac:dyDescent="0.2">
      <c r="A2042" s="5">
        <v>1981</v>
      </c>
      <c r="B2042" s="138">
        <f>'Cap Outlay Deprec 26'!I13</f>
        <v>19153</v>
      </c>
      <c r="D2042" s="2" t="str">
        <f t="shared" si="30"/>
        <v>Error?</v>
      </c>
    </row>
    <row r="2043" spans="1:4" x14ac:dyDescent="0.2">
      <c r="A2043" s="5">
        <v>1982</v>
      </c>
      <c r="B2043" s="138">
        <f>'Cap Outlay Deprec 26'!I16</f>
        <v>643048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11267041</v>
      </c>
      <c r="C2051" s="2" t="s">
        <v>573</v>
      </c>
      <c r="D2051" s="2" t="str">
        <f t="shared" si="31"/>
        <v>Error?</v>
      </c>
    </row>
    <row r="2052" spans="1:4" x14ac:dyDescent="0.2">
      <c r="A2052" s="5">
        <v>1991</v>
      </c>
      <c r="B2052" s="138">
        <f>'Cap Outlay Deprec 26'!K10</f>
        <v>674224</v>
      </c>
      <c r="C2052" s="2" t="s">
        <v>573</v>
      </c>
      <c r="D2052" s="2" t="str">
        <f t="shared" si="31"/>
        <v>Error?</v>
      </c>
    </row>
    <row r="2053" spans="1:4" x14ac:dyDescent="0.2">
      <c r="A2053" s="5">
        <v>1992</v>
      </c>
      <c r="B2053" s="138">
        <f>'Cap Outlay Deprec 26'!K12</f>
        <v>2161198</v>
      </c>
      <c r="C2053" s="2" t="s">
        <v>573</v>
      </c>
      <c r="D2053" s="2" t="str">
        <f t="shared" si="31"/>
        <v>Error?</v>
      </c>
    </row>
    <row r="2054" spans="1:4" x14ac:dyDescent="0.2">
      <c r="A2054" s="5">
        <v>1993</v>
      </c>
      <c r="B2054" s="138">
        <f>'Cap Outlay Deprec 26'!K13</f>
        <v>175608</v>
      </c>
      <c r="C2054" s="2" t="s">
        <v>573</v>
      </c>
      <c r="D2054" s="2" t="str">
        <f t="shared" si="31"/>
        <v>Error?</v>
      </c>
    </row>
    <row r="2055" spans="1:4" x14ac:dyDescent="0.2">
      <c r="A2055" s="5">
        <v>1994</v>
      </c>
      <c r="B2055" s="138">
        <f>'Cap Outlay Deprec 26'!K16</f>
        <v>14278071</v>
      </c>
      <c r="C2055" s="2" t="s">
        <v>573</v>
      </c>
      <c r="D2055" s="2" t="str">
        <f t="shared" si="31"/>
        <v>Error?</v>
      </c>
    </row>
    <row r="2056" spans="1:4" x14ac:dyDescent="0.2">
      <c r="A2056" s="5">
        <v>1995</v>
      </c>
      <c r="B2056" s="138">
        <f>'Cap Outlay Deprec 26'!L5</f>
        <v>1553417</v>
      </c>
      <c r="C2056" s="2" t="s">
        <v>573</v>
      </c>
      <c r="D2056" s="2" t="str">
        <f t="shared" si="31"/>
        <v>Error?</v>
      </c>
    </row>
    <row r="2057" spans="1:4" x14ac:dyDescent="0.2">
      <c r="A2057" s="5">
        <v>1996</v>
      </c>
      <c r="B2057" s="138">
        <f>'Cap Outlay Deprec 26'!L8</f>
        <v>15844996</v>
      </c>
      <c r="C2057" s="2" t="s">
        <v>573</v>
      </c>
      <c r="D2057" s="2" t="str">
        <f t="shared" si="31"/>
        <v>Error?</v>
      </c>
    </row>
    <row r="2058" spans="1:4" x14ac:dyDescent="0.2">
      <c r="A2058" s="5">
        <v>1997</v>
      </c>
      <c r="B2058" s="138">
        <f>'Cap Outlay Deprec 26'!L10</f>
        <v>149777</v>
      </c>
      <c r="C2058" s="2" t="s">
        <v>573</v>
      </c>
      <c r="D2058" s="2" t="str">
        <f t="shared" si="31"/>
        <v>Error?</v>
      </c>
    </row>
    <row r="2059" spans="1:4" x14ac:dyDescent="0.2">
      <c r="A2059" s="5">
        <v>1998</v>
      </c>
      <c r="B2059" s="138">
        <f>'Cap Outlay Deprec 26'!L12</f>
        <v>364085</v>
      </c>
      <c r="C2059" s="2" t="s">
        <v>573</v>
      </c>
      <c r="D2059" s="2" t="str">
        <f t="shared" si="31"/>
        <v>Error?</v>
      </c>
    </row>
    <row r="2060" spans="1:4" x14ac:dyDescent="0.2">
      <c r="A2060" s="5">
        <v>1999</v>
      </c>
      <c r="B2060" s="138">
        <f>'Cap Outlay Deprec 26'!L13</f>
        <v>124911</v>
      </c>
      <c r="C2060" s="2" t="s">
        <v>573</v>
      </c>
      <c r="D2060" s="2" t="str">
        <f t="shared" si="31"/>
        <v>Error?</v>
      </c>
    </row>
    <row r="2061" spans="1:4" x14ac:dyDescent="0.2">
      <c r="A2061" s="5">
        <v>2000</v>
      </c>
      <c r="B2061" s="138">
        <f>'Cap Outlay Deprec 26'!L16</f>
        <v>18037186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1220039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514176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390923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761864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3890031</v>
      </c>
      <c r="C2551" s="2" t="s">
        <v>573</v>
      </c>
      <c r="D2551" s="2" t="str">
        <f t="shared" si="38"/>
        <v>Error?</v>
      </c>
    </row>
    <row r="2552" spans="1:4" x14ac:dyDescent="0.2">
      <c r="A2552" s="10">
        <v>2491</v>
      </c>
      <c r="D2552" s="2" t="str">
        <f t="shared" si="38"/>
        <v>OK</v>
      </c>
    </row>
    <row r="2553" spans="1:4" x14ac:dyDescent="0.2">
      <c r="A2553" s="5">
        <v>2492</v>
      </c>
      <c r="B2553" s="138">
        <f>'Acct Summary 7-8'!C6</f>
        <v>6193131</v>
      </c>
      <c r="C2553" s="2" t="s">
        <v>573</v>
      </c>
      <c r="D2553" s="2" t="str">
        <f t="shared" si="38"/>
        <v>Error?</v>
      </c>
    </row>
    <row r="2554" spans="1:4" x14ac:dyDescent="0.2">
      <c r="A2554" s="5">
        <v>2493</v>
      </c>
      <c r="B2554" s="138">
        <f>'Acct Summary 7-8'!C7</f>
        <v>1626351</v>
      </c>
      <c r="C2554" s="2" t="s">
        <v>573</v>
      </c>
      <c r="D2554" s="2" t="str">
        <f t="shared" si="38"/>
        <v>Error?</v>
      </c>
    </row>
    <row r="2555" spans="1:4" x14ac:dyDescent="0.2">
      <c r="A2555" s="5">
        <v>2494</v>
      </c>
      <c r="B2555" s="138">
        <f>'Acct Summary 7-8'!C8</f>
        <v>11709513</v>
      </c>
      <c r="C2555" s="2" t="s">
        <v>573</v>
      </c>
      <c r="D2555" s="2" t="str">
        <f t="shared" si="38"/>
        <v>Error?</v>
      </c>
    </row>
    <row r="2556" spans="1:4" x14ac:dyDescent="0.2">
      <c r="A2556" s="5">
        <v>2495</v>
      </c>
      <c r="B2556" s="138">
        <f>'Acct Summary 7-8'!C12</f>
        <v>6710884</v>
      </c>
      <c r="C2556" s="2" t="s">
        <v>573</v>
      </c>
      <c r="D2556" s="2" t="str">
        <f t="shared" si="38"/>
        <v>Error?</v>
      </c>
    </row>
    <row r="2557" spans="1:4" x14ac:dyDescent="0.2">
      <c r="A2557" s="5">
        <v>2496</v>
      </c>
      <c r="B2557" s="138">
        <f>'Acct Summary 7-8'!C13</f>
        <v>2528143</v>
      </c>
      <c r="C2557" s="2" t="s">
        <v>573</v>
      </c>
      <c r="D2557" s="2" t="str">
        <f t="shared" si="38"/>
        <v>Error?</v>
      </c>
    </row>
    <row r="2558" spans="1:4" x14ac:dyDescent="0.2">
      <c r="A2558" s="5">
        <v>2497</v>
      </c>
      <c r="B2558" s="138">
        <f>'Acct Summary 7-8'!C14</f>
        <v>46030</v>
      </c>
      <c r="C2558" s="2" t="s">
        <v>573</v>
      </c>
      <c r="D2558" s="2" t="str">
        <f t="shared" si="38"/>
        <v>Error?</v>
      </c>
    </row>
    <row r="2559" spans="1:4" x14ac:dyDescent="0.2">
      <c r="A2559" s="5">
        <v>2498</v>
      </c>
      <c r="B2559" s="138">
        <f>'Acct Summary 7-8'!C15</f>
        <v>1220039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10505096</v>
      </c>
      <c r="C2561" s="2" t="s">
        <v>573</v>
      </c>
      <c r="D2561" s="2" t="str">
        <f t="shared" si="39"/>
        <v>Error?</v>
      </c>
    </row>
    <row r="2562" spans="1:4" x14ac:dyDescent="0.2">
      <c r="A2562" s="5">
        <v>2501</v>
      </c>
      <c r="B2562" s="138">
        <f>'Acct Summary 7-8'!C20</f>
        <v>1204417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731001</v>
      </c>
      <c r="C2564" s="2" t="s">
        <v>573</v>
      </c>
      <c r="D2564" s="2" t="str">
        <f t="shared" si="39"/>
        <v>Error?</v>
      </c>
    </row>
    <row r="2565" spans="1:4" x14ac:dyDescent="0.2">
      <c r="A2565" s="10">
        <v>2504</v>
      </c>
      <c r="D2565" s="2" t="str">
        <f t="shared" si="39"/>
        <v>OK</v>
      </c>
    </row>
    <row r="2566" spans="1:4" x14ac:dyDescent="0.2">
      <c r="A2566" s="5">
        <v>2505</v>
      </c>
      <c r="B2566" s="138">
        <f>'Acct Summary 7-8'!D6</f>
        <v>577630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1308631</v>
      </c>
      <c r="C2568" s="2" t="s">
        <v>573</v>
      </c>
      <c r="D2568" s="2" t="str">
        <f t="shared" si="39"/>
        <v>Error?</v>
      </c>
    </row>
    <row r="2569" spans="1:4" x14ac:dyDescent="0.2">
      <c r="A2569" s="5">
        <v>2508</v>
      </c>
      <c r="B2569" s="138">
        <f>'Acct Summary 7-8'!D13</f>
        <v>1618046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1618046</v>
      </c>
      <c r="C2573" s="2" t="s">
        <v>573</v>
      </c>
      <c r="D2573" s="2" t="str">
        <f t="shared" si="39"/>
        <v>Error?</v>
      </c>
    </row>
    <row r="2574" spans="1:4" x14ac:dyDescent="0.2">
      <c r="A2574" s="5">
        <v>2513</v>
      </c>
      <c r="B2574" s="138">
        <f>'Acct Summary 7-8'!D20</f>
        <v>-309415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267577</v>
      </c>
      <c r="C2591" s="2" t="s">
        <v>573</v>
      </c>
      <c r="D2591" s="2" t="str">
        <f t="shared" si="39"/>
        <v>Error?</v>
      </c>
    </row>
    <row r="2592" spans="1:4" x14ac:dyDescent="0.2">
      <c r="A2592" s="10">
        <v>2531</v>
      </c>
      <c r="D2592" s="2" t="str">
        <f t="shared" si="39"/>
        <v>OK</v>
      </c>
    </row>
    <row r="2593" spans="1:4" x14ac:dyDescent="0.2">
      <c r="A2593" s="5">
        <v>2532</v>
      </c>
      <c r="B2593" s="138">
        <f>'Acct Summary 7-8'!F6</f>
        <v>613940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881517</v>
      </c>
      <c r="C2595" s="2" t="s">
        <v>573</v>
      </c>
      <c r="D2595" s="2" t="str">
        <f t="shared" si="39"/>
        <v>Error?</v>
      </c>
    </row>
    <row r="2596" spans="1:4" x14ac:dyDescent="0.2">
      <c r="A2596" s="5">
        <v>2535</v>
      </c>
      <c r="B2596" s="138">
        <f>'Acct Summary 7-8'!F13</f>
        <v>634399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634399</v>
      </c>
      <c r="C2600" s="2" t="s">
        <v>573</v>
      </c>
      <c r="D2600" s="2" t="str">
        <f t="shared" si="39"/>
        <v>Error?</v>
      </c>
    </row>
    <row r="2601" spans="1:4" x14ac:dyDescent="0.2">
      <c r="A2601" s="5">
        <v>2540</v>
      </c>
      <c r="B2601" s="138">
        <f>'Acct Summary 7-8'!F20</f>
        <v>247118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534679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534679</v>
      </c>
      <c r="C2606" s="2" t="s">
        <v>573</v>
      </c>
      <c r="D2606" s="2" t="str">
        <f t="shared" si="39"/>
        <v>Error?</v>
      </c>
    </row>
    <row r="2607" spans="1:4" x14ac:dyDescent="0.2">
      <c r="A2607" s="5">
        <v>2546</v>
      </c>
      <c r="B2607" s="138">
        <f>'Acct Summary 7-8'!G12</f>
        <v>168622</v>
      </c>
      <c r="C2607" s="2" t="s">
        <v>573</v>
      </c>
      <c r="D2607" s="2" t="str">
        <f t="shared" si="39"/>
        <v>Error?</v>
      </c>
    </row>
    <row r="2608" spans="1:4" x14ac:dyDescent="0.2">
      <c r="A2608" s="5">
        <v>2547</v>
      </c>
      <c r="B2608" s="138">
        <f>'Acct Summary 7-8'!G13</f>
        <v>225674</v>
      </c>
      <c r="C2608" s="2" t="s">
        <v>573</v>
      </c>
      <c r="D2608" s="2" t="str">
        <f t="shared" si="39"/>
        <v>Error?</v>
      </c>
    </row>
    <row r="2609" spans="1:4" x14ac:dyDescent="0.2">
      <c r="A2609" s="5">
        <v>2548</v>
      </c>
      <c r="B2609" s="138">
        <f>'Acct Summary 7-8'!G14</f>
        <v>8510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402806</v>
      </c>
      <c r="C2612" s="2" t="s">
        <v>573</v>
      </c>
      <c r="D2612" s="2" t="str">
        <f t="shared" si="39"/>
        <v>Error?</v>
      </c>
    </row>
    <row r="2613" spans="1:4" x14ac:dyDescent="0.2">
      <c r="A2613" s="5">
        <v>2552</v>
      </c>
      <c r="B2613" s="138">
        <f>'Acct Summary 7-8'!G20</f>
        <v>131873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945165</v>
      </c>
      <c r="C2630" s="2" t="s">
        <v>573</v>
      </c>
      <c r="D2630" s="2" t="str">
        <f t="shared" si="40"/>
        <v>Error?</v>
      </c>
    </row>
    <row r="2631" spans="1:4" x14ac:dyDescent="0.2">
      <c r="A2631" s="5">
        <v>2570</v>
      </c>
      <c r="B2631" s="138">
        <f>'Acct Summary 7-8'!E6</f>
        <v>151387</v>
      </c>
      <c r="C2631" s="2" t="s">
        <v>573</v>
      </c>
      <c r="D2631" s="2" t="str">
        <f t="shared" si="40"/>
        <v>Error?</v>
      </c>
    </row>
    <row r="2632" spans="1:4" x14ac:dyDescent="0.2">
      <c r="A2632" s="5">
        <v>2571</v>
      </c>
      <c r="B2632" s="138">
        <f>'Acct Summary 7-8'!E8</f>
        <v>1096552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1101238</v>
      </c>
      <c r="C2634" s="2" t="s">
        <v>573</v>
      </c>
      <c r="D2634" s="2" t="str">
        <f t="shared" si="40"/>
        <v>Error?</v>
      </c>
    </row>
    <row r="2635" spans="1:4" x14ac:dyDescent="0.2">
      <c r="A2635" s="5">
        <v>2574</v>
      </c>
      <c r="B2635" s="138">
        <f>'Acct Summary 7-8'!E17</f>
        <v>1101238</v>
      </c>
      <c r="C2635" s="2" t="s">
        <v>573</v>
      </c>
      <c r="D2635" s="2" t="str">
        <f t="shared" si="40"/>
        <v>Error?</v>
      </c>
    </row>
    <row r="2636" spans="1:4" x14ac:dyDescent="0.2">
      <c r="A2636" s="5">
        <v>2575</v>
      </c>
      <c r="B2636" s="138">
        <f>'Acct Summary 7-8'!E20</f>
        <v>-4686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208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208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208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1220039</v>
      </c>
      <c r="C2789" s="2" t="s">
        <v>573</v>
      </c>
      <c r="D2789" s="2" t="str">
        <f t="shared" si="42"/>
        <v>Error?</v>
      </c>
    </row>
    <row r="2790" spans="1:4" x14ac:dyDescent="0.2">
      <c r="A2790" s="5">
        <v>2729</v>
      </c>
      <c r="B2790" s="138">
        <f>'Expenditures 15-22'!E102</f>
        <v>1220039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2334033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247674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2334033</v>
      </c>
      <c r="D2912" s="2" t="str">
        <f t="shared" si="44"/>
        <v>Error?</v>
      </c>
    </row>
    <row r="2913" spans="1:4" x14ac:dyDescent="0.2">
      <c r="A2913" s="5">
        <v>2852</v>
      </c>
      <c r="B2913" s="138">
        <f>'Assets-Liab 5-6'!I41</f>
        <v>2334033</v>
      </c>
      <c r="C2913" s="2" t="s">
        <v>573</v>
      </c>
      <c r="D2913" s="2" t="str">
        <f t="shared" si="44"/>
        <v>Error?</v>
      </c>
    </row>
    <row r="2914" spans="1:4" x14ac:dyDescent="0.2">
      <c r="A2914" s="5">
        <v>2853</v>
      </c>
      <c r="B2914" s="138">
        <f>'Assets-Liab 5-6'!L33</f>
        <v>247674</v>
      </c>
      <c r="D2914" s="2" t="str">
        <f t="shared" si="44"/>
        <v>Error?</v>
      </c>
    </row>
    <row r="2915" spans="1:4" x14ac:dyDescent="0.2">
      <c r="A2915" s="10">
        <v>2854</v>
      </c>
      <c r="D2915" s="2" t="str">
        <f t="shared" si="44"/>
        <v>OK</v>
      </c>
    </row>
    <row r="2916" spans="1:4" x14ac:dyDescent="0.2">
      <c r="A2916" s="5">
        <v>2855</v>
      </c>
      <c r="B2916" s="138">
        <f>'Assets-Liab 5-6'!L34</f>
        <v>247674</v>
      </c>
      <c r="C2916" s="2" t="s">
        <v>573</v>
      </c>
      <c r="D2916" s="2" t="str">
        <f t="shared" si="44"/>
        <v>Error?</v>
      </c>
    </row>
    <row r="2917" spans="1:4" x14ac:dyDescent="0.2">
      <c r="A2917" s="5">
        <v>2856</v>
      </c>
      <c r="B2917" s="138">
        <f>'Assets-Liab 5-6'!L41</f>
        <v>247674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37641</v>
      </c>
      <c r="D2949" s="2" t="str">
        <f t="shared" si="45"/>
        <v>Error?</v>
      </c>
    </row>
    <row r="2950" spans="1:4" x14ac:dyDescent="0.2">
      <c r="A2950" s="5">
        <v>2889</v>
      </c>
      <c r="B2950" s="138">
        <f>'Expenditures 15-22'!E79</f>
        <v>1055740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104658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22000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37641</v>
      </c>
      <c r="C2973" s="2" t="s">
        <v>573</v>
      </c>
      <c r="D2973" s="2" t="str">
        <f t="shared" si="45"/>
        <v>Error?</v>
      </c>
    </row>
    <row r="2974" spans="1:4" x14ac:dyDescent="0.2">
      <c r="A2974" s="5">
        <v>2913</v>
      </c>
      <c r="B2974" s="138">
        <f>'Expenditures 15-22'!K79</f>
        <v>1055740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104658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22000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1039</v>
      </c>
      <c r="D3055" s="2" t="str">
        <f t="shared" si="46"/>
        <v>Error?</v>
      </c>
    </row>
    <row r="3056" spans="1:4" x14ac:dyDescent="0.2">
      <c r="A3056" s="5">
        <v>2995</v>
      </c>
      <c r="B3056" s="138">
        <f>'Expenditures 15-22'!D10</f>
        <v>16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1055</v>
      </c>
      <c r="C3062" s="2" t="s">
        <v>573</v>
      </c>
      <c r="D3062" s="2" t="str">
        <f t="shared" si="46"/>
        <v>Error?</v>
      </c>
    </row>
    <row r="3063" spans="1:4" x14ac:dyDescent="0.2">
      <c r="A3063" s="10">
        <v>3002</v>
      </c>
      <c r="D3063" s="2" t="str">
        <f t="shared" si="46"/>
        <v>OK</v>
      </c>
    </row>
    <row r="3064" spans="1:4" x14ac:dyDescent="0.2">
      <c r="A3064" s="5">
        <v>3003</v>
      </c>
      <c r="B3064" s="138">
        <f>'Expenditures 15-22'!D219</f>
        <v>14</v>
      </c>
      <c r="D3064" s="2" t="str">
        <f t="shared" si="46"/>
        <v>Error?</v>
      </c>
    </row>
    <row r="3065" spans="1:4" x14ac:dyDescent="0.2">
      <c r="A3065" s="5">
        <v>3004</v>
      </c>
      <c r="B3065" s="138">
        <f>'Expenditures 15-22'!K219</f>
        <v>14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1204417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600000</v>
      </c>
      <c r="C3238" s="2" t="s">
        <v>573</v>
      </c>
      <c r="D3238" s="2" t="str">
        <f t="shared" si="49"/>
        <v>Error?</v>
      </c>
    </row>
    <row r="3239" spans="1:4" x14ac:dyDescent="0.2">
      <c r="A3239" s="5">
        <v>3178</v>
      </c>
      <c r="B3239" s="138">
        <f>'Acct Summary 7-8'!D78</f>
        <v>290585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247118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131873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-4686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208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600000</v>
      </c>
      <c r="C3318" s="2" t="s">
        <v>573</v>
      </c>
      <c r="D3318" s="2" t="str">
        <f t="shared" si="50"/>
        <v>Error?</v>
      </c>
    </row>
    <row r="3319" spans="1:4" x14ac:dyDescent="0.2">
      <c r="A3319" s="5">
        <v>3258</v>
      </c>
      <c r="B3319" s="138">
        <f>'Acct Summary 7-8'!I77</f>
        <v>-600000</v>
      </c>
      <c r="C3319" s="2" t="s">
        <v>573</v>
      </c>
      <c r="D3319" s="2" t="str">
        <f t="shared" si="50"/>
        <v>Error?</v>
      </c>
    </row>
    <row r="3320" spans="1:4" x14ac:dyDescent="0.2">
      <c r="A3320" s="5">
        <v>3259</v>
      </c>
      <c r="B3320" s="138">
        <f>'Acct Summary 7-8'!I78</f>
        <v>-600000</v>
      </c>
      <c r="C3320" s="2" t="s">
        <v>573</v>
      </c>
      <c r="D3320" s="2" t="str">
        <f t="shared" si="50"/>
        <v>Error?</v>
      </c>
    </row>
    <row r="3321" spans="1:4" x14ac:dyDescent="0.2">
      <c r="A3321" s="5">
        <v>3260</v>
      </c>
      <c r="B3321" s="138">
        <f>'Acct Summary 7-8'!I79</f>
        <v>2934033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2334033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1391467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117918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1515223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55700</v>
      </c>
      <c r="D3387" s="2" t="str">
        <f t="shared" si="51"/>
        <v>Error?</v>
      </c>
    </row>
    <row r="3388" spans="1:4" x14ac:dyDescent="0.2">
      <c r="A3388" s="5">
        <v>3327</v>
      </c>
      <c r="B3388" s="138">
        <f>'Expenditures 15-22'!D217</f>
        <v>88011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55700</v>
      </c>
      <c r="C3390" s="2" t="s">
        <v>573</v>
      </c>
      <c r="D3390" s="2" t="str">
        <f t="shared" si="51"/>
        <v>Error?</v>
      </c>
    </row>
    <row r="3391" spans="1:4" x14ac:dyDescent="0.2">
      <c r="A3391" s="5">
        <v>3330</v>
      </c>
      <c r="B3391" s="138">
        <f>'Expenditures 15-22'!K217</f>
        <v>88011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1237725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761864</v>
      </c>
      <c r="D3417" s="2" t="str">
        <f t="shared" si="52"/>
        <v>Error?</v>
      </c>
    </row>
    <row r="3418" spans="1:4" x14ac:dyDescent="0.2">
      <c r="A3418" s="10">
        <v>3357</v>
      </c>
      <c r="D3418" s="2" t="str">
        <f t="shared" si="52"/>
        <v>OK</v>
      </c>
    </row>
    <row r="3419" spans="1:4" x14ac:dyDescent="0.2">
      <c r="A3419" s="5">
        <v>3358</v>
      </c>
      <c r="B3419" s="138">
        <f>'Assets-Liab 5-6'!F4</f>
        <v>959639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390923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2334033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247674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267139</v>
      </c>
      <c r="C3446" s="2" t="s">
        <v>573</v>
      </c>
      <c r="D3446" s="2" t="str">
        <f t="shared" si="52"/>
        <v>Error?</v>
      </c>
    </row>
    <row r="3447" spans="1:4" x14ac:dyDescent="0.2">
      <c r="A3447" s="5">
        <v>3386</v>
      </c>
      <c r="B3447" s="138">
        <f>'Tax Sched 23'!D16</f>
        <v>124705</v>
      </c>
      <c r="C3447" s="2" t="s">
        <v>573</v>
      </c>
      <c r="D3447" s="2" t="str">
        <f t="shared" si="52"/>
        <v>Error?</v>
      </c>
    </row>
    <row r="3448" spans="1:4" x14ac:dyDescent="0.2">
      <c r="A3448" s="5">
        <v>3387</v>
      </c>
      <c r="B3448" s="138">
        <f>'Tax Sched 23'!C16</f>
        <v>142434</v>
      </c>
      <c r="D3448" s="2" t="str">
        <f t="shared" si="52"/>
        <v>Error?</v>
      </c>
    </row>
    <row r="3449" spans="1:4" x14ac:dyDescent="0.2">
      <c r="A3449" s="5">
        <v>3388</v>
      </c>
      <c r="B3449" s="138">
        <f>'Tax Sched 23'!F16</f>
        <v>129533</v>
      </c>
      <c r="C3449" s="2" t="s">
        <v>573</v>
      </c>
      <c r="D3449" s="2" t="str">
        <f t="shared" si="52"/>
        <v>Error?</v>
      </c>
    </row>
    <row r="3450" spans="1:4" x14ac:dyDescent="0.2">
      <c r="A3450" s="5">
        <v>3389</v>
      </c>
      <c r="B3450" s="138">
        <f>'Tax Sched 23'!E16</f>
        <v>271967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3995350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15704863</v>
      </c>
      <c r="C4122" s="2" t="s">
        <v>573</v>
      </c>
      <c r="D4122" s="2" t="str">
        <f t="shared" si="63"/>
        <v>Error?</v>
      </c>
    </row>
    <row r="4123" spans="1:4" x14ac:dyDescent="0.2">
      <c r="A4123" s="5">
        <v>4062</v>
      </c>
      <c r="B4123" s="138">
        <f>'Acct Summary 7-8'!D10</f>
        <v>1308631</v>
      </c>
      <c r="C4123" s="2" t="s">
        <v>573</v>
      </c>
      <c r="D4123" s="2" t="str">
        <f t="shared" si="63"/>
        <v>Error?</v>
      </c>
    </row>
    <row r="4124" spans="1:4" x14ac:dyDescent="0.2">
      <c r="A4124" s="5">
        <v>4063</v>
      </c>
      <c r="B4124" s="138">
        <f>'Acct Summary 7-8'!E10</f>
        <v>1096552</v>
      </c>
      <c r="C4124" s="2" t="s">
        <v>573</v>
      </c>
      <c r="D4124" s="2" t="str">
        <f t="shared" si="63"/>
        <v>Error?</v>
      </c>
    </row>
    <row r="4125" spans="1:4" x14ac:dyDescent="0.2">
      <c r="A4125" s="5">
        <v>4064</v>
      </c>
      <c r="B4125" s="138">
        <f>'Acct Summary 7-8'!F10</f>
        <v>881517</v>
      </c>
      <c r="C4125" s="2" t="s">
        <v>573</v>
      </c>
      <c r="D4125" s="2" t="str">
        <f t="shared" si="63"/>
        <v>Error?</v>
      </c>
    </row>
    <row r="4126" spans="1:4" x14ac:dyDescent="0.2">
      <c r="A4126" s="5">
        <v>4065</v>
      </c>
      <c r="B4126" s="138">
        <f>'Acct Summary 7-8'!G10</f>
        <v>534679</v>
      </c>
      <c r="C4126" s="2" t="s">
        <v>573</v>
      </c>
      <c r="D4126" s="2" t="str">
        <f t="shared" si="63"/>
        <v>Error?</v>
      </c>
    </row>
    <row r="4127" spans="1:4" x14ac:dyDescent="0.2">
      <c r="A4127" s="5">
        <v>4066</v>
      </c>
      <c r="B4127" s="138">
        <f>'Acct Summary 7-8'!H10</f>
        <v>208</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3995350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14500446</v>
      </c>
      <c r="C4136" s="2" t="s">
        <v>573</v>
      </c>
      <c r="D4136" s="2" t="str">
        <f t="shared" si="63"/>
        <v>Error?</v>
      </c>
    </row>
    <row r="4137" spans="1:4" x14ac:dyDescent="0.2">
      <c r="A4137" s="5">
        <v>4076</v>
      </c>
      <c r="B4137" s="138">
        <f>'Acct Summary 7-8'!D19</f>
        <v>1618046</v>
      </c>
      <c r="C4137" s="2" t="s">
        <v>573</v>
      </c>
      <c r="D4137" s="2" t="str">
        <f t="shared" si="63"/>
        <v>Error?</v>
      </c>
    </row>
    <row r="4138" spans="1:4" x14ac:dyDescent="0.2">
      <c r="A4138" s="5">
        <v>4077</v>
      </c>
      <c r="B4138" s="138">
        <f>'Acct Summary 7-8'!E19</f>
        <v>1101238</v>
      </c>
      <c r="C4138" s="2" t="s">
        <v>573</v>
      </c>
      <c r="D4138" s="2" t="str">
        <f t="shared" si="63"/>
        <v>Error?</v>
      </c>
    </row>
    <row r="4139" spans="1:4" x14ac:dyDescent="0.2">
      <c r="A4139" s="5">
        <v>4078</v>
      </c>
      <c r="B4139" s="138">
        <f>'Acct Summary 7-8'!F19</f>
        <v>634399</v>
      </c>
      <c r="C4139" s="2" t="s">
        <v>573</v>
      </c>
      <c r="D4139" s="2" t="str">
        <f t="shared" si="63"/>
        <v>Error?</v>
      </c>
    </row>
    <row r="4140" spans="1:4" x14ac:dyDescent="0.2">
      <c r="A4140" s="5">
        <v>4079</v>
      </c>
      <c r="B4140" s="138">
        <f>'Acct Summary 7-8'!G19</f>
        <v>402806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5273961</v>
      </c>
      <c r="C4171" s="2" t="s">
        <v>573</v>
      </c>
      <c r="D4171" s="2" t="str">
        <f t="shared" si="64"/>
        <v>Error?</v>
      </c>
    </row>
    <row r="4172" spans="1:4" x14ac:dyDescent="0.2">
      <c r="A4172" s="5">
        <v>4111</v>
      </c>
      <c r="B4172" s="138">
        <f>'Short-Term Long-Term Debt 24'!J49</f>
        <v>4512097</v>
      </c>
      <c r="C4172" s="2" t="s">
        <v>573</v>
      </c>
      <c r="D4172" s="2" t="str">
        <f t="shared" si="64"/>
        <v>Error?</v>
      </c>
    </row>
    <row r="4173" spans="1:4" x14ac:dyDescent="0.2">
      <c r="A4173" s="5">
        <v>4112</v>
      </c>
      <c r="B4173" s="138">
        <f>'Short-Term Long-Term Debt 24'!H49</f>
        <v>895969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2475.9</v>
      </c>
      <c r="C4265" s="2" t="s">
        <v>573</v>
      </c>
      <c r="D4265" s="2" t="str">
        <f t="shared" si="65"/>
        <v>Error?</v>
      </c>
      <c r="E4265" s="128"/>
    </row>
    <row r="4266" spans="1:5" x14ac:dyDescent="0.2">
      <c r="A4266" s="12">
        <v>4205</v>
      </c>
      <c r="B4266" s="138">
        <f>('FP Info 3'!F10)*100000</f>
        <v>495.3</v>
      </c>
      <c r="C4266" s="2" t="s">
        <v>573</v>
      </c>
      <c r="D4266" s="2" t="str">
        <f t="shared" si="65"/>
        <v>Error?</v>
      </c>
      <c r="E4266" s="128"/>
    </row>
    <row r="4267" spans="1:5" x14ac:dyDescent="0.2">
      <c r="A4267" s="12">
        <v>4206</v>
      </c>
      <c r="B4267" s="138">
        <f>('FP Info 3'!H10)*100000</f>
        <v>212.29999999999998</v>
      </c>
      <c r="C4267" s="2" t="s">
        <v>573</v>
      </c>
      <c r="D4267" s="2" t="str">
        <f t="shared" si="65"/>
        <v>Error?</v>
      </c>
      <c r="E4267" s="128"/>
    </row>
    <row r="4268" spans="1:5" x14ac:dyDescent="0.2">
      <c r="A4268" s="12">
        <v>4207</v>
      </c>
      <c r="B4268" s="138">
        <f>('FP Info 3'!J10)*100000</f>
        <v>3184</v>
      </c>
      <c r="C4268" s="2" t="s">
        <v>573</v>
      </c>
      <c r="D4268" s="2" t="str">
        <f t="shared" si="65"/>
        <v>Error?</v>
      </c>
    </row>
    <row r="4269" spans="1:5" x14ac:dyDescent="0.2">
      <c r="A4269" s="12">
        <v>4208</v>
      </c>
      <c r="B4269" s="138">
        <f>'FP Info 3'!J16</f>
        <v>13360035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12847</v>
      </c>
      <c r="D4331" s="2" t="str">
        <f t="shared" si="66"/>
        <v>Error?</v>
      </c>
    </row>
    <row r="4332" spans="1:4" x14ac:dyDescent="0.2">
      <c r="A4332" s="5">
        <v>4271</v>
      </c>
      <c r="B4332" s="138">
        <f>'Revenues 9-14'!C203</f>
        <v>60597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14114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174398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55409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21903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128105270</v>
      </c>
      <c r="D4995" s="2" t="str">
        <f t="shared" si="77"/>
        <v>Error?</v>
      </c>
    </row>
    <row r="4996" spans="1:4" x14ac:dyDescent="0.2">
      <c r="A4996" s="12">
        <v>4935</v>
      </c>
      <c r="B4996" s="138">
        <f>'FP Info 3'!H31</f>
        <v>17678527.260000002</v>
      </c>
      <c r="D4996" s="2" t="str">
        <f t="shared" si="77"/>
        <v>Error?</v>
      </c>
    </row>
    <row r="4997" spans="1:4" x14ac:dyDescent="0.2">
      <c r="A4997" s="12">
        <v>4936</v>
      </c>
      <c r="B4997" s="138">
        <f>'FP Info 3'!H37</f>
        <v>5273961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3116189</v>
      </c>
      <c r="D5061" s="2" t="str">
        <f t="shared" si="78"/>
        <v>Error?</v>
      </c>
    </row>
    <row r="5062" spans="1:4" x14ac:dyDescent="0.2">
      <c r="A5062" s="10">
        <v>5001</v>
      </c>
      <c r="D5062" s="2" t="str">
        <f t="shared" si="78"/>
        <v>OK</v>
      </c>
    </row>
    <row r="5063" spans="1:4" x14ac:dyDescent="0.2">
      <c r="A5063" s="5">
        <v>5002</v>
      </c>
      <c r="B5063" s="138">
        <f>'Revenues 9-14'!C7</f>
        <v>72136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3188325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17905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17905</v>
      </c>
      <c r="C5087" s="2" t="s">
        <v>573</v>
      </c>
      <c r="D5087" s="2" t="str">
        <f t="shared" si="78"/>
        <v>Error?</v>
      </c>
    </row>
    <row r="5088" spans="1:4" x14ac:dyDescent="0.2">
      <c r="A5088" s="5">
        <v>5027</v>
      </c>
      <c r="B5088" s="138">
        <f>'Revenues 9-14'!C65</f>
        <v>390222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390222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14515</v>
      </c>
      <c r="C5096" s="2" t="s">
        <v>573</v>
      </c>
      <c r="D5096" s="2" t="str">
        <f t="shared" si="78"/>
        <v>Error?</v>
      </c>
    </row>
    <row r="5097" spans="1:4" x14ac:dyDescent="0.2">
      <c r="A5097" s="5">
        <v>5036</v>
      </c>
      <c r="B5097" s="138">
        <f>'Revenues 9-14'!C77</f>
        <v>26581</v>
      </c>
      <c r="D5097" s="2" t="str">
        <f t="shared" si="78"/>
        <v>Error?</v>
      </c>
    </row>
    <row r="5098" spans="1:4" x14ac:dyDescent="0.2">
      <c r="A5098" s="5">
        <v>5037</v>
      </c>
      <c r="B5098" s="138">
        <f>'Revenues 9-14'!C78</f>
        <v>10063</v>
      </c>
      <c r="D5098" s="2" t="str">
        <f t="shared" si="78"/>
        <v>Error?</v>
      </c>
    </row>
    <row r="5099" spans="1:4" x14ac:dyDescent="0.2">
      <c r="A5099" s="5">
        <v>5038</v>
      </c>
      <c r="B5099" s="138">
        <f>'Revenues 9-14'!C79</f>
        <v>49610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86254</v>
      </c>
      <c r="C5102" s="2" t="s">
        <v>573</v>
      </c>
      <c r="D5102" s="2" t="str">
        <f t="shared" si="78"/>
        <v>Error?</v>
      </c>
    </row>
    <row r="5103" spans="1:4" x14ac:dyDescent="0.2">
      <c r="A5103" s="5">
        <v>5042</v>
      </c>
      <c r="B5103" s="138">
        <f>'Revenues 9-14'!C84</f>
        <v>88000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88000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16027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15049</v>
      </c>
      <c r="D5118" s="2" t="str">
        <f t="shared" si="78"/>
        <v>Error?</v>
      </c>
    </row>
    <row r="5119" spans="1:4" x14ac:dyDescent="0.2">
      <c r="A5119" s="5">
        <v>5058</v>
      </c>
      <c r="B5119" s="138">
        <f>'Revenues 9-14'!C107</f>
        <v>58997</v>
      </c>
      <c r="D5119" s="2" t="str">
        <f t="shared" ref="D5119:D5182" si="79">IF(ISBLANK(B5119),"OK",IF(A5119-B5119=0,"OK","Error?"))</f>
        <v>Error?</v>
      </c>
    </row>
    <row r="5120" spans="1:4" x14ac:dyDescent="0.2">
      <c r="A5120" s="5">
        <v>5059</v>
      </c>
      <c r="B5120" s="138">
        <f>'Revenues 9-14'!C108</f>
        <v>104810</v>
      </c>
      <c r="C5120" s="2" t="s">
        <v>573</v>
      </c>
      <c r="D5120" s="2" t="str">
        <f t="shared" si="79"/>
        <v>Error?</v>
      </c>
    </row>
    <row r="5121" spans="1:4" x14ac:dyDescent="0.2">
      <c r="A5121" s="5">
        <v>5060</v>
      </c>
      <c r="B5121" s="138">
        <f>'Revenues 9-14'!C109</f>
        <v>3890031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5407537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5407537</v>
      </c>
      <c r="C5132" s="2" t="s">
        <v>573</v>
      </c>
      <c r="D5132" s="2" t="str">
        <f t="shared" si="79"/>
        <v>Error?</v>
      </c>
    </row>
    <row r="5133" spans="1:4" x14ac:dyDescent="0.2">
      <c r="A5133" s="5">
        <v>5072</v>
      </c>
      <c r="B5133" s="138">
        <f>'Revenues 9-14'!C125</f>
        <v>86540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155997</v>
      </c>
      <c r="D5135" s="2" t="str">
        <f t="shared" si="79"/>
        <v>Error?</v>
      </c>
    </row>
    <row r="5136" spans="1:4" x14ac:dyDescent="0.2">
      <c r="A5136" s="10">
        <v>5075</v>
      </c>
      <c r="D5136" s="2" t="str">
        <f t="shared" si="79"/>
        <v>OK</v>
      </c>
    </row>
    <row r="5137" spans="1:4" x14ac:dyDescent="0.2">
      <c r="A5137" s="5">
        <v>5076</v>
      </c>
      <c r="B5137" s="138">
        <f>'Revenues 9-14'!C128</f>
        <v>25244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267781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15213</v>
      </c>
      <c r="D5167" s="2" t="str">
        <f t="shared" si="79"/>
        <v>Error?</v>
      </c>
    </row>
    <row r="5168" spans="1:4" x14ac:dyDescent="0.2">
      <c r="A5168" s="5">
        <v>5107</v>
      </c>
      <c r="B5168" s="138">
        <f>'Revenues 9-14'!C148</f>
        <v>17344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463353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785594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6193131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538840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254042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805729</v>
      </c>
      <c r="C5246" s="2" t="s">
        <v>573</v>
      </c>
      <c r="D5246" s="2" t="str">
        <f t="shared" si="80"/>
        <v>Error?</v>
      </c>
    </row>
    <row r="5247" spans="1:4" x14ac:dyDescent="0.2">
      <c r="A5247" s="5">
        <v>5186</v>
      </c>
      <c r="B5247" s="138">
        <f>'Revenues 9-14'!C200</f>
        <v>337217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397814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5237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60366</v>
      </c>
      <c r="D5278" s="2" t="str">
        <f t="shared" si="81"/>
        <v>Error?</v>
      </c>
    </row>
    <row r="5279" spans="1:4" x14ac:dyDescent="0.2">
      <c r="A5279" s="5">
        <v>5218</v>
      </c>
      <c r="B5279" s="138">
        <f>'Revenues 9-14'!C214</f>
        <v>113284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178887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1626351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1626351</v>
      </c>
      <c r="C5326" s="2" t="s">
        <v>573</v>
      </c>
      <c r="D5326" s="2" t="str">
        <f t="shared" si="82"/>
        <v>Error?</v>
      </c>
    </row>
    <row r="5327" spans="1:5" x14ac:dyDescent="0.2">
      <c r="A5327" s="5">
        <v>5266</v>
      </c>
      <c r="B5327" s="138">
        <f>'Revenues 9-14'!C268</f>
        <v>11709513</v>
      </c>
      <c r="C5327" s="2" t="s">
        <v>573</v>
      </c>
      <c r="D5327" s="2" t="str">
        <f t="shared" si="82"/>
        <v>Error?</v>
      </c>
    </row>
    <row r="5328" spans="1:5" x14ac:dyDescent="0.2">
      <c r="A5328" s="5">
        <v>5267</v>
      </c>
      <c r="B5328" s="138">
        <f>'Revenues 9-14'!D5</f>
        <v>622454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622454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84761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84761</v>
      </c>
      <c r="C5339" s="2" t="s">
        <v>573</v>
      </c>
      <c r="D5339" s="2" t="str">
        <f t="shared" si="82"/>
        <v>Error?</v>
      </c>
    </row>
    <row r="5340" spans="1:4" x14ac:dyDescent="0.2">
      <c r="A5340" s="5">
        <v>5279</v>
      </c>
      <c r="B5340" s="138">
        <f>'Revenues 9-14'!D65</f>
        <v>468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23318</v>
      </c>
      <c r="D5354" s="2" t="str">
        <f t="shared" si="82"/>
        <v>Error?</v>
      </c>
    </row>
    <row r="5355" spans="1:4" x14ac:dyDescent="0.2">
      <c r="A5355" s="5">
        <v>5294</v>
      </c>
      <c r="B5355" s="138">
        <f>'Revenues 9-14'!D108</f>
        <v>23318</v>
      </c>
      <c r="C5355" s="2" t="s">
        <v>573</v>
      </c>
      <c r="D5355" s="2" t="str">
        <f t="shared" si="82"/>
        <v>Error?</v>
      </c>
    </row>
    <row r="5356" spans="1:4" x14ac:dyDescent="0.2">
      <c r="A5356" s="5">
        <v>5295</v>
      </c>
      <c r="B5356" s="138">
        <f>'Revenues 9-14'!D109</f>
        <v>731001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577630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577630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577630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1308631</v>
      </c>
      <c r="C5508" s="2" t="s">
        <v>573</v>
      </c>
      <c r="D5508" s="2" t="str">
        <f t="shared" si="85"/>
        <v>Error?</v>
      </c>
    </row>
    <row r="5509" spans="1:4" x14ac:dyDescent="0.2">
      <c r="A5509" s="5">
        <v>5448</v>
      </c>
      <c r="B5509" s="138">
        <f>'Revenues 9-14'!E5</f>
        <v>944451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944451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714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945165</v>
      </c>
      <c r="C5527" s="2" t="s">
        <v>573</v>
      </c>
      <c r="D5527" s="2" t="str">
        <f t="shared" si="85"/>
        <v>Error?</v>
      </c>
    </row>
    <row r="5528" spans="1:4" x14ac:dyDescent="0.2">
      <c r="A5528" s="5">
        <v>5467</v>
      </c>
      <c r="B5528" s="138">
        <f>'Revenues 9-14'!E117</f>
        <v>151387</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151387</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151387</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1096552</v>
      </c>
      <c r="C5552" s="2" t="s">
        <v>573</v>
      </c>
      <c r="D5552" s="2" t="str">
        <f t="shared" si="85"/>
        <v>Error?</v>
      </c>
    </row>
    <row r="5553" spans="1:4" x14ac:dyDescent="0.2">
      <c r="A5553" s="5">
        <v>5492</v>
      </c>
      <c r="B5553" s="138">
        <f>'Revenues 9-14'!F5</f>
        <v>267139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267139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238</v>
      </c>
      <c r="D5586" s="2" t="str">
        <f t="shared" si="86"/>
        <v>Error?</v>
      </c>
    </row>
    <row r="5587" spans="1:4" x14ac:dyDescent="0.2">
      <c r="A5587" s="5">
        <v>5526</v>
      </c>
      <c r="B5587" s="138">
        <f>'Revenues 9-14'!F108</f>
        <v>238</v>
      </c>
      <c r="C5587" s="2" t="s">
        <v>573</v>
      </c>
      <c r="D5587" s="2" t="str">
        <f t="shared" si="86"/>
        <v>Error?</v>
      </c>
    </row>
    <row r="5588" spans="1:4" x14ac:dyDescent="0.2">
      <c r="A5588" s="5">
        <v>5527</v>
      </c>
      <c r="B5588" s="138">
        <f>'Revenues 9-14'!F109</f>
        <v>267577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158709</v>
      </c>
      <c r="D5615" s="2" t="str">
        <f t="shared" si="86"/>
        <v>Error?</v>
      </c>
    </row>
    <row r="5616" spans="1:4" x14ac:dyDescent="0.2">
      <c r="A5616" s="10">
        <v>5555</v>
      </c>
      <c r="D5616" s="2" t="str">
        <f t="shared" si="86"/>
        <v>OK</v>
      </c>
    </row>
    <row r="5617" spans="1:5" x14ac:dyDescent="0.2">
      <c r="A5617" s="5">
        <v>5556</v>
      </c>
      <c r="B5617" s="138">
        <f>'Revenues 9-14'!F153</f>
        <v>155231</v>
      </c>
      <c r="D5617" s="2" t="str">
        <f t="shared" si="86"/>
        <v>Error?</v>
      </c>
    </row>
    <row r="5618" spans="1:5" x14ac:dyDescent="0.2">
      <c r="A5618" s="5">
        <v>5557</v>
      </c>
      <c r="B5618" s="138">
        <f>'Revenues 9-14'!F155</f>
        <v>313940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313940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613940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881517</v>
      </c>
      <c r="C5720" s="2" t="s">
        <v>573</v>
      </c>
      <c r="D5720" s="2" t="str">
        <f t="shared" si="88"/>
        <v>Error?</v>
      </c>
    </row>
    <row r="5721" spans="1:4" x14ac:dyDescent="0.2">
      <c r="A5721" s="5">
        <v>5660</v>
      </c>
      <c r="B5721" s="138">
        <f>'Revenues 9-14'!G5</f>
        <v>267139</v>
      </c>
      <c r="D5721" s="2" t="str">
        <f t="shared" si="88"/>
        <v>Error?</v>
      </c>
    </row>
    <row r="5722" spans="1:4" x14ac:dyDescent="0.2">
      <c r="A5722" s="5">
        <v>5661</v>
      </c>
      <c r="B5722" s="138">
        <f>'Revenues 9-14'!G7</f>
        <v>0</v>
      </c>
      <c r="D5722" s="2" t="str">
        <f t="shared" si="88"/>
        <v>Error?</v>
      </c>
    </row>
    <row r="5723" spans="1:4" x14ac:dyDescent="0.2">
      <c r="A5723" s="5">
        <v>5662</v>
      </c>
      <c r="B5723" s="138">
        <f>'Revenues 9-14'!G8</f>
        <v>267139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534278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401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534679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208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208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534679</v>
      </c>
      <c r="C6024" s="2" t="s">
        <v>573</v>
      </c>
      <c r="D6024" s="2" t="str">
        <f t="shared" si="93"/>
        <v>Error?</v>
      </c>
    </row>
    <row r="6025" spans="1:5" x14ac:dyDescent="0.2">
      <c r="A6025" s="5">
        <v>5964</v>
      </c>
      <c r="B6025" s="138">
        <f>'Revenues 9-14'!H109</f>
        <v>208</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14515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46159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1094.9000000000001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2050920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1204417</v>
      </c>
      <c r="D6267" s="2" t="str">
        <f t="shared" si="96"/>
        <v>Error?</v>
      </c>
      <c r="E6267" s="2" t="s">
        <v>190</v>
      </c>
    </row>
    <row r="6268" spans="1:5" x14ac:dyDescent="0.2">
      <c r="A6268">
        <v>6207</v>
      </c>
      <c r="B6268" s="138">
        <f>'Acct Summary 7-8'!D82</f>
        <v>290585</v>
      </c>
      <c r="D6268" s="2" t="str">
        <f t="shared" si="96"/>
        <v>Error?</v>
      </c>
      <c r="E6268" s="2" t="s">
        <v>190</v>
      </c>
    </row>
    <row r="6269" spans="1:5" x14ac:dyDescent="0.2">
      <c r="A6269">
        <v>6208</v>
      </c>
      <c r="B6269" s="138">
        <f>'Acct Summary 7-8'!E82</f>
        <v>-4686</v>
      </c>
      <c r="D6269" s="2" t="str">
        <f t="shared" si="96"/>
        <v>Error?</v>
      </c>
      <c r="E6269" s="2" t="s">
        <v>190</v>
      </c>
    </row>
    <row r="6270" spans="1:5" x14ac:dyDescent="0.2">
      <c r="A6270">
        <v>6209</v>
      </c>
      <c r="B6270" s="138">
        <f>'Acct Summary 7-8'!F82</f>
        <v>247118</v>
      </c>
      <c r="D6270" s="2" t="str">
        <f t="shared" si="96"/>
        <v>Error?</v>
      </c>
      <c r="E6270" s="2" t="s">
        <v>190</v>
      </c>
    </row>
    <row r="6271" spans="1:5" x14ac:dyDescent="0.2">
      <c r="A6271">
        <v>6210</v>
      </c>
      <c r="B6271" s="138">
        <f>'Acct Summary 7-8'!G82</f>
        <v>131873</v>
      </c>
      <c r="D6271" s="2" t="str">
        <f t="shared" ref="D6271:D6334" si="97">IF(ISBLANK(B6271),"OK",IF(A6271-B6271=0,"OK","Error?"))</f>
        <v>Error?</v>
      </c>
      <c r="E6271" s="2" t="s">
        <v>190</v>
      </c>
    </row>
    <row r="6272" spans="1:5" x14ac:dyDescent="0.2">
      <c r="A6272">
        <v>6211</v>
      </c>
      <c r="B6272" s="138">
        <f>'Acct Summary 7-8'!H82</f>
        <v>208</v>
      </c>
      <c r="D6272" s="2" t="str">
        <f t="shared" si="97"/>
        <v>Error?</v>
      </c>
      <c r="E6272" s="2" t="s">
        <v>190</v>
      </c>
    </row>
    <row r="6273" spans="1:5" x14ac:dyDescent="0.2">
      <c r="A6273">
        <v>6212</v>
      </c>
      <c r="B6273" s="138">
        <f>'Acct Summary 7-8'!I82</f>
        <v>-600000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0.13642160885971313</v>
      </c>
      <c r="D6276" s="2" t="str">
        <f t="shared" si="97"/>
        <v>Error?</v>
      </c>
      <c r="E6276" s="2" t="s">
        <v>190</v>
      </c>
    </row>
    <row r="6277" spans="1:5" x14ac:dyDescent="0.2">
      <c r="A6277">
        <v>6216</v>
      </c>
      <c r="B6277" s="138">
        <f>'Acct Summary 7-8'!D83</f>
        <v>0.23477347552970168</v>
      </c>
      <c r="D6277" s="2" t="str">
        <f t="shared" si="97"/>
        <v>Error?</v>
      </c>
      <c r="E6277" s="2" t="s">
        <v>190</v>
      </c>
    </row>
    <row r="6278" spans="1:5" x14ac:dyDescent="0.2">
      <c r="A6278">
        <v>6217</v>
      </c>
      <c r="B6278" s="138">
        <f>'Acct Summary 7-8'!E83</f>
        <v>-6.150704062667353E-3</v>
      </c>
      <c r="D6278" s="2" t="str">
        <f t="shared" si="97"/>
        <v>Error?</v>
      </c>
      <c r="E6278" s="2" t="s">
        <v>190</v>
      </c>
    </row>
    <row r="6279" spans="1:5" x14ac:dyDescent="0.2">
      <c r="A6279">
        <v>6218</v>
      </c>
      <c r="B6279" s="138">
        <f>'Acct Summary 7-8'!F83</f>
        <v>0.25751141835627772</v>
      </c>
      <c r="D6279" s="2" t="str">
        <f t="shared" si="97"/>
        <v>Error?</v>
      </c>
      <c r="E6279" s="2" t="s">
        <v>190</v>
      </c>
    </row>
    <row r="6280" spans="1:5" x14ac:dyDescent="0.2">
      <c r="A6280">
        <v>6219</v>
      </c>
      <c r="B6280" s="138">
        <f>'Acct Summary 7-8'!G83</f>
        <v>0.33733753194363086</v>
      </c>
      <c r="D6280" s="2" t="str">
        <f t="shared" si="97"/>
        <v>Error?</v>
      </c>
      <c r="E6280" s="2" t="s">
        <v>190</v>
      </c>
    </row>
    <row r="6281" spans="1:5" x14ac:dyDescent="0.2">
      <c r="A6281">
        <v>6220</v>
      </c>
      <c r="B6281" s="138">
        <f>'Acct Summary 7-8'!H83</f>
        <v>2.2993588326332082E-2</v>
      </c>
      <c r="D6281" s="2" t="str">
        <f t="shared" si="97"/>
        <v>Error?</v>
      </c>
      <c r="E6281" s="2" t="s">
        <v>190</v>
      </c>
    </row>
    <row r="6282" spans="1:5" x14ac:dyDescent="0.2">
      <c r="A6282">
        <v>6221</v>
      </c>
      <c r="B6282" s="138">
        <f>'Acct Summary 7-8'!I83</f>
        <v>-0.25706577413429887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14737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219546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266562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63242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11562</v>
      </c>
      <c r="D7073" s="2" t="str">
        <f t="shared" si="109"/>
        <v>Error?</v>
      </c>
    </row>
    <row r="7074" spans="1:4" x14ac:dyDescent="0.2">
      <c r="A7074">
        <v>7013</v>
      </c>
      <c r="B7074" s="138">
        <f>'Expenditures 15-22'!K216</f>
        <v>11562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856</v>
      </c>
      <c r="D7079" s="2" t="str">
        <f t="shared" si="109"/>
        <v>Error?</v>
      </c>
    </row>
    <row r="7080" spans="1:4" x14ac:dyDescent="0.2">
      <c r="A7080">
        <v>7019</v>
      </c>
      <c r="B7080" s="138">
        <f>'Expenditures 15-22'!K226</f>
        <v>856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12908</v>
      </c>
      <c r="D7246" s="2" t="str">
        <f t="shared" si="112"/>
        <v>Error?</v>
      </c>
    </row>
    <row r="7247" spans="1:4" x14ac:dyDescent="0.2">
      <c r="A7247">
        <f t="shared" si="113"/>
        <v>7186</v>
      </c>
      <c r="B7247" s="138">
        <f>'Expenditures 15-22'!E7</f>
        <v>4340</v>
      </c>
      <c r="D7247" s="2" t="str">
        <f t="shared" si="112"/>
        <v>Error?</v>
      </c>
    </row>
    <row r="7248" spans="1:4" x14ac:dyDescent="0.2">
      <c r="A7248">
        <f t="shared" si="113"/>
        <v>7187</v>
      </c>
      <c r="B7248" s="138">
        <f>'Expenditures 15-22'!F7</f>
        <v>26292</v>
      </c>
      <c r="D7248" s="2" t="str">
        <f t="shared" si="112"/>
        <v>Error?</v>
      </c>
    </row>
    <row r="7249" spans="1:4" x14ac:dyDescent="0.2">
      <c r="A7249">
        <f t="shared" si="113"/>
        <v>7188</v>
      </c>
      <c r="B7249" s="138">
        <f>'Expenditures 15-22'!G7</f>
        <v>3476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59027</v>
      </c>
      <c r="D7263" s="2" t="str">
        <f t="shared" si="112"/>
        <v>Error?</v>
      </c>
    </row>
    <row r="7264" spans="1:4" x14ac:dyDescent="0.2">
      <c r="A7264">
        <f t="shared" si="113"/>
        <v>7203</v>
      </c>
      <c r="B7264" s="138">
        <f>'Expenditures 15-22'!D17</f>
        <v>906</v>
      </c>
      <c r="D7264" s="2" t="str">
        <f t="shared" si="112"/>
        <v>Error?</v>
      </c>
    </row>
    <row r="7265" spans="1:5" x14ac:dyDescent="0.2">
      <c r="A7265">
        <f t="shared" si="113"/>
        <v>7204</v>
      </c>
      <c r="B7265" s="138">
        <f>'Expenditures 15-22'!E17</f>
        <v>1886</v>
      </c>
      <c r="D7265" s="2" t="str">
        <f t="shared" si="112"/>
        <v>Error?</v>
      </c>
    </row>
    <row r="7266" spans="1:5" x14ac:dyDescent="0.2">
      <c r="A7266">
        <f t="shared" si="113"/>
        <v>7205</v>
      </c>
      <c r="B7266" s="138">
        <f>'Expenditures 15-22'!F17</f>
        <v>1423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643048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14737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17344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32081</v>
      </c>
      <c r="D7719" s="2" t="str">
        <f t="shared" si="126"/>
        <v>Error?</v>
      </c>
      <c r="E7719" s="2" t="s">
        <v>827</v>
      </c>
    </row>
    <row r="7720" spans="1:6" x14ac:dyDescent="0.2">
      <c r="A7720">
        <v>7659</v>
      </c>
      <c r="B7720" s="138">
        <f>'Rest Tax Levies-Tort Im 25'!H14</f>
        <v>72136</v>
      </c>
      <c r="D7720" s="2" t="str">
        <f t="shared" si="126"/>
        <v>Error?</v>
      </c>
      <c r="E7720" s="2" t="s">
        <v>827</v>
      </c>
    </row>
    <row r="7721" spans="1:6" x14ac:dyDescent="0.2">
      <c r="A7721">
        <v>7660</v>
      </c>
      <c r="B7721" s="138">
        <f>'Rest Tax Levies-Tort Im 25'!K14</f>
        <v>32081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600000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AC59"/>
  <sheetViews>
    <sheetView showGridLines="0" showZeros="0" zoomScale="110" zoomScaleNormal="110" workbookViewId="0">
      <selection sqref="A1:L5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1984</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Riverton CUSD 14</v>
      </c>
      <c r="B7" s="2401"/>
      <c r="C7" s="2401"/>
      <c r="D7" s="2402"/>
      <c r="E7" s="2403">
        <f>COVER!A13</f>
        <v>51084014026</v>
      </c>
      <c r="F7" s="2404"/>
      <c r="G7" s="2410" t="str">
        <f>COVER!T23</f>
        <v>066-004886</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LOY MILLER TALLEY, PC</v>
      </c>
      <c r="H9" s="2416"/>
      <c r="I9" s="2416"/>
      <c r="J9" s="2416"/>
      <c r="K9" s="2416"/>
      <c r="L9" s="2417"/>
    </row>
    <row r="10" spans="1:29" ht="13.5" customHeight="1" x14ac:dyDescent="0.2">
      <c r="A10" s="2390" t="str">
        <f>COVER!A38</f>
        <v>BRAD POLANIN</v>
      </c>
      <c r="B10" s="2391"/>
      <c r="C10" s="2391"/>
      <c r="D10" s="2391"/>
      <c r="E10" s="2391"/>
      <c r="F10" s="2392"/>
      <c r="G10" s="2384" t="str">
        <f>COVER!T17</f>
        <v>#2 CROSSROADS COURT</v>
      </c>
      <c r="H10" s="2385"/>
      <c r="I10" s="2385"/>
      <c r="J10" s="2385"/>
      <c r="K10" s="2385"/>
      <c r="L10" s="2386"/>
    </row>
    <row r="11" spans="1:29" ht="13.5" customHeight="1" x14ac:dyDescent="0.2">
      <c r="A11" s="1184" t="s">
        <v>1519</v>
      </c>
      <c r="B11" s="1185"/>
      <c r="C11" s="1186"/>
      <c r="D11" s="1191"/>
      <c r="E11" s="1186"/>
      <c r="F11" s="1190"/>
      <c r="G11" s="2384" t="str">
        <f>COVER!T19</f>
        <v>ALTON</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KEN@LMTCPAS.COM</v>
      </c>
      <c r="J13" s="2397"/>
      <c r="K13" s="2397"/>
      <c r="L13" s="2398"/>
    </row>
    <row r="14" spans="1:29" ht="13.5" customHeight="1" x14ac:dyDescent="0.2">
      <c r="A14" s="2384" t="str">
        <f>COVER!A19</f>
        <v>6425 OLD ROUTE 36</v>
      </c>
      <c r="B14" s="2385"/>
      <c r="C14" s="2385"/>
      <c r="D14" s="2385"/>
      <c r="E14" s="2385"/>
      <c r="F14" s="2386"/>
      <c r="G14" s="1195" t="s">
        <v>1185</v>
      </c>
      <c r="H14" s="1193"/>
      <c r="I14" s="1193"/>
      <c r="J14" s="1193"/>
      <c r="K14" s="1193"/>
      <c r="L14" s="1194"/>
    </row>
    <row r="15" spans="1:29" ht="13.5" customHeight="1" x14ac:dyDescent="0.2">
      <c r="A15" s="2384" t="str">
        <f>COVER!A21</f>
        <v xml:space="preserve">RIVERTON   </v>
      </c>
      <c r="B15" s="2385"/>
      <c r="C15" s="2385"/>
      <c r="D15" s="2385"/>
      <c r="E15" s="2385"/>
      <c r="F15" s="2386"/>
      <c r="G15" s="2381" t="str">
        <f>COVER!T15</f>
        <v>KENNETH E. LOY</v>
      </c>
      <c r="H15" s="2382"/>
      <c r="I15" s="2382"/>
      <c r="J15" s="2382"/>
      <c r="K15" s="2382"/>
      <c r="L15" s="2383"/>
    </row>
    <row r="16" spans="1:29" ht="12.2" customHeight="1" x14ac:dyDescent="0.2">
      <c r="A16" s="2406">
        <f>COVER!A25</f>
        <v>62561</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618-465-1196</v>
      </c>
      <c r="H18" s="2401"/>
      <c r="I18" s="2401"/>
      <c r="J18" s="2401"/>
      <c r="K18" s="2400" t="str">
        <f>COVER!X21</f>
        <v>618-465-2900</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2061</v>
      </c>
      <c r="C26" s="1202" t="s">
        <v>1699</v>
      </c>
    </row>
    <row r="27" spans="1:13" s="1198" customFormat="1" ht="9" customHeight="1" x14ac:dyDescent="0.2">
      <c r="B27" s="1203"/>
      <c r="C27" s="1202"/>
    </row>
    <row r="28" spans="1:13" s="1198" customFormat="1" ht="12.2" customHeight="1" x14ac:dyDescent="0.2">
      <c r="A28" s="1205"/>
      <c r="B28" s="1201" t="s">
        <v>2061</v>
      </c>
      <c r="C28" s="1202" t="s">
        <v>1700</v>
      </c>
    </row>
    <row r="29" spans="1:13" s="1198" customFormat="1" ht="9" customHeight="1" x14ac:dyDescent="0.2">
      <c r="A29" s="1205"/>
      <c r="B29" s="1203"/>
      <c r="C29" s="1202"/>
    </row>
    <row r="30" spans="1:13" s="1198" customFormat="1" ht="12.2" customHeight="1" x14ac:dyDescent="0.2">
      <c r="B30" s="1201" t="s">
        <v>2061</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2061</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2061</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2061</v>
      </c>
      <c r="C38" s="1202" t="s">
        <v>1566</v>
      </c>
    </row>
    <row r="39" spans="1:8" ht="9" customHeight="1" x14ac:dyDescent="0.2">
      <c r="B39" s="1203"/>
      <c r="C39" s="1206"/>
    </row>
    <row r="40" spans="1:8" s="1198" customFormat="1" ht="13.5" customHeight="1" x14ac:dyDescent="0.2">
      <c r="B40" s="1201" t="s">
        <v>2061</v>
      </c>
      <c r="C40" s="1202" t="s">
        <v>1567</v>
      </c>
    </row>
    <row r="41" spans="1:8" ht="9" customHeight="1" x14ac:dyDescent="0.2">
      <c r="A41" s="1207"/>
      <c r="B41" s="1203"/>
      <c r="C41" s="1206"/>
    </row>
    <row r="42" spans="1:8" s="1198" customFormat="1" ht="13.5" customHeight="1" x14ac:dyDescent="0.2">
      <c r="B42" s="1201" t="s">
        <v>2061</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2061</v>
      </c>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C114" sqref="C114:D11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Riverton CUSD 14</v>
      </c>
      <c r="B1" s="2399"/>
      <c r="C1" s="2399"/>
      <c r="D1" s="2399"/>
    </row>
    <row r="2" spans="1:11" s="1212" customFormat="1" ht="12.75" x14ac:dyDescent="0.2">
      <c r="A2" s="2423">
        <f>'Single Audit Cover'!E7</f>
        <v>51084014026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Riverton CUSD 14</v>
      </c>
      <c r="B1" s="2426"/>
      <c r="C1" s="2426"/>
      <c r="D1" s="2426"/>
      <c r="E1" s="2426"/>
    </row>
    <row r="2" spans="1:5" x14ac:dyDescent="0.2">
      <c r="A2" s="2427">
        <f>'Single Audit Cover'!E7</f>
        <v>51084014026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1626351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46159</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-174398</v>
      </c>
    </row>
    <row r="19" spans="1:4" ht="13.5" thickBot="1" x14ac:dyDescent="0.25">
      <c r="A19" s="1262" t="s">
        <v>1235</v>
      </c>
      <c r="D19" s="1263">
        <f>SUM(D10:D17)</f>
        <v>1498112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1498112</v>
      </c>
    </row>
    <row r="33" spans="1:4" x14ac:dyDescent="0.2">
      <c r="D33" s="1266"/>
    </row>
    <row r="34" spans="1:4" x14ac:dyDescent="0.2">
      <c r="A34" s="317" t="s">
        <v>1232</v>
      </c>
    </row>
    <row r="35" spans="1:4" x14ac:dyDescent="0.2">
      <c r="A35" s="317" t="s">
        <v>1231</v>
      </c>
      <c r="B35" s="1255" t="s">
        <v>1230</v>
      </c>
      <c r="D35" s="1267">
        <f>+' SEFA (5)'!F27</f>
        <v>1498112</v>
      </c>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1498112</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K32" sqref="K3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Riverton CUSD 14</v>
      </c>
      <c r="C1" s="2430"/>
      <c r="D1" s="2430"/>
      <c r="E1" s="2430"/>
      <c r="F1" s="2430"/>
      <c r="G1" s="2430"/>
      <c r="H1" s="2430"/>
      <c r="I1" s="2430"/>
      <c r="J1" s="2430"/>
      <c r="K1" s="2430"/>
      <c r="L1" s="2430"/>
      <c r="M1" s="2430"/>
    </row>
    <row r="2" spans="2:14" ht="15" x14ac:dyDescent="0.2">
      <c r="B2" s="2431">
        <f>'Single Audit Cover'!E7</f>
        <v>51084014026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2092</v>
      </c>
      <c r="C11" s="1335"/>
      <c r="D11" s="1336"/>
      <c r="E11" s="1337"/>
      <c r="F11" s="1337"/>
      <c r="G11" s="1337"/>
      <c r="H11" s="1337"/>
      <c r="I11" s="1337"/>
      <c r="J11" s="1337"/>
      <c r="K11" s="1337"/>
      <c r="L11" s="1337">
        <f>+G11+I11+K11</f>
        <v>0</v>
      </c>
      <c r="M11" s="1337"/>
    </row>
    <row r="12" spans="2:14" ht="20.100000000000001" customHeight="1" x14ac:dyDescent="0.2">
      <c r="B12" s="1334" t="s">
        <v>2093</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2079</v>
      </c>
      <c r="C14" s="1338"/>
      <c r="D14" s="1339"/>
      <c r="E14" s="1340"/>
      <c r="F14" s="1340"/>
      <c r="G14" s="1340"/>
      <c r="H14" s="1340"/>
      <c r="I14" s="1340"/>
      <c r="J14" s="1340"/>
      <c r="K14" s="1340"/>
      <c r="L14" s="1337">
        <f t="shared" si="0"/>
        <v>0</v>
      </c>
      <c r="M14" s="1340"/>
    </row>
    <row r="15" spans="2:14" ht="20.100000000000001" customHeight="1" x14ac:dyDescent="0.2">
      <c r="B15" s="1334" t="s">
        <v>2094</v>
      </c>
      <c r="C15" s="1338">
        <v>10.555</v>
      </c>
      <c r="D15" s="1339" t="s">
        <v>2080</v>
      </c>
      <c r="E15" s="1340"/>
      <c r="F15" s="1340">
        <v>393564</v>
      </c>
      <c r="G15" s="1340"/>
      <c r="H15" s="1340"/>
      <c r="I15" s="1340">
        <v>393564</v>
      </c>
      <c r="J15" s="1340"/>
      <c r="K15" s="1340"/>
      <c r="L15" s="1337">
        <f t="shared" si="0"/>
        <v>393564</v>
      </c>
      <c r="M15" s="1340" t="s">
        <v>2095</v>
      </c>
    </row>
    <row r="16" spans="2:14" ht="20.100000000000001" customHeight="1" x14ac:dyDescent="0.2">
      <c r="B16" s="1334" t="s">
        <v>2081</v>
      </c>
      <c r="C16" s="1338">
        <v>10.555</v>
      </c>
      <c r="D16" s="1339" t="s">
        <v>2082</v>
      </c>
      <c r="E16" s="1340">
        <v>353412</v>
      </c>
      <c r="F16" s="1340">
        <v>145276</v>
      </c>
      <c r="G16" s="1340">
        <v>399150</v>
      </c>
      <c r="H16" s="1340"/>
      <c r="I16" s="1340">
        <v>145276</v>
      </c>
      <c r="J16" s="1340"/>
      <c r="K16" s="1340"/>
      <c r="L16" s="1337">
        <f t="shared" si="0"/>
        <v>544426</v>
      </c>
      <c r="M16" s="1340" t="s">
        <v>2095</v>
      </c>
    </row>
    <row r="17" spans="2:14" ht="20.100000000000001" customHeight="1" x14ac:dyDescent="0.2">
      <c r="B17" s="1334" t="s">
        <v>2083</v>
      </c>
      <c r="C17" s="1338">
        <v>10.553000000000001</v>
      </c>
      <c r="D17" s="1339" t="s">
        <v>2084</v>
      </c>
      <c r="E17" s="1340"/>
      <c r="F17" s="1340">
        <v>184428</v>
      </c>
      <c r="G17" s="1340"/>
      <c r="H17" s="1340"/>
      <c r="I17" s="1340">
        <v>184428</v>
      </c>
      <c r="J17" s="1340"/>
      <c r="K17" s="1340"/>
      <c r="L17" s="1337">
        <f t="shared" si="0"/>
        <v>184428</v>
      </c>
      <c r="M17" s="1340" t="s">
        <v>2095</v>
      </c>
    </row>
    <row r="18" spans="2:14" ht="20.100000000000001" customHeight="1" x14ac:dyDescent="0.2">
      <c r="B18" s="1334" t="s">
        <v>2085</v>
      </c>
      <c r="C18" s="1338">
        <v>10.553000000000001</v>
      </c>
      <c r="D18" s="1339" t="s">
        <v>2086</v>
      </c>
      <c r="E18" s="1340">
        <v>158015</v>
      </c>
      <c r="F18" s="1340">
        <v>69614</v>
      </c>
      <c r="G18" s="1340">
        <v>181022</v>
      </c>
      <c r="H18" s="1340"/>
      <c r="I18" s="1340">
        <v>69614</v>
      </c>
      <c r="J18" s="1340"/>
      <c r="K18" s="1340"/>
      <c r="L18" s="1337">
        <f t="shared" si="0"/>
        <v>250636</v>
      </c>
      <c r="M18" s="1340" t="s">
        <v>2095</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2087</v>
      </c>
      <c r="C20" s="1338"/>
      <c r="D20" s="1339"/>
      <c r="E20" s="1340">
        <f>SUM(E14:E19)</f>
        <v>511427</v>
      </c>
      <c r="F20" s="1340">
        <f t="shared" ref="F20:K20" si="1">SUM(F14:F19)</f>
        <v>792882</v>
      </c>
      <c r="G20" s="1340">
        <f t="shared" si="1"/>
        <v>580172</v>
      </c>
      <c r="H20" s="1340">
        <f t="shared" si="1"/>
        <v>0</v>
      </c>
      <c r="I20" s="1340">
        <f t="shared" si="1"/>
        <v>792882</v>
      </c>
      <c r="J20" s="1340">
        <f t="shared" si="1"/>
        <v>0</v>
      </c>
      <c r="K20" s="1340">
        <f t="shared" si="1"/>
        <v>0</v>
      </c>
      <c r="L20" s="1337">
        <f t="shared" si="0"/>
        <v>1373054</v>
      </c>
      <c r="M20" s="1340">
        <f>SUM(M14:M19)</f>
        <v>0</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2088</v>
      </c>
      <c r="C22" s="1338">
        <v>10.565</v>
      </c>
      <c r="D22" s="1339" t="s">
        <v>2089</v>
      </c>
      <c r="E22" s="1340"/>
      <c r="F22" s="1340">
        <v>26159</v>
      </c>
      <c r="G22" s="1340"/>
      <c r="H22" s="1340"/>
      <c r="I22" s="1340">
        <v>26159</v>
      </c>
      <c r="J22" s="1340"/>
      <c r="K22" s="1340"/>
      <c r="L22" s="1337">
        <f t="shared" si="0"/>
        <v>26159</v>
      </c>
      <c r="M22" s="1340" t="s">
        <v>2095</v>
      </c>
    </row>
    <row r="23" spans="2:14" ht="20.100000000000001" customHeight="1" x14ac:dyDescent="0.2">
      <c r="B23" s="1334" t="s">
        <v>2090</v>
      </c>
      <c r="C23" s="1338">
        <v>10.582000000000001</v>
      </c>
      <c r="D23" s="1339" t="s">
        <v>2089</v>
      </c>
      <c r="E23" s="1340"/>
      <c r="F23" s="1340">
        <v>20000</v>
      </c>
      <c r="G23" s="1340"/>
      <c r="H23" s="1340"/>
      <c r="I23" s="1340">
        <v>20000</v>
      </c>
      <c r="J23" s="1340"/>
      <c r="K23" s="1340"/>
      <c r="L23" s="1337">
        <f t="shared" si="0"/>
        <v>20000</v>
      </c>
      <c r="M23" s="1340" t="s">
        <v>2095</v>
      </c>
    </row>
    <row r="24" spans="2:14" ht="20.100000000000001" customHeight="1" x14ac:dyDescent="0.2">
      <c r="B24" s="1334" t="s">
        <v>2128</v>
      </c>
      <c r="C24" s="1338">
        <v>10.579000000000001</v>
      </c>
      <c r="D24" s="1339" t="s">
        <v>2129</v>
      </c>
      <c r="E24" s="1340"/>
      <c r="F24" s="1340">
        <v>12847</v>
      </c>
      <c r="G24" s="1340"/>
      <c r="H24" s="1340"/>
      <c r="I24" s="1340">
        <v>12847</v>
      </c>
      <c r="J24" s="1340"/>
      <c r="K24" s="1340"/>
      <c r="L24" s="1337">
        <f t="shared" si="0"/>
        <v>12847</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2091</v>
      </c>
      <c r="C27" s="1338"/>
      <c r="D27" s="1339"/>
      <c r="E27" s="1340">
        <f>SUM(E20:E26)</f>
        <v>511427</v>
      </c>
      <c r="F27" s="1340">
        <f t="shared" ref="F27:K27" si="2">SUM(F20:F26)</f>
        <v>851888</v>
      </c>
      <c r="G27" s="1340">
        <f t="shared" si="2"/>
        <v>580172</v>
      </c>
      <c r="H27" s="1340">
        <f t="shared" si="2"/>
        <v>0</v>
      </c>
      <c r="I27" s="1340">
        <f t="shared" si="2"/>
        <v>851888</v>
      </c>
      <c r="J27" s="1340">
        <f t="shared" si="2"/>
        <v>0</v>
      </c>
      <c r="K27" s="1340">
        <f t="shared" si="2"/>
        <v>0</v>
      </c>
      <c r="L27" s="1337">
        <f t="shared" si="0"/>
        <v>1432060</v>
      </c>
      <c r="M27" s="1340">
        <f>SUM(M20:M26)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59E0-41EE-437E-A042-3C84CBF13394}">
  <sheetPr>
    <pageSetUpPr fitToPage="1"/>
  </sheetPr>
  <dimension ref="B1:N152"/>
  <sheetViews>
    <sheetView showGridLines="0"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Riverton CUSD 14</v>
      </c>
      <c r="C1" s="2430"/>
      <c r="D1" s="2430"/>
      <c r="E1" s="2430"/>
      <c r="F1" s="2430"/>
      <c r="G1" s="2430"/>
      <c r="H1" s="2430"/>
      <c r="I1" s="2430"/>
      <c r="J1" s="2430"/>
      <c r="K1" s="2430"/>
      <c r="L1" s="2430"/>
      <c r="M1" s="2430"/>
    </row>
    <row r="2" spans="2:14" ht="15" x14ac:dyDescent="0.2">
      <c r="B2" s="2431">
        <f>'Single Audit Cover'!E7</f>
        <v>51084014026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2096</v>
      </c>
      <c r="C11" s="1335"/>
      <c r="D11" s="1336"/>
      <c r="E11" s="1337"/>
      <c r="F11" s="1337"/>
      <c r="G11" s="1337"/>
      <c r="H11" s="1337"/>
      <c r="I11" s="1337"/>
      <c r="J11" s="1337"/>
      <c r="K11" s="1337"/>
      <c r="L11" s="1337">
        <f>+G11+I11+K11</f>
        <v>0</v>
      </c>
      <c r="M11" s="1337"/>
    </row>
    <row r="12" spans="2:14" ht="20.100000000000001" customHeight="1" x14ac:dyDescent="0.2">
      <c r="B12" s="1334" t="s">
        <v>2097</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2098</v>
      </c>
      <c r="C14" s="1338">
        <v>84.01</v>
      </c>
      <c r="D14" s="1339" t="s">
        <v>2099</v>
      </c>
      <c r="E14" s="1340"/>
      <c r="F14" s="1340">
        <v>244557</v>
      </c>
      <c r="G14" s="1340"/>
      <c r="H14" s="1340"/>
      <c r="I14" s="1340">
        <v>335457</v>
      </c>
      <c r="J14" s="1340"/>
      <c r="K14" s="1340">
        <v>17781</v>
      </c>
      <c r="L14" s="1337">
        <f t="shared" si="0"/>
        <v>353238</v>
      </c>
      <c r="M14" s="1340">
        <v>386867</v>
      </c>
    </row>
    <row r="15" spans="2:14" ht="20.100000000000001" customHeight="1" x14ac:dyDescent="0.2">
      <c r="B15" s="1334" t="s">
        <v>2100</v>
      </c>
      <c r="C15" s="1338">
        <v>84.01</v>
      </c>
      <c r="D15" s="1339" t="s">
        <v>2101</v>
      </c>
      <c r="E15" s="1340">
        <v>197041</v>
      </c>
      <c r="F15" s="1340">
        <v>92660</v>
      </c>
      <c r="G15" s="1340">
        <v>289701</v>
      </c>
      <c r="H15" s="1340"/>
      <c r="I15" s="1340"/>
      <c r="J15" s="1340"/>
      <c r="K15" s="1340"/>
      <c r="L15" s="1337">
        <f t="shared" si="0"/>
        <v>289701</v>
      </c>
      <c r="M15" s="1340">
        <v>314150</v>
      </c>
    </row>
    <row r="16" spans="2:14" ht="20.100000000000001" customHeight="1" x14ac:dyDescent="0.2">
      <c r="B16" s="1334" t="s">
        <v>2102</v>
      </c>
      <c r="C16" s="1338">
        <v>84.376999999999995</v>
      </c>
      <c r="D16" s="1339" t="s">
        <v>2103</v>
      </c>
      <c r="E16" s="1340"/>
      <c r="F16" s="1340">
        <v>60597</v>
      </c>
      <c r="G16" s="1340"/>
      <c r="H16" s="1340"/>
      <c r="I16" s="1340">
        <v>60597</v>
      </c>
      <c r="J16" s="1340"/>
      <c r="K16" s="1340"/>
      <c r="L16" s="1337">
        <f t="shared" si="0"/>
        <v>60597</v>
      </c>
      <c r="M16" s="1340"/>
    </row>
    <row r="17" spans="2:14" ht="20.100000000000001" customHeight="1" x14ac:dyDescent="0.2">
      <c r="B17" s="1334" t="s">
        <v>2104</v>
      </c>
      <c r="C17" s="1338">
        <v>84.367000000000004</v>
      </c>
      <c r="D17" s="1339" t="s">
        <v>2105</v>
      </c>
      <c r="E17" s="1340"/>
      <c r="F17" s="1340">
        <v>40245</v>
      </c>
      <c r="G17" s="1340"/>
      <c r="H17" s="1340"/>
      <c r="I17" s="1340">
        <v>59259</v>
      </c>
      <c r="J17" s="1340"/>
      <c r="K17" s="1340">
        <v>2789</v>
      </c>
      <c r="L17" s="1337">
        <f t="shared" si="0"/>
        <v>62048</v>
      </c>
      <c r="M17" s="1340">
        <v>62048</v>
      </c>
    </row>
    <row r="18" spans="2:14" ht="20.100000000000001" customHeight="1" x14ac:dyDescent="0.2">
      <c r="B18" s="1334" t="s">
        <v>2104</v>
      </c>
      <c r="C18" s="1338">
        <v>84.367000000000004</v>
      </c>
      <c r="D18" s="1339" t="s">
        <v>2106</v>
      </c>
      <c r="E18" s="1340">
        <v>40731</v>
      </c>
      <c r="F18" s="1340">
        <v>15164</v>
      </c>
      <c r="G18" s="1340">
        <v>55511</v>
      </c>
      <c r="H18" s="1340"/>
      <c r="I18" s="1340">
        <v>384</v>
      </c>
      <c r="J18" s="1340"/>
      <c r="K18" s="1340"/>
      <c r="L18" s="1337">
        <f t="shared" si="0"/>
        <v>55895</v>
      </c>
      <c r="M18" s="1340">
        <v>55895</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2107</v>
      </c>
      <c r="C27" s="1338"/>
      <c r="D27" s="1339"/>
      <c r="E27" s="1340">
        <f>SUM(E13:E26)</f>
        <v>237772</v>
      </c>
      <c r="F27" s="1340">
        <f t="shared" ref="F27:K27" si="1">SUM(F13:F26)</f>
        <v>453223</v>
      </c>
      <c r="G27" s="1340">
        <f t="shared" si="1"/>
        <v>345212</v>
      </c>
      <c r="H27" s="1340">
        <f t="shared" si="1"/>
        <v>0</v>
      </c>
      <c r="I27" s="1340">
        <f t="shared" si="1"/>
        <v>455697</v>
      </c>
      <c r="J27" s="1340">
        <f t="shared" si="1"/>
        <v>0</v>
      </c>
      <c r="K27" s="1340">
        <f t="shared" si="1"/>
        <v>20570</v>
      </c>
      <c r="L27" s="1337">
        <f t="shared" si="0"/>
        <v>821479</v>
      </c>
      <c r="M27" s="1340">
        <f>SUM(M13:M26)</f>
        <v>818960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0A02-723E-481B-BD08-412E11517B33}">
  <sheetPr>
    <pageSetUpPr fitToPage="1"/>
  </sheetPr>
  <dimension ref="B1:N152"/>
  <sheetViews>
    <sheetView showGridLines="0"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Riverton CUSD 14</v>
      </c>
      <c r="C1" s="2430"/>
      <c r="D1" s="2430"/>
      <c r="E1" s="2430"/>
      <c r="F1" s="2430"/>
      <c r="G1" s="2430"/>
      <c r="H1" s="2430"/>
      <c r="I1" s="2430"/>
      <c r="J1" s="2430"/>
      <c r="K1" s="2430"/>
      <c r="L1" s="2430"/>
      <c r="M1" s="2430"/>
    </row>
    <row r="2" spans="2:14" ht="15" x14ac:dyDescent="0.2">
      <c r="B2" s="2431">
        <f>'Single Audit Cover'!E7</f>
        <v>51084014026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2108</v>
      </c>
      <c r="C11" s="1335"/>
      <c r="D11" s="1336"/>
      <c r="E11" s="1337"/>
      <c r="F11" s="1337"/>
      <c r="G11" s="1337"/>
      <c r="H11" s="1337"/>
      <c r="I11" s="1337"/>
      <c r="J11" s="1337"/>
      <c r="K11" s="1337"/>
      <c r="L11" s="1337">
        <f>+G11+I11+K11</f>
        <v>0</v>
      </c>
      <c r="M11" s="1337"/>
    </row>
    <row r="12" spans="2:14" ht="20.100000000000001" customHeight="1" x14ac:dyDescent="0.2">
      <c r="B12" s="1334" t="s">
        <v>2109</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2110</v>
      </c>
      <c r="C14" s="1338">
        <v>93.778000000000006</v>
      </c>
      <c r="D14" s="1339" t="s">
        <v>2111</v>
      </c>
      <c r="E14" s="1340"/>
      <c r="F14" s="1340">
        <v>14114</v>
      </c>
      <c r="G14" s="1340"/>
      <c r="H14" s="1340"/>
      <c r="I14" s="1340">
        <v>14114</v>
      </c>
      <c r="J14" s="1340"/>
      <c r="K14" s="1340"/>
      <c r="L14" s="1337">
        <f t="shared" si="0"/>
        <v>14114</v>
      </c>
      <c r="M14" s="1340" t="s">
        <v>2095</v>
      </c>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2112</v>
      </c>
      <c r="C27" s="1338"/>
      <c r="D27" s="1339"/>
      <c r="E27" s="1340">
        <f>SUM(E13:E26)</f>
        <v>0</v>
      </c>
      <c r="F27" s="1340">
        <f t="shared" ref="F27:K27" si="1">SUM(F13:F26)</f>
        <v>14114</v>
      </c>
      <c r="G27" s="1340">
        <f t="shared" si="1"/>
        <v>0</v>
      </c>
      <c r="H27" s="1340">
        <f t="shared" si="1"/>
        <v>0</v>
      </c>
      <c r="I27" s="1340">
        <f t="shared" si="1"/>
        <v>14114</v>
      </c>
      <c r="J27" s="1340">
        <f t="shared" si="1"/>
        <v>0</v>
      </c>
      <c r="K27" s="1340">
        <f t="shared" si="1"/>
        <v>0</v>
      </c>
      <c r="L27" s="1337">
        <f t="shared" si="0"/>
        <v>14114</v>
      </c>
      <c r="M27" s="1340">
        <f>SUM(M13:M26)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C2E5-5957-48DD-85A3-4B26CB6336C6}">
  <sheetPr>
    <pageSetUpPr fitToPage="1"/>
  </sheetPr>
  <dimension ref="B1:N152"/>
  <sheetViews>
    <sheetView showGridLines="0"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Riverton CUSD 14</v>
      </c>
      <c r="C1" s="2430"/>
      <c r="D1" s="2430"/>
      <c r="E1" s="2430"/>
      <c r="F1" s="2430"/>
      <c r="G1" s="2430"/>
      <c r="H1" s="2430"/>
      <c r="I1" s="2430"/>
      <c r="J1" s="2430"/>
      <c r="K1" s="2430"/>
      <c r="L1" s="2430"/>
      <c r="M1" s="2430"/>
    </row>
    <row r="2" spans="2:14" ht="15" x14ac:dyDescent="0.2">
      <c r="B2" s="2431">
        <f>'Single Audit Cover'!E7</f>
        <v>51084014026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2113</v>
      </c>
      <c r="C11" s="1335"/>
      <c r="D11" s="1336"/>
      <c r="E11" s="1337"/>
      <c r="F11" s="1337"/>
      <c r="G11" s="1337"/>
      <c r="H11" s="1337"/>
      <c r="I11" s="1337"/>
      <c r="J11" s="1337"/>
      <c r="K11" s="1337"/>
      <c r="L11" s="1337">
        <f>+G11+I11+K11</f>
        <v>0</v>
      </c>
      <c r="M11" s="1337"/>
    </row>
    <row r="12" spans="2:14" ht="20.100000000000001" customHeight="1" x14ac:dyDescent="0.2">
      <c r="B12" s="1334" t="s">
        <v>2114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2119</v>
      </c>
      <c r="C14" s="1338">
        <v>84.027000000000001</v>
      </c>
      <c r="D14" s="1339" t="s">
        <v>2115</v>
      </c>
      <c r="E14" s="1340"/>
      <c r="F14" s="1340">
        <v>60366</v>
      </c>
      <c r="G14" s="1340"/>
      <c r="H14" s="1340"/>
      <c r="I14" s="1340">
        <v>60366</v>
      </c>
      <c r="J14" s="1340"/>
      <c r="K14" s="1340"/>
      <c r="L14" s="1337">
        <f t="shared" si="0"/>
        <v>60366</v>
      </c>
      <c r="M14" s="1340" t="s">
        <v>2095</v>
      </c>
    </row>
    <row r="15" spans="2:14" ht="20.100000000000001" customHeight="1" x14ac:dyDescent="0.2">
      <c r="B15" s="1334" t="s">
        <v>2121</v>
      </c>
      <c r="C15" s="1338">
        <v>84.027000000000001</v>
      </c>
      <c r="D15" s="1339" t="s">
        <v>2122</v>
      </c>
      <c r="E15" s="1340">
        <v>122792</v>
      </c>
      <c r="F15" s="1340">
        <v>113284</v>
      </c>
      <c r="G15" s="1340">
        <v>151467</v>
      </c>
      <c r="H15" s="1340"/>
      <c r="I15" s="1340">
        <v>113284</v>
      </c>
      <c r="J15" s="1340"/>
      <c r="K15" s="1340"/>
      <c r="L15" s="1337">
        <f t="shared" si="0"/>
        <v>264751</v>
      </c>
      <c r="M15" s="1340" t="s">
        <v>2095</v>
      </c>
    </row>
    <row r="16" spans="2:14" ht="20.100000000000001" customHeight="1" x14ac:dyDescent="0.2">
      <c r="B16" s="1334" t="s">
        <v>2120</v>
      </c>
      <c r="C16" s="1338">
        <v>84.173000000000002</v>
      </c>
      <c r="D16" s="1339" t="s">
        <v>2116</v>
      </c>
      <c r="E16" s="1340"/>
      <c r="F16" s="1340">
        <v>5237</v>
      </c>
      <c r="G16" s="1340"/>
      <c r="H16" s="1340"/>
      <c r="I16" s="1340">
        <v>5237</v>
      </c>
      <c r="J16" s="1340"/>
      <c r="K16" s="1340"/>
      <c r="L16" s="1337">
        <f t="shared" si="0"/>
        <v>5237</v>
      </c>
      <c r="M16" s="1340" t="s">
        <v>2095</v>
      </c>
    </row>
    <row r="17" spans="2:14" ht="20.100000000000001" customHeight="1" x14ac:dyDescent="0.2">
      <c r="B17" s="1334" t="s">
        <v>2117</v>
      </c>
      <c r="C17" s="1338"/>
      <c r="D17" s="1339"/>
      <c r="E17" s="1340">
        <f>SUM(E14:E16)</f>
        <v>122792</v>
      </c>
      <c r="F17" s="1340">
        <f t="shared" ref="F17:K17" si="1">SUM(F14:F16)</f>
        <v>178887</v>
      </c>
      <c r="G17" s="1340">
        <f t="shared" si="1"/>
        <v>151467</v>
      </c>
      <c r="H17" s="1340">
        <f t="shared" si="1"/>
        <v>0</v>
      </c>
      <c r="I17" s="1340">
        <f t="shared" si="1"/>
        <v>178887</v>
      </c>
      <c r="J17" s="1340">
        <f t="shared" si="1"/>
        <v>0</v>
      </c>
      <c r="K17" s="1340">
        <f t="shared" si="1"/>
        <v>0</v>
      </c>
      <c r="L17" s="1337">
        <f t="shared" si="0"/>
        <v>330354</v>
      </c>
      <c r="M17" s="1340">
        <f>SUM(M14:M16)</f>
        <v>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2118</v>
      </c>
      <c r="C27" s="1338"/>
      <c r="D27" s="1339"/>
      <c r="E27" s="1340">
        <f>SUM(E17:E26)</f>
        <v>122792</v>
      </c>
      <c r="F27" s="1340">
        <f t="shared" ref="F27:K27" si="2">SUM(F17:F26)</f>
        <v>178887</v>
      </c>
      <c r="G27" s="1340">
        <f t="shared" si="2"/>
        <v>151467</v>
      </c>
      <c r="H27" s="1340">
        <f t="shared" si="2"/>
        <v>0</v>
      </c>
      <c r="I27" s="1340">
        <f t="shared" si="2"/>
        <v>178887</v>
      </c>
      <c r="J27" s="1340">
        <f t="shared" si="2"/>
        <v>0</v>
      </c>
      <c r="K27" s="1340">
        <f t="shared" si="2"/>
        <v>0</v>
      </c>
      <c r="L27" s="1337">
        <f t="shared" si="0"/>
        <v>330354</v>
      </c>
      <c r="M27" s="1340">
        <f>SUM(M17:M26)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442-3C2E-4B2E-98B8-52F16F904EDD}">
  <sheetPr>
    <pageSetUpPr fitToPage="1"/>
  </sheetPr>
  <dimension ref="B1:N152"/>
  <sheetViews>
    <sheetView showGridLines="0"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Riverton CUSD 14</v>
      </c>
      <c r="C1" s="2430"/>
      <c r="D1" s="2430"/>
      <c r="E1" s="2430"/>
      <c r="F1" s="2430"/>
      <c r="G1" s="2430"/>
      <c r="H1" s="2430"/>
      <c r="I1" s="2430"/>
      <c r="J1" s="2430"/>
      <c r="K1" s="2430"/>
      <c r="L1" s="2430"/>
      <c r="M1" s="2430"/>
    </row>
    <row r="2" spans="2:14" ht="15" x14ac:dyDescent="0.2">
      <c r="B2" s="2431">
        <f>'Single Audit Cover'!E7</f>
        <v>51084014026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2123</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2124</v>
      </c>
      <c r="C13" s="1338"/>
      <c r="D13" s="1339"/>
      <c r="E13" s="1340">
        <f>+' SEFA'!E27+' SEFA (2)'!E27</f>
        <v>749199</v>
      </c>
      <c r="F13" s="1340">
        <f>+' SEFA'!F27+' SEFA (2)'!F27</f>
        <v>1305111</v>
      </c>
      <c r="G13" s="1340">
        <f>+' SEFA'!G27+' SEFA (2)'!G27</f>
        <v>925384</v>
      </c>
      <c r="H13" s="1340">
        <f>+' SEFA'!H27+' SEFA (2)'!H27</f>
        <v>0</v>
      </c>
      <c r="I13" s="1340">
        <f>+' SEFA'!I27+' SEFA (2)'!I27</f>
        <v>1307585</v>
      </c>
      <c r="J13" s="1340">
        <f>+' SEFA'!J27+' SEFA (2)'!J27</f>
        <v>0</v>
      </c>
      <c r="K13" s="1340">
        <f>+' SEFA'!K27+' SEFA (2)'!K27</f>
        <v>20570</v>
      </c>
      <c r="L13" s="1337">
        <f t="shared" si="0"/>
        <v>2253539</v>
      </c>
      <c r="M13" s="1340">
        <f>+' SEFA'!M27+' SEFA (2)'!M27</f>
        <v>818960</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2125</v>
      </c>
      <c r="C15" s="1338"/>
      <c r="D15" s="1339"/>
      <c r="E15" s="1340">
        <f>+' SEFA (3)'!E27</f>
        <v>0</v>
      </c>
      <c r="F15" s="1340">
        <f>+' SEFA (3)'!F27</f>
        <v>14114</v>
      </c>
      <c r="G15" s="1340">
        <f>+' SEFA (3)'!G27</f>
        <v>0</v>
      </c>
      <c r="H15" s="1340">
        <f>+' SEFA (3)'!H27</f>
        <v>0</v>
      </c>
      <c r="I15" s="1340">
        <f>+' SEFA (3)'!I27</f>
        <v>14114</v>
      </c>
      <c r="J15" s="1340">
        <f>+' SEFA (3)'!J27</f>
        <v>0</v>
      </c>
      <c r="K15" s="1340">
        <f>+' SEFA (3)'!K27</f>
        <v>0</v>
      </c>
      <c r="L15" s="1337">
        <f t="shared" si="0"/>
        <v>14114</v>
      </c>
      <c r="M15" s="1340">
        <f>+' SEFA (3)'!M27</f>
        <v>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2126</v>
      </c>
      <c r="C17" s="1338"/>
      <c r="D17" s="1339"/>
      <c r="E17" s="1340">
        <f>+' SEFA (4)'!E27</f>
        <v>122792</v>
      </c>
      <c r="F17" s="1340">
        <f>+' SEFA (4)'!F27</f>
        <v>178887</v>
      </c>
      <c r="G17" s="1340">
        <f>+' SEFA (4)'!G27</f>
        <v>151467</v>
      </c>
      <c r="H17" s="1340">
        <f>+' SEFA (4)'!H27</f>
        <v>0</v>
      </c>
      <c r="I17" s="1340">
        <f>+' SEFA (4)'!I27</f>
        <v>178887</v>
      </c>
      <c r="J17" s="1340">
        <f>+' SEFA (4)'!J27</f>
        <v>0</v>
      </c>
      <c r="K17" s="1340">
        <f>+' SEFA (4)'!K27</f>
        <v>0</v>
      </c>
      <c r="L17" s="1337">
        <f t="shared" si="0"/>
        <v>330354</v>
      </c>
      <c r="M17" s="1340">
        <f>+' SEFA (4)'!M27</f>
        <v>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2127</v>
      </c>
      <c r="C27" s="1338"/>
      <c r="D27" s="1339"/>
      <c r="E27" s="1340">
        <f>SUM(E12:E26)</f>
        <v>871991</v>
      </c>
      <c r="F27" s="1340">
        <f t="shared" ref="F27:K27" si="1">SUM(F12:F26)</f>
        <v>1498112</v>
      </c>
      <c r="G27" s="1340">
        <f t="shared" si="1"/>
        <v>1076851</v>
      </c>
      <c r="H27" s="1340">
        <f t="shared" si="1"/>
        <v>0</v>
      </c>
      <c r="I27" s="1340">
        <f t="shared" si="1"/>
        <v>1500586</v>
      </c>
      <c r="J27" s="1340">
        <f t="shared" si="1"/>
        <v>0</v>
      </c>
      <c r="K27" s="1340">
        <f t="shared" si="1"/>
        <v>20570</v>
      </c>
      <c r="L27" s="1337">
        <f t="shared" si="0"/>
        <v>2598007</v>
      </c>
      <c r="M27" s="1340">
        <f>SUM(M12:M26)</f>
        <v>818960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114" sqref="C114:D1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Riverton CUSD 14</v>
      </c>
      <c r="B1" s="2443"/>
      <c r="C1" s="2443"/>
      <c r="D1" s="2443"/>
      <c r="E1" s="2443"/>
      <c r="F1" s="2443"/>
    </row>
    <row r="2" spans="1:7" ht="13.5" customHeight="1" x14ac:dyDescent="0.2">
      <c r="A2" s="2431">
        <f>'Single Audit Cover'!E7</f>
        <v>51084014026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2132</v>
      </c>
      <c r="B7" s="2442"/>
      <c r="C7" s="2442"/>
      <c r="D7" s="2442"/>
      <c r="E7" s="2442"/>
      <c r="F7" s="244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2130</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t="s">
        <v>2133</v>
      </c>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2131</v>
      </c>
      <c r="B32" s="2436"/>
      <c r="C32" s="2436"/>
      <c r="D32" s="2436"/>
      <c r="E32" s="2436"/>
      <c r="F32" s="2436"/>
    </row>
    <row r="33" spans="1:6" ht="13.5" customHeight="1" x14ac:dyDescent="0.2">
      <c r="A33" s="328" t="s">
        <v>1434</v>
      </c>
      <c r="B33" s="328"/>
      <c r="C33" s="1285">
        <f>+' SEFA'!I22</f>
        <v>26159</v>
      </c>
      <c r="D33" s="1903"/>
      <c r="E33" s="1283"/>
    </row>
    <row r="34" spans="1:6" ht="13.5" customHeight="1" x14ac:dyDescent="0.2">
      <c r="A34" s="328" t="s">
        <v>1835</v>
      </c>
      <c r="B34" s="328"/>
      <c r="C34" s="1286">
        <f>+' SEFA'!I23</f>
        <v>20000</v>
      </c>
      <c r="D34" s="1903" t="s">
        <v>1589</v>
      </c>
      <c r="E34" s="2437">
        <f>+C33+C34</f>
        <v>46159</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v>0</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19" zoomScale="110" zoomScaleNormal="110" workbookViewId="0">
      <selection activeCell="C114" sqref="C114:D11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Riverton CUSD 14</v>
      </c>
      <c r="C1" s="2458"/>
      <c r="D1" s="2458"/>
      <c r="E1" s="2458"/>
      <c r="F1" s="2458"/>
      <c r="G1" s="2458"/>
      <c r="H1" s="2458"/>
      <c r="I1" s="2458"/>
      <c r="J1" s="1406"/>
    </row>
    <row r="2" spans="2:10" s="317" customFormat="1" ht="12.75" customHeight="1" x14ac:dyDescent="0.2">
      <c r="B2" s="2459">
        <f>'Single Audit Cover'!E7</f>
        <v>51084014026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t="s">
        <v>2134</v>
      </c>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t="s">
        <v>2061</v>
      </c>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t="s">
        <v>2135</v>
      </c>
      <c r="E29" s="2464"/>
      <c r="F29" s="2464"/>
      <c r="G29" s="2464"/>
      <c r="H29" s="2464"/>
      <c r="I29" s="2464"/>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5" t="s">
        <v>1748</v>
      </c>
      <c r="D37" s="2466"/>
      <c r="E37" s="2466"/>
      <c r="F37" s="2467"/>
      <c r="G37" s="2465" t="s">
        <v>1592</v>
      </c>
      <c r="H37" s="2466"/>
      <c r="I37" s="2467"/>
    </row>
    <row r="38" spans="2:9" ht="16.5" customHeight="1" x14ac:dyDescent="0.2">
      <c r="B38" s="1428"/>
      <c r="C38" s="2453" t="s">
        <v>2079</v>
      </c>
      <c r="D38" s="2454"/>
      <c r="E38" s="2454"/>
      <c r="F38" s="2455"/>
      <c r="G38" s="2468"/>
      <c r="H38" s="2469"/>
      <c r="I38" s="2470"/>
    </row>
    <row r="39" spans="2:9" ht="16.5" customHeight="1" x14ac:dyDescent="0.2">
      <c r="B39" s="1428">
        <v>10.555</v>
      </c>
      <c r="C39" s="2453" t="s">
        <v>2136</v>
      </c>
      <c r="D39" s="2454"/>
      <c r="E39" s="2454"/>
      <c r="F39" s="2455"/>
      <c r="G39" s="2456">
        <f>+' SEFA'!I15+' SEFA'!I16</f>
        <v>538840</v>
      </c>
      <c r="H39" s="2456"/>
      <c r="I39" s="2456"/>
    </row>
    <row r="40" spans="2:9" ht="16.5" customHeight="1" x14ac:dyDescent="0.2">
      <c r="B40" s="1428">
        <v>10.553000000000001</v>
      </c>
      <c r="C40" s="2453" t="s">
        <v>2085</v>
      </c>
      <c r="D40" s="2454"/>
      <c r="E40" s="2454"/>
      <c r="F40" s="2455"/>
      <c r="G40" s="2456">
        <f>+' SEFA'!I17+' SEFA'!I18</f>
        <v>254042</v>
      </c>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792882</v>
      </c>
      <c r="H43" s="2449"/>
      <c r="I43" s="2449"/>
    </row>
    <row r="44" spans="2:9" ht="12.75" customHeight="1" x14ac:dyDescent="0.2"/>
    <row r="45" spans="2:9" ht="12.75" customHeight="1" x14ac:dyDescent="0.2">
      <c r="B45" s="1419" t="s">
        <v>2059</v>
      </c>
      <c r="D45" s="2450">
        <f>+' SEFA (5)'!I27</f>
        <v>1500586</v>
      </c>
      <c r="E45" s="2451"/>
    </row>
    <row r="46" spans="2:9" ht="5.25" customHeight="1" x14ac:dyDescent="0.2">
      <c r="B46" s="1429"/>
      <c r="D46" s="1430"/>
      <c r="E46" s="1431"/>
    </row>
    <row r="47" spans="2:9" ht="12.75" customHeight="1" x14ac:dyDescent="0.2">
      <c r="B47" s="1297" t="s">
        <v>1594</v>
      </c>
      <c r="C47" s="1297"/>
      <c r="D47" s="1432">
        <f>+G43/D45</f>
        <v>0.5283815789298314</v>
      </c>
      <c r="E47" s="1433"/>
      <c r="F47" s="1434"/>
      <c r="I47" s="1435"/>
    </row>
    <row r="48" spans="2:9" ht="9.9499999999999993" customHeight="1" x14ac:dyDescent="0.2"/>
    <row r="49" spans="1:9" x14ac:dyDescent="0.2">
      <c r="B49" s="1365" t="s">
        <v>1273</v>
      </c>
      <c r="C49" s="1279"/>
      <c r="D49" s="1279"/>
      <c r="E49" s="2452">
        <v>750000</v>
      </c>
      <c r="F49" s="2452"/>
      <c r="G49" s="2452"/>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4" sqref="C114:D1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Riverton CUSD 14</v>
      </c>
      <c r="C1" s="2457"/>
      <c r="D1" s="2457"/>
      <c r="E1" s="2457"/>
      <c r="F1" s="2457"/>
      <c r="G1" s="2457"/>
      <c r="H1" s="2457"/>
      <c r="I1" s="2457"/>
      <c r="J1" s="2457"/>
      <c r="K1" s="2457"/>
      <c r="L1" s="1371"/>
      <c r="M1" s="1371"/>
    </row>
    <row r="2" spans="1:13" ht="12" customHeight="1" x14ac:dyDescent="0.2">
      <c r="B2" s="2459">
        <f>'Single Audit Cover'!E7</f>
        <v>51084014026</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t="s">
        <v>2137</v>
      </c>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114" sqref="C114:D1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Riverton CUSD 14</v>
      </c>
      <c r="C1" s="2480"/>
      <c r="D1" s="2480"/>
      <c r="E1" s="2480"/>
      <c r="F1" s="2480"/>
      <c r="G1" s="2480"/>
      <c r="H1" s="2480"/>
      <c r="I1" s="2480"/>
      <c r="J1" s="2480"/>
      <c r="K1" s="2480"/>
      <c r="L1" s="1449"/>
    </row>
    <row r="2" spans="1:12" ht="12.75" customHeight="1" x14ac:dyDescent="0.2">
      <c r="B2" s="2481">
        <f>'Single Audit Cover'!E7</f>
        <v>51084014026</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t="s">
        <v>2137</v>
      </c>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14" sqref="C114:D1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Riverton CUSD 14</v>
      </c>
      <c r="C1" s="2457"/>
      <c r="D1" s="2457"/>
      <c r="E1" s="1469"/>
    </row>
    <row r="2" spans="2:5" s="1279" customFormat="1" ht="12.75" customHeight="1" x14ac:dyDescent="0.2">
      <c r="B2" s="2459">
        <f>'Single Audit Cover'!E7</f>
        <v>51084014026</v>
      </c>
      <c r="C2" s="2459"/>
      <c r="D2" s="2459"/>
      <c r="E2" s="1470"/>
    </row>
    <row r="3" spans="2:5" ht="12.75" customHeight="1" x14ac:dyDescent="0.2">
      <c r="B3" s="2473" t="s">
        <v>1763</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sharepoint/v3"/>
    <ds:schemaRef ds:uri="d21dc803-237d-4c68-8692-8d731fd29118"/>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4d435f69-8686-490b-bd6d-b153bf22ab50"/>
    <ds:schemaRef ds:uri="http://schemas.microsoft.com/office/infopath/2007/PartnerControls"/>
    <ds:schemaRef ds:uri="http://schemas.openxmlformats.org/package/2006/metadata/core-propertie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2019-09-27T13:31:30Z</cp:lastPrinted>
  <dcterms:created xsi:type="dcterms:W3CDTF">2003-10-29T19:06:34Z</dcterms:created>
  <dcterms:modified xsi:type="dcterms:W3CDTF">2019-12-06T17:13:29Z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