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Errors Michelle\"/>
    </mc:Choice>
  </mc:AlternateContent>
  <xr:revisionPtr revIDLastSave="0" documentId="8_{3F8E78BD-A998-43EF-931D-6648589F5099}" xr6:coauthVersionLast="36" xr6:coauthVersionMax="36" xr10:uidLastSave="{00000000-0000-0000-0000-000000000000}"/>
  <bookViews>
    <workbookView xWindow="4215" yWindow="1965" windowWidth="22080" windowHeight="127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5" i="127"/>
  <c r="B66" i="127"/>
  <c r="D26" i="108"/>
  <c r="E26" i="108"/>
  <c r="F26" i="108"/>
  <c r="G26" i="108"/>
  <c r="D27" i="108"/>
  <c r="E27" i="108"/>
  <c r="F27" i="108"/>
  <c r="G27" i="108"/>
  <c r="E28" i="108"/>
  <c r="F28" i="108"/>
  <c r="F36" i="108"/>
  <c r="F37" i="108"/>
  <c r="G28" i="108"/>
  <c r="E30" i="108"/>
  <c r="G30"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D9" i="7" l="1"/>
  <c r="B1767" i="106" s="1"/>
  <c r="D1767" i="106" s="1"/>
  <c r="F34" i="34"/>
  <c r="D17" i="7"/>
  <c r="B4104" i="106" s="1"/>
  <c r="D4104" i="106" s="1"/>
  <c r="F44" i="34"/>
  <c r="D6103" i="106"/>
  <c r="I24" i="12"/>
  <c r="F46" i="34"/>
  <c r="L13" i="11"/>
  <c r="B2060" i="106" s="1"/>
  <c r="D2060" i="106" s="1"/>
  <c r="B3647" i="106"/>
  <c r="D3647" i="106" s="1"/>
  <c r="C342" i="29"/>
  <c r="B7216" i="106" s="1"/>
  <c r="D7216" i="106" s="1"/>
  <c r="G29" i="108"/>
  <c r="E29" i="108"/>
  <c r="D31" i="108"/>
  <c r="B1996" i="106"/>
  <c r="D1996" i="106" s="1"/>
  <c r="I26" i="12"/>
  <c r="B7741" i="106" s="1"/>
  <c r="D7741" i="106" s="1"/>
  <c r="J41" i="3"/>
  <c r="B6216" i="106" s="1"/>
  <c r="D6216" i="106" s="1"/>
  <c r="K184" i="29"/>
  <c r="F13" i="4" s="1"/>
  <c r="B2596" i="106" s="1"/>
  <c r="D2596" i="106" s="1"/>
  <c r="G210" i="29"/>
  <c r="K41" i="3"/>
  <c r="L15" i="11"/>
  <c r="B3459" i="106" s="1"/>
  <c r="D3459" i="106" s="1"/>
  <c r="B1990" i="106"/>
  <c r="D1990" i="106" s="1"/>
  <c r="C129" i="29"/>
  <c r="L367" i="29"/>
  <c r="D7245" i="106"/>
  <c r="C352" i="29"/>
  <c r="B1308" i="106"/>
  <c r="D1308" i="106" s="1"/>
  <c r="E174" i="29"/>
  <c r="B1309" i="106" s="1"/>
  <c r="D1309" i="106" s="1"/>
  <c r="K28" i="118"/>
  <c r="O27" i="118" s="1"/>
  <c r="O29" i="118" s="1"/>
  <c r="L342" i="29"/>
  <c r="B3254" i="106"/>
  <c r="D3254" i="106" s="1"/>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174" i="34" s="1"/>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6" i="106" l="1"/>
  <c r="D7251" i="106"/>
  <c r="C114" i="29"/>
  <c r="B757" i="106" s="1"/>
  <c r="D757" i="106" s="1"/>
  <c r="D7255" i="106"/>
  <c r="D7252" i="106"/>
  <c r="D44" i="36"/>
  <c r="L16" i="11"/>
  <c r="B2061" i="106" s="1"/>
  <c r="D2061" i="106" s="1"/>
  <c r="D51" i="36"/>
  <c r="L114" i="29"/>
  <c r="D7253" i="106"/>
  <c r="K342" i="29"/>
  <c r="F13" i="34" s="1"/>
  <c r="B3568" i="106"/>
  <c r="D3568" i="106" s="1"/>
  <c r="D52" i="36"/>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J78" i="4" s="1"/>
  <c r="J19" i="4"/>
  <c r="B6229" i="106" s="1"/>
  <c r="D6229"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<sst xmlns="http://schemas.openxmlformats.org/spreadsheetml/2006/main" count="5079" uniqueCount="2104">
  <si>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</si>
  <si>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</si>
  <si>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</si>
  <si>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</si>
  <si>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</si>
  <si>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</si>
  <si>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</si>
  <si>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</si>
  <si>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</si>
  <si>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</si>
  <si>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</si>
  <si>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</si>
  <si>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</si>
  <si>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</si>
  <si>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</si>
  <si>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</si>
  <si>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</si>
  <si>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</si>
  <si>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</si>
  <si>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</si>
  <si>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</si>
  <si>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</si>
  <si>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</si>
  <si>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</si>
  <si>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</si>
  <si>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</si>
  <si>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</si>
  <si>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</si>
  <si>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</si>
  <si>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</si>
  <si>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</si>
  <si>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</si>
  <si>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</si>
  <si>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</si>
  <si>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</si>
  <si>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</si>
  <si>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</si>
  <si>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</si>
  <si>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</si>
  <si>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</si>
  <si>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</si>
  <si>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</si>
  <si>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</si>
  <si>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</si>
  <si>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</si>
  <si>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</si>
  <si>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</si>
  <si>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</si>
  <si>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</si>
  <si>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</si>
  <si>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</si>
  <si>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</si>
  <si>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</si>
  <si>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</si>
  <si>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</si>
  <si>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</si>
  <si>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</si>
  <si>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</si>
  <si>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</si>
  <si>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</si>
  <si>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</si>
  <si>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</si>
  <si>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</si>
  <si>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</si>
  <si>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</si>
  <si>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</si>
  <si>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</si>
  <si>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</si>
  <si>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</si>
  <si>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</si>
  <si>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</si>
  <si>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</si>
  <si>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</si>
  <si>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</si>
  <si>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</si>
  <si>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</si>
  <si>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</si>
  <si>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</si>
  <si>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</si>
  <si>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</si>
  <si>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</si>
  <si>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</si>
  <si>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</si>
  <si>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</si>
  <si>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</si>
  <si>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</si>
  <si>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</si>
  <si>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</si>
  <si>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</si>
  <si>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</si>
  <si>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</si>
  <si>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</si>
  <si>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</si>
  <si>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</si>
  <si>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</si>
  <si>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</si>
  <si>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</si>
  <si>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</si>
  <si>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</si>
  <si>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</si>
  <si>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</si>
  <si>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</si>
  <si>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</si>
  <si>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</si>
  <si>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</si>
  <si>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</si>
  <si>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</si>
  <si>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</si>
  <si>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</si>
  <si>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</si>
  <si>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</si>
  <si>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</si>
  <si>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</si>
  <si>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</si>
  <si>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</si>
  <si>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</si>
  <si>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</si>
  <si>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</si>
  <si>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</si>
  <si>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</si>
  <si>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</si>
  <si>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</si>
  <si>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</si>
  <si>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</si>
  <si>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</si>
  <si>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</si>
  <si>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</si>
  <si>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</si>
  <si>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</si>
  <si>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</si>
  <si>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</si>
  <si>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</si>
  <si>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</si>
  <si>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</si>
  <si>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</si>
  <si>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</si>
  <si>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</si>
  <si>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</si>
  <si>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</si>
  <si>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</si>
  <si>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</si>
  <si>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</si>
  <si>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</si>
  <si>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</si>
  <si>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</si>
  <si>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</si>
  <si>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</si>
  <si>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</si>
  <si>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</si>
  <si>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</si>
  <si>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</si>
  <si>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</si>
  <si>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</si>
  <si>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</si>
  <si>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</si>
  <si>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</si>
  <si>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</si>
  <si>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</si>
  <si>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</si>
  <si>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</si>
  <si>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</si>
  <si>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</si>
  <si>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</si>
  <si>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</si>
  <si>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</si>
  <si>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</si>
  <si>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</si>
  <si>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</si>
  <si>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</si>
  <si>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</si>
  <si>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</si>
  <si>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</si>
  <si>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</si>
  <si>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</si>
  <si>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</si>
  <si>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</si>
  <si>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</si>
  <si>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</si>
  <si>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</si>
  <si>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</si>
  <si>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</si>
  <si>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</si>
  <si>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</si>
  <si>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</si>
  <si>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</si>
  <si>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</si>
  <si>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</si>
  <si>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</si>
  <si>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</si>
  <si>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</si>
  <si>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</si>
  <si>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</si>
  <si>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</si>
  <si>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</si>
  <si>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</si>
  <si>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</si>
  <si>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</si>
  <si>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</si>
  <si>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</si>
  <si>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</si>
  <si>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</si>
  <si>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</si>
  <si>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</si>
  <si>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</si>
  <si>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</si>
  <si>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</si>
  <si>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</si>
  <si>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</si>
  <si>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</si>
  <si>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</si>
  <si>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</si>
  <si>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</si>
  <si>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</si>
  <si>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</si>
  <si>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</si>
  <si>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</si>
  <si>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</si>
  <si>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</si>
  <si>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</si>
  <si>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</si>
  <si>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</si>
  <si>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</si>
  <si>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</si>
  <si>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</si>
  <si>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</si>
  <si>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</si>
  <si>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</si>
  <si>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</si>
  <si>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</si>
  <si>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</si>
  <si>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</si>
  <si>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</si>
  <si>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</si>
  <si>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</si>
  <si>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</si>
  <si>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</si>
  <si>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</si>
  <si>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</si>
  <si>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</si>
  <si>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</si>
  <si>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</si>
  <si>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</si>
  <si>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</si>
  <si>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</si>
  <si>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</si>
  <si>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</si>
  <si>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</si>
  <si>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</si>
  <si>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</si>
  <si>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</si>
  <si>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</si>
  <si>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</si>
  <si>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</si>
  <si>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</si>
  <si>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</si>
  <si>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</si>
  <si>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</si>
  <si>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</si>
  <si>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</si>
  <si>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</si>
  <si>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</si>
  <si>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</si>
  <si>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</si>
  <si>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</si>
  <si>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</si>
  <si>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</si>
  <si>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</si>
  <si>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</si>
  <si>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</si>
  <si>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</si>
  <si>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</si>
  <si>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</si>
  <si>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</si>
  <si>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</si>
  <si>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</si>
  <si>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</si>
  <si>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</si>
  <si>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</si>
  <si>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</si>
  <si>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</si>
  <si>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</si>
  <si>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</si>
  <si>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</si>
  <si>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</si>
  <si>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</si>
  <si>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</si>
  <si>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</si>
  <si>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</si>
  <si>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</si>
  <si>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</si>
  <si>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</si>
  <si>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</si>
  <si>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</si>
  <si>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</si>
  <si>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</si>
  <si>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</si>
  <si>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</si>
  <si>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</si>
  <si>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</si>
  <si>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</si>
  <si>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</si>
  <si>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</si>
  <si>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</si>
  <si>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</si>
  <si>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</si>
  <si>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</si>
  <si>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</si>
  <si>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</si>
  <si>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</si>
  <si>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</si>
  <si>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</si>
  <si>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</si>
  <si>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</si>
  <si>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</si>
  <si>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</si>
  <si>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</si>
  <si>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</si>
  <si>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</si>
  <si>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</si>
  <si>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</si>
  <si>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</si>
  <si>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</si>
  <si>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</si>
  <si>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</si>
  <si>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</si>
  <si>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</si>
  <si>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</si>
  <si>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</si>
  <si>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</si>
  <si>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</si>
  <si>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</si>
  <si>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</si>
  <si>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</si>
  <si>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</si>
  <si>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</si>
  <si>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</si>
  <si>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</si>
  <si>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</si>
  <si>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</si>
  <si>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</si>
  <si>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</si>
  <si>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</si>
  <si>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</si>
  <si>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</si>
  <si>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</si>
  <si>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</si>
  <si>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</si>
  <si>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</si>
  <si>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</si>
  <si>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</si>
  <si>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</si>
  <si>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</si>
  <si>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</si>
  <si>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</si>
  <si>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</si>
  <si>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</si>
  <si>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</si>
  <si>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</si>
  <si>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</si>
  <si>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</si>
  <si>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</si>
  <si>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</si>
  <si>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</si>
  <si>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</si>
  <si>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</si>
  <si>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</si>
  <si>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</si>
  <si>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</si>
  <si>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</si>
  <si>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</si>
  <si>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</si>
  <si>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</si>
  <si>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</si>
  <si>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</si>
  <si>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</si>
  <si>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</si>
  <si>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</si>
  <si>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</si>
  <si>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</si>
  <si>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</si>
  <si>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</si>
  <si>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</si>
  <si>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</si>
  <si>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</si>
  <si>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</si>
  <si>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</si>
  <si>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</si>
  <si>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</si>
  <si>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</si>
  <si>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</si>
  <si>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</si>
  <si>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</si>
  <si>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</si>
  <si>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</si>
  <si>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</si>
  <si>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</si>
  <si>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</si>
  <si>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</si>
  <si>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</si>
  <si>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</si>
  <si>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</si>
  <si>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</si>
  <si>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</si>
  <si>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</si>
  <si>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</si>
  <si>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</si>
  <si>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</si>
  <si>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</si>
  <si>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</si>
  <si>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</si>
  <si>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</si>
  <si>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</si>
  <si>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</si>
  <si>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</si>
  <si>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</si>
  <si>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</si>
  <si>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</si>
  <si>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</si>
  <si>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</si>
  <si>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</si>
  <si>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</si>
  <si>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</si>
  <si>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</si>
  <si>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</si>
  <si>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</si>
  <si>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</si>
  <si>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</si>
  <si>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</si>
  <si>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</si>
  <si>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</si>
  <si>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</si>
  <si>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</si>
  <si>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</si>
  <si>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</si>
  <si>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</si>
  <si>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</si>
  <si>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</si>
  <si>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</si>
  <si>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</si>
  <si>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</si>
  <si>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</si>
  <si>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</si>
  <si>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</si>
  <si>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</si>
  <si>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</si>
  <si>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</si>
  <si>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</si>
  <si>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</si>
  <si>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</si>
  <si>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</si>
  <si>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</si>
  <si>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</si>
  <si>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</si>
  <si>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</si>
  <si>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</si>
  <si>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</si>
  <si>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</si>
  <si>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</si>
  <si>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</si>
  <si>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</si>
  <si>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</si>
  <si>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</si>
  <si>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</si>
  <si>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</si>
  <si>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</si>
  <si>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</si>
  <si>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</si>
  <si>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</si>
  <si>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</si>
  <si>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</si>
  <si>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</si>
  <si>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</si>
  <si>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</si>
  <si>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</si>
  <si>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</si>
  <si>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</si>
  <si>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</si>
  <si>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</si>
  <si>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</si>
  <si>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</si>
  <si>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</si>
  <si>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</si>
  <si>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</si>
  <si>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</si>
  <si>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</si>
  <si>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</si>
  <si>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</si>
  <si>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</si>
  <si>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</si>
  <si>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</si>
  <si>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</si>
  <si>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</si>
  <si>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</si>
  <si>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</si>
  <si>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</si>
  <si>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</si>
  <si>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</si>
  <si>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</si>
  <si>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</si>
  <si>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</si>
  <si>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</si>
  <si>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</si>
  <si>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</si>
  <si>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</si>
  <si>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</si>
  <si>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</si>
  <si>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</si>
  <si>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</si>
  <si>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</si>
  <si>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</si>
  <si>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</si>
  <si>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</si>
  <si>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</si>
  <si>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</si>
  <si>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</si>
  <si>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</si>
  <si>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</si>
  <si>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</si>
  <si>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</si>
  <si>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</si>
  <si>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</si>
  <si>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</si>
  <si>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</si>
  <si>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</si>
  <si>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</si>
  <si>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</si>
  <si>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</si>
  <si>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</si>
  <si>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</si>
  <si>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</si>
  <si>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</si>
  <si>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</si>
  <si>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</si>
  <si>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</si>
  <si>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</si>
  <si>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</si>
  <si>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</si>
  <si>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</si>
  <si>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</si>
  <si>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</si>
  <si>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</si>
  <si>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</si>
  <si>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</si>
  <si>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</si>
  <si>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</si>
  <si>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</si>
  <si>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</si>
  <si>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</si>
  <si>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</si>
  <si>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</si>
  <si>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</si>
  <si>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</si>
  <si>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</si>
  <si>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</si>
  <si>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</si>
  <si>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</si>
  <si>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</si>
  <si>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</si>
  <si>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</si>
  <si>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</si>
  <si>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</si>
  <si>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</si>
  <si>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</si>
  <si>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</si>
  <si>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</si>
  <si>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</si>
  <si>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</si>
  <si>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</si>
  <si>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</si>
  <si>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</si>
  <si>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</si>
  <si>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</si>
  <si>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</si>
  <si>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</si>
  <si>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</si>
  <si>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</si>
  <si>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</si>
  <si>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</si>
  <si>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</si>
  <si>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</si>
  <si>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</si>
  <si>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</si>
  <si>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</si>
  <si>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</si>
  <si>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</si>
  <si>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</si>
  <si>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</si>
  <si>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</si>
  <si>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</si>
  <si>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</si>
  <si>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</si>
  <si>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</si>
  <si>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</si>
  <si>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</si>
  <si>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</si>
  <si>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</si>
  <si>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</si>
  <si>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</si>
  <si>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</si>
  <si>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</si>
  <si>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</si>
  <si>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</si>
  <si>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</si>
  <si>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</si>
  <si>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</si>
  <si>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</si>
  <si>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</si>
  <si>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</si>
  <si>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</si>
  <si>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</si>
  <si>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</si>
  <si>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</si>
  <si>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</si>
  <si>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</si>
  <si>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</si>
  <si>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</si>
  <si>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</si>
  <si>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</si>
  <si>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</si>
  <si>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</si>
  <si>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</si>
  <si>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</si>
  <si>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</si>
  <si>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</si>
  <si>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</si>
  <si>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</si>
  <si>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</si>
  <si>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</si>
  <si>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</si>
  <si>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</si>
  <si>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</si>
  <si>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</si>
  <si>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</si>
  <si>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</si>
  <si>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</si>
  <si>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</si>
  <si>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</si>
  <si>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</si>
  <si>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</si>
  <si>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</si>
  <si>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</si>
  <si>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</si>
  <si>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</si>
  <si>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</si>
  <si>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</si>
  <si>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</si>
  <si>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</si>
  <si>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</si>
  <si>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</si>
  <si>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</si>
  <si>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</si>
  <si>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</si>
  <si>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</si>
  <si>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</si>
  <si>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</si>
  <si>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</si>
  <si>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</si>
  <si>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</si>
  <si>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</si>
  <si>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</si>
  <si>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</si>
  <si>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</si>
  <si>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</si>
  <si>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</si>
  <si>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</si>
  <si>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</si>
  <si>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</si>
  <si>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</si>
  <si>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</si>
  <si>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</si>
  <si>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</si>
  <si>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</si>
  <si>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</si>
  <si>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</si>
  <si>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</si>
  <si>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</si>
  <si>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</si>
  <si>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</si>
  <si>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</si>
  <si>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</si>
  <si>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</si>
  <si>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</si>
  <si>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</si>
  <si>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</si>
  <si>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</si>
  <si>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</si>
  <si>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</si>
  <si>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</si>
  <si>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</si>
  <si>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</si>
  <si>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</si>
  <si>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</si>
  <si>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</si>
  <si>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</si>
  <si>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</si>
  <si>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</si>
  <si>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</si>
  <si>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</si>
  <si>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</si>
  <si>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</si>
  <si>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</si>
  <si>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</si>
  <si>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</si>
  <si>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</si>
  <si>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</si>
  <si>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</si>
  <si>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</si>
  <si>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</si>
  <si>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</si>
  <si>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</si>
  <si>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</si>
  <si>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</si>
  <si>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</si>
  <si>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</si>
  <si>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</si>
  <si>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</si>
  <si>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</si>
  <si>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</si>
  <si>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</si>
  <si>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</si>
  <si>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</si>
  <si>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</si>
  <si>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</si>
  <si>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</si>
  <si>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</si>
  <si>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</si>
  <si>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</si>
  <si>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</si>
  <si>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</si>
  <si>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</si>
  <si>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</si>
  <si>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</si>
  <si>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</si>
  <si>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</si>
  <si>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</si>
  <si>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</si>
  <si>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</si>
  <si>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</si>
  <si>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</si>
  <si>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</si>
  <si>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</si>
  <si>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</si>
  <si>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</si>
  <si>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</si>
  <si>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</si>
  <si>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</si>
  <si>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</si>
  <si>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</si>
  <si>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</si>
  <si>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</si>
  <si>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</si>
  <si>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</si>
  <si>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</si>
  <si>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</si>
  <si>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</si>
  <si>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</si>
  <si>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</si>
  <si>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</si>
  <si>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</si>
  <si>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</si>
  <si>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</si>
  <si>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</si>
  <si>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</si>
  <si>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</si>
  <si>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</si>
  <si>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</si>
  <si>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</si>
  <si>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</si>
  <si>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</si>
  <si>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</si>
  <si>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</si>
  <si>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</si>
  <si>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</si>
  <si>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</si>
  <si>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</si>
  <si>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</si>
  <si>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</si>
  <si>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</si>
  <si>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</si>
  <si>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</si>
  <si>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</si>
  <si>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</si>
  <si>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</si>
  <si>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</si>
  <si>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</si>
  <si>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</si>
  <si>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</si>
  <si>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</si>
  <si>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</si>
  <si>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</si>
  <si>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</si>
  <si>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</si>
  <si>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</si>
  <si>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</si>
  <si>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</si>
  <si>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</si>
  <si>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</si>
  <si>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</si>
  <si>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</si>
  <si>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</si>
  <si>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</si>
  <si>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</si>
  <si>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</si>
  <si>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</si>
  <si>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</si>
  <si>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</si>
  <si>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</si>
  <si>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</si>
  <si>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</si>
  <si>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</si>
  <si>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</si>
  <si>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</si>
  <si>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</si>
  <si>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</si>
  <si>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</si>
  <si>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</si>
  <si>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</si>
  <si>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</si>
  <si>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</si>
  <si>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</si>
  <si>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</si>
  <si>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</si>
  <si>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</si>
  <si>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</si>
  <si>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</si>
  <si>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</si>
  <si>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</si>
  <si>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</si>
  <si>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</si>
  <si>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</si>
  <si>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</si>
  <si>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</si>
  <si>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</si>
  <si>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</si>
  <si>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</si>
  <si>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</si>
  <si>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</si>
  <si>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</si>
  <si>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</si>
  <si>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</si>
  <si>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</si>
  <si>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</si>
  <si>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</si>
  <si>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</si>
  <si>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</si>
  <si>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</si>
  <si>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</si>
  <si>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</si>
  <si>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</si>
  <si>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</si>
  <si>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</si>
  <si>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</si>
  <si>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</si>
  <si>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</si>
  <si>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</si>
  <si>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</si>
  <si>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</si>
  <si>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</si>
  <si>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</si>
  <si>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</si>
  <si>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</si>
  <si>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</si>
  <si>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</si>
  <si>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</si>
  <si>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</si>
  <si>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</si>
  <si>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</si>
  <si>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</si>
  <si>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</si>
  <si>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</si>
  <si>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</si>
  <si>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</si>
  <si>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</si>
  <si>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</si>
  <si>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</si>
  <si>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</si>
  <si>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</si>
  <si>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</si>
  <si>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</si>
  <si>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</si>
  <si>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</si>
  <si>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</si>
  <si>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</si>
  <si>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</si>
  <si>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</si>
  <si>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</si>
  <si>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</si>
  <si>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</si>
  <si>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</si>
  <si>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</si>
  <si>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</si>
  <si>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</si>
  <si>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</si>
  <si>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</si>
  <si>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</si>
  <si>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</si>
  <si>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</si>
  <si>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</si>
  <si>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</si>
  <si>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</si>
  <si>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</si>
  <si>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</si>
  <si>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</si>
  <si>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</si>
  <si>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</si>
  <si>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</si>
  <si>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</si>
  <si>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</si>
  <si>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</si>
  <si>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</si>
  <si>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</si>
  <si>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</si>
  <si>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</si>
  <si>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</si>
  <si>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</si>
  <si>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</si>
  <si>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</si>
  <si>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</si>
  <si>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</si>
  <si>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</si>
  <si>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</si>
  <si>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</si>
  <si>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</si>
  <si>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</si>
  <si>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</si>
  <si>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</si>
  <si>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</si>
  <si>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</si>
  <si>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</si>
  <si>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</si>
  <si>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</si>
  <si>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</si>
  <si>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</si>
  <si>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</si>
  <si>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</si>
  <si>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</si>
  <si>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</si>
  <si>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</si>
  <si>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</si>
  <si>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</si>
  <si>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</si>
  <si>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</si>
  <si>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</si>
  <si>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</si>
  <si>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</si>
  <si>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</si>
  <si>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</si>
  <si>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</si>
  <si>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</si>
  <si>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</si>
  <si>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</si>
  <si>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</si>
  <si>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</si>
  <si>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</si>
  <si>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</si>
  <si>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</si>
  <si>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</si>
  <si>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</si>
  <si>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</si>
  <si>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</si>
  <si>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</si>
  <si>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</si>
  <si>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</si>
  <si>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</si>
  <si>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</si>
  <si>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</si>
  <si>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</si>
  <si>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</si>
  <si>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</si>
  <si>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</si>
  <si>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</si>
  <si>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</si>
  <si>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</si>
  <si>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</si>
  <si>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</si>
  <si>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</si>
  <si>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</si>
  <si>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</si>
  <si>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</si>
  <si>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</si>
  <si>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</si>
  <si>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</si>
  <si>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</si>
  <si>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</si>
  <si>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</si>
  <si>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</si>
  <si>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</si>
  <si>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</si>
  <si>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</si>
  <si>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</si>
  <si>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</si>
  <si>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</si>
  <si>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</si>
  <si>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</si>
  <si>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</si>
  <si>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</si>
  <si>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</si>
  <si>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</si>
  <si>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</si>
  <si>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</si>
  <si>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</si>
  <si>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</si>
  <si>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</si>
  <si>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</si>
  <si>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</si>
  <si>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</si>
  <si>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</si>
  <si>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</si>
  <si>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</si>
  <si>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</si>
  <si>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</si>
  <si>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</si>
  <si>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</si>
  <si>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</si>
  <si>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</si>
  <si>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</si>
  <si>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</si>
  <si>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</si>
  <si>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</si>
  <si>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</si>
  <si>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</si>
  <si>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</si>
  <si>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</si>
  <si>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</si>
  <si>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</si>
  <si>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</si>
  <si>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</si>
  <si>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</si>
  <si>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</si>
  <si>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</si>
  <si>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</si>
  <si>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</si>
  <si>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</si>
  <si>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</si>
  <si>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</si>
  <si>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</si>
  <si>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</si>
  <si>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</si>
  <si>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</si>
  <si>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</si>
  <si>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</si>
  <si>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</si>
  <si>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</si>
  <si>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</si>
  <si>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</si>
  <si>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</si>
  <si>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</si>
  <si>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</si>
  <si>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</si>
  <si>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</si>
  <si>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</si>
  <si>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</si>
  <si>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</si>
  <si>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</si>
  <si>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</si>
  <si>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</si>
  <si>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</si>
  <si>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</si>
  <si>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</si>
  <si>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</si>
  <si>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</si>
  <si>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</si>
  <si>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</si>
  <si>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</si>
  <si>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</si>
  <si>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</si>
  <si>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</si>
  <si>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</si>
  <si>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</si>
  <si>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</si>
  <si>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</si>
  <si>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</si>
  <si>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</si>
  <si>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</si>
  <si>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</si>
  <si>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</si>
  <si>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</si>
  <si>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</si>
  <si>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</si>
  <si>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</si>
  <si>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</si>
  <si>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</si>
  <si>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</si>
  <si>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</si>
  <si>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</si>
  <si>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</si>
  <si>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</si>
  <si>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</si>
  <si>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</si>
  <si>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</si>
  <si>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</si>
  <si>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</si>
  <si>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</si>
  <si>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</si>
  <si>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</si>
  <si>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</si>
  <si>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</si>
  <si>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</si>
  <si>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</si>
  <si>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</si>
  <si>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</si>
  <si>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</si>
  <si>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</si>
  <si>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</si>
  <si>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</si>
  <si>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</si>
  <si>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</si>
  <si>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</si>
  <si>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</si>
  <si>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</si>
  <si>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</si>
  <si>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</si>
  <si>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</si>
  <si>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</si>
  <si>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</si>
  <si>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</si>
  <si>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</si>
  <si>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</si>
  <si>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</si>
  <si>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</si>
  <si>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</si>
  <si>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</si>
  <si>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</si>
  <si>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</si>
  <si>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</si>
  <si>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</si>
  <si>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</si>
  <si>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</si>
  <si>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</si>
  <si>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</si>
  <si>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</si>
  <si>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</si>
  <si>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</si>
  <si>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</si>
  <si>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</si>
  <si>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</si>
  <si>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</si>
  <si>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</si>
  <si>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</si>
  <si>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</si>
  <si>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</si>
  <si>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</si>
  <si>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</si>
  <si>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</si>
  <si>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</si>
  <si>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</si>
  <si>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</si>
  <si>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</si>
  <si>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</si>
  <si>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</si>
  <si>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</si>
  <si>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</si>
  <si>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</si>
  <si>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</si>
  <si>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</si>
  <si>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</si>
  <si>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</si>
  <si>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</si>
  <si>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</si>
  <si>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</si>
  <si>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</si>
  <si>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</si>
  <si>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</si>
  <si>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</si>
  <si>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</si>
  <si>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</si>
  <si>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</si>
  <si>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</si>
  <si>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</si>
  <si>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</si>
  <si>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</si>
  <si>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</si>
  <si>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</si>
  <si>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</si>
  <si>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</si>
  <si>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</si>
  <si>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</si>
  <si>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</si>
  <si>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</si>
  <si>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</si>
  <si>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</si>
  <si>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</si>
  <si>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</si>
  <si>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</si>
  <si>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</si>
  <si>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</si>
  <si>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</si>
  <si>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</si>
  <si>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</si>
  <si>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</si>
  <si>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</si>
  <si>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</si>
  <si>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</si>
  <si>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</si>
  <si>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</si>
  <si>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</si>
  <si>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</si>
  <si>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</si>
  <si>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</si>
  <si>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</si>
  <si>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</si>
  <si>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</si>
  <si>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</si>
  <si>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</si>
  <si>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</si>
  <si>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</si>
  <si>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</si>
  <si>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</si>
  <si>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</si>
  <si>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</si>
  <si>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</si>
  <si>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</si>
  <si>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</si>
  <si>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</si>
  <si>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</si>
  <si>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</si>
  <si>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</si>
  <si>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</si>
  <si>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</si>
  <si>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</si>
  <si>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</si>
  <si>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</si>
  <si>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</si>
  <si>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</si>
  <si>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</si>
  <si>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</si>
  <si>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</si>
  <si>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</si>
  <si>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</si>
  <si>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</si>
  <si>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</si>
  <si>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</si>
  <si>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</si>
  <si>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</si>
  <si>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</si>
  <si>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</si>
  <si>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</si>
  <si>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</si>
  <si>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</si>
  <si>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</si>
  <si>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</si>
  <si>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</si>
  <si>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</si>
  <si>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</si>
  <si>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</si>
  <si>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</si>
  <si>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</si>
  <si>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</si>
  <si>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</si>
  <si>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</si>
  <si>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</si>
  <si>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</si>
  <si>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</si>
  <si>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</si>
  <si>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</si>
  <si>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</si>
  <si>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</si>
  <si>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</si>
  <si>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</si>
  <si>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</si>
  <si>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</si>
  <si>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</si>
  <si>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</si>
  <si>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</si>
  <si>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</si>
  <si>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</si>
  <si>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</si>
  <si>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</si>
  <si>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</si>
  <si>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</si>
  <si>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</si>
  <si>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</si>
  <si>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</si>
  <si>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</si>
  <si>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</si>
  <si>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</si>
  <si>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</si>
  <si>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</si>
  <si>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</si>
  <si>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</si>
  <si>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</si>
  <si>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</si>
  <si>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</si>
  <si>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</si>
  <si>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</si>
  <si>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</si>
  <si>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</si>
  <si>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</si>
  <si>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</si>
  <si>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</si>
  <si>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</si>
  <si>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</si>
  <si>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</si>
  <si>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</si>
  <si>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</si>
  <si>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</si>
  <si>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</si>
  <si>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</si>
  <si>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</si>
  <si>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</si>
  <si>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</si>
  <si>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</si>
  <si>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</si>
  <si>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</si>
  <si>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</si>
  <si>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</si>
  <si>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</si>
  <si>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</si>
  <si>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</si>
  <si>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</si>
  <si>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</si>
  <si>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</si>
  <si>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</si>
  <si>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</si>
  <si>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</si>
  <si>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</si>
  <si>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</si>
  <si>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</si>
  <si>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</si>
  <si>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</si>
  <si>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</si>
  <si>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</si>
  <si>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</si>
  <si>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</si>
  <si>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</si>
  <si>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</si>
  <si>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</si>
  <si>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</si>
  <si>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</si>
  <si>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</si>
  <si>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</si>
  <si>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</si>
  <si>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</si>
  <si>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</si>
  <si>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</si>
  <si>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</si>
  <si>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</si>
  <si>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</si>
  <si>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</si>
  <si>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</si>
  <si>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</si>
  <si>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</si>
  <si>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</si>
  <si>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</si>
  <si>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</si>
  <si>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</si>
  <si>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</si>
  <si>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</si>
  <si>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</si>
  <si>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</si>
  <si>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</si>
  <si>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</si>
  <si>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</si>
  <si>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</si>
  <si>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</si>
  <si>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</si>
  <si>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</si>
  <si>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</si>
  <si>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</si>
  <si>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</si>
  <si>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</si>
  <si>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</si>
  <si>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</si>
  <si>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</si>
  <si>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</si>
  <si>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</si>
  <si>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</si>
  <si>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</si>
  <si>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</si>
  <si>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</si>
  <si>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</si>
  <si>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</si>
  <si>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</si>
  <si>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</si>
  <si>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</si>
  <si>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</si>
  <si>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</si>
  <si>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</si>
  <si>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</si>
  <si>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</si>
  <si>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</si>
  <si>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</si>
  <si>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</si>
  <si>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</si>
  <si>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</si>
  <si>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</si>
  <si>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</si>
  <si>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</si>
  <si>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</si>
  <si>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</si>
  <si>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</si>
  <si>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</si>
  <si>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</si>
  <si>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</si>
  <si>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</si>
  <si>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</si>
  <si>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</si>
  <si>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</si>
  <si>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</si>
  <si>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</si>
  <si>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</si>
  <si>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</si>
  <si>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</si>
  <si>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</si>
  <si>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</si>
  <si>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</si>
  <si>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</si>
  <si>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</si>
  <si>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</si>
  <si>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</si>
  <si>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</si>
  <si>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</si>
  <si>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</si>
  <si>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</si>
  <si>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</si>
  <si>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</si>
  <si>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</si>
  <si>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</si>
  <si>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</si>
  <si>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</si>
  <si>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</si>
  <si>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</si>
  <si>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</si>
  <si>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</si>
  <si>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</si>
  <si>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</si>
  <si>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</si>
  <si>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</si>
  <si>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</si>
  <si>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</si>
  <si>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</si>
  <si>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</si>
  <si>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</si>
  <si>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</si>
  <si>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</si>
  <si>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</si>
  <si>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</si>
  <si>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</si>
  <si>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</si>
  <si>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</si>
  <si>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</si>
  <si>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</si>
  <si>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</si>
  <si>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</si>
  <si>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</si>
  <si>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</si>
  <si>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</si>
  <si>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</si>
  <si>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</si>
  <si>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</si>
  <si>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</si>
  <si>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</si>
  <si>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</si>
  <si>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</si>
  <si>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</si>
  <si>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</si>
  <si>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</si>
  <si>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</si>
  <si>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</si>
  <si>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</si>
  <si>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</si>
  <si>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</si>
  <si>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</si>
  <si>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</si>
  <si>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</si>
  <si>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</si>
  <si>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</si>
  <si>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</si>
  <si>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</si>
  <si>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</si>
  <si>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</si>
  <si>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</si>
  <si>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</si>
  <si>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</si>
  <si>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</si>
  <si>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</si>
  <si>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</si>
  <si>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</si>
  <si>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</si>
  <si>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</si>
  <si>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</si>
  <si>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</si>
  <si>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</si>
  <si>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</si>
  <si>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</si>
  <si>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</si>
  <si>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</si>
  <si>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</si>
  <si>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</si>
  <si>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</si>
  <si>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</si>
  <si>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</si>
  <si>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</si>
  <si>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</si>
  <si>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</si>
  <si>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</si>
  <si>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</si>
  <si>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</si>
  <si>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</si>
  <si>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</si>
  <si>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</si>
  <si>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</si>
  <si>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</si>
  <si>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</si>
  <si>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</si>
  <si>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</si>
  <si>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</si>
  <si>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</si>
  <si>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</si>
  <si>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</si>
  <si>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</si>
  <si>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</si>
  <si>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</si>
  <si>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</si>
  <si>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</si>
  <si>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</si>
  <si>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</si>
  <si>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</si>
  <si>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</si>
  <si>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</si>
  <si>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</si>
  <si>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</si>
  <si>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</si>
  <si>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</si>
  <si>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</si>
  <si>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</si>
  <si>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</si>
  <si>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</si>
  <si>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</si>
  <si>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</si>
  <si>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</si>
  <si>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</si>
  <si>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</si>
  <si>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</si>
  <si>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</si>
  <si>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</si>
  <si>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</si>
  <si>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</si>
  <si>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</si>
  <si>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</si>
  <si>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</si>
  <si>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</si>
  <si>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</si>
  <si>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</si>
  <si>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</si>
  <si>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</si>
  <si>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</si>
  <si>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</si>
  <si>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</si>
  <si>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</si>
  <si>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</si>
  <si>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</si>
  <si>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</si>
  <si>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</si>
  <si>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</si>
  <si>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</si>
  <si>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</si>
  <si>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</si>
  <si>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</si>
  <si>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</si>
  <si>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</si>
  <si>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</si>
  <si>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</si>
  <si>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</si>
  <si>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</si>
  <si>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</si>
  <si>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</si>
  <si>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</si>
  <si>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</si>
  <si>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</si>
  <si>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</si>
  <si>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</si>
  <si>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</si>
  <si>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</si>
  <si>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</si>
  <si>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</si>
  <si>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</si>
  <si>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</si>
  <si>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</si>
  <si>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</si>
  <si>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</si>
  <si>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</si>
  <si>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</si>
  <si>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</si>
  <si>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</si>
  <si>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</si>
  <si>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</si>
  <si>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</si>
  <si>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</si>
  <si>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</si>
  <si>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</si>
  <si>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</si>
  <si>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</si>
  <si>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</si>
  <si>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</si>
  <si>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</si>
  <si>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</si>
  <si>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</si>
  <si>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</si>
  <si>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</si>
  <si>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</si>
  <si>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</si>
  <si>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</si>
  <si>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</si>
  <si>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</si>
  <si>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</si>
  <si>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</si>
  <si>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</si>
  <si>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</si>
  <si>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</si>
  <si>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</si>
  <si>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</si>
  <si>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</si>
  <si>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</si>
  <si>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</si>
  <si>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</si>
  <si>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</si>
  <si>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</si>
  <si>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</si>
  <si>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</si>
  <si>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</si>
  <si>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</si>
  <si>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</si>
  <si>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</si>
  <si>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</si>
  <si>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</si>
  <si>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</si>
  <si>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</si>
  <si>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</si>
  <si>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</si>
  <si>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</si>
  <si>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</si>
  <si>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</si>
  <si>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</si>
  <si>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</si>
  <si>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</si>
  <si>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</si>
  <si>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</si>
  <si>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</si>
  <si>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</si>
  <si>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</si>
  <si>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</si>
  <si>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</si>
  <si>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</si>
  <si>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</si>
  <si>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</si>
  <si>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</si>
  <si>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</si>
  <si>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</si>
  <si>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</si>
  <si>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</si>
  <si>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</si>
  <si>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</si>
  <si>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</si>
  <si>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</si>
  <si>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</si>
  <si>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</si>
  <si>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</si>
  <si>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</si>
  <si>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</si>
  <si>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</si>
  <si>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</si>
  <si>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</si>
  <si>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</si>
  <si>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</si>
  <si>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</si>
  <si>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</si>
  <si>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</si>
  <si>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</si>
  <si>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</si>
  <si>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</si>
  <si>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</si>
  <si>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</si>
  <si>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</si>
  <si>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</si>
  <si>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</si>
  <si>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</si>
  <si>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</si>
  <si>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</si>
  <si>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</si>
  <si>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</si>
  <si>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</si>
  <si>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</si>
  <si>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</si>
  <si>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</si>
  <si>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</si>
  <si>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</si>
  <si>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</si>
  <si>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</si>
  <si>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</si>
  <si>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</si>
  <si>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</si>
  <si>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</si>
  <si>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</si>
  <si>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</si>
  <si>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</si>
  <si>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</si>
  <si>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</si>
  <si>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</si>
  <si>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</si>
  <si>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</si>
  <si>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</si>
  <si>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</si>
  <si>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</si>
  <si>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</si>
  <si>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</si>
  <si>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</si>
  <si>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</si>
  <si>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</si>
  <si>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</si>
  <si>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</si>
  <si>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</si>
  <si>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</si>
  <si>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</si>
  <si>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</si>
  <si>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</si>
  <si>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</si>
  <si>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</si>
  <si>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</si>
  <si>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</si>
  <si>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</si>
  <si>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</si>
  <si>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</si>
  <si>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</si>
  <si>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</si>
  <si>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</si>
  <si>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</si>
  <si>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</si>
  <si>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</si>
  <si>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</si>
  <si>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</si>
  <si>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</si>
  <si>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</si>
  <si>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</si>
  <si>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</si>
  <si>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</si>
  <si>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</si>
  <si>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</si>
  <si>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</si>
  <si>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</si>
  <si>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</si>
  <si>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</si>
  <si>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</si>
  <si>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</si>
  <si>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</si>
  <si>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</si>
  <si>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</si>
  <si>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</si>
  <si>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</si>
  <si>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</si>
  <si>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</si>
  <si>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</si>
  <si>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</si>
  <si>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</si>
  <si>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</si>
  <si>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</si>
  <si>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</si>
  <si>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</si>
  <si>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</si>
  <si>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</si>
  <si>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</si>
  <si>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</si>
  <si>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</si>
  <si>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</si>
  <si>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</si>
  <si>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</si>
  <si>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</si>
  <si>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</si>
  <si>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</si>
  <si>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</si>
  <si>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</si>
  <si>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</si>
  <si>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</si>
  <si>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</si>
  <si>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</si>
  <si>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</si>
  <si>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</si>
  <si>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</si>
  <si>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</si>
  <si>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</si>
  <si>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</si>
  <si>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</si>
  <si>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</si>
  <si>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</si>
  <si>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</si>
  <si>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</si>
  <si>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</si>
  <si>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</si>
  <si>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</si>
  <si>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</si>
  <si>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</si>
  <si>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</si>
  <si>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</si>
  <si>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</si>
  <si>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</si>
  <si>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</si>
  <si>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</si>
  <si>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</si>
  <si>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</si>
  <si>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</si>
  <si>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</si>
  <si>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</si>
  <si>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</si>
  <si>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</si>
  <si>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</si>
  <si>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</si>
  <si>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</si>
  <si>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</si>
  <si>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</si>
  <si>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</si>
  <si>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</si>
  <si>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</si>
  <si>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</si>
  <si>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</si>
  <si>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</si>
  <si>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</si>
  <si>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</si>
  <si>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</si>
  <si>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</si>
  <si>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</si>
  <si>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</si>
  <si>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</si>
  <si>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</si>
  <si>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</si>
  <si>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</si>
  <si>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</si>
  <si>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</si>
  <si>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</si>
  <si>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</si>
  <si>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</si>
  <si>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</si>
  <si>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</si>
  <si>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</si>
  <si>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</si>
  <si>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</si>
  <si>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</si>
  <si>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</si>
  <si>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</si>
  <si>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</si>
  <si>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</si>
  <si>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</si>
  <si>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</si>
  <si>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</si>
  <si>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</si>
  <si>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</si>
  <si>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</si>
  <si>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</si>
  <si>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</si>
  <si>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</si>
  <si>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</si>
  <si>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</si>
  <si>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</si>
  <si>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</si>
  <si>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</si>
  <si>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</si>
  <si>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</si>
  <si>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</si>
  <si>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</si>
  <si>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</si>
  <si>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</si>
  <si>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</si>
  <si>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</si>
  <si>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</si>
  <si>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</si>
  <si>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</si>
  <si>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</si>
  <si>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</si>
  <si>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</si>
  <si>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</si>
  <si>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</si>
  <si>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</si>
  <si>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</si>
  <si>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</si>
  <si>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</si>
  <si>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</si>
  <si>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</si>
  <si>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</si>
  <si>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</si>
  <si>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</si>
  <si>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</si>
  <si>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</si>
  <si>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</si>
  <si>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</si>
  <si>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</si>
  <si>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</si>
  <si>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</si>
  <si>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</si>
  <si>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</si>
  <si>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</si>
  <si>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</si>
  <si>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</si>
  <si>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</si>
  <si>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</si>
  <si>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</si>
  <si>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</si>
  <si>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</si>
  <si>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</si>
  <si>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</si>
  <si>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</si>
  <si>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</si>
  <si>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</si>
  <si>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</si>
  <si>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</si>
  <si>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</si>
  <si>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</si>
  <si>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</si>
  <si>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</si>
  <si>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</si>
  <si>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</si>
  <si>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</si>
  <si>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</si>
  <si>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</si>
  <si>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</si>
  <si>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</si>
  <si>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</si>
  <si>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</si>
  <si>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</si>
  <si>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</si>
  <si>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</si>
  <si>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</si>
  <si>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</si>
  <si>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</si>
  <si>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</si>
  <si>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</si>
  <si>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</si>
  <si>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</si>
  <si>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</si>
  <si>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</si>
  <si>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</si>
  <si>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</si>
  <si>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</si>
  <si>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</si>
  <si>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</si>
  <si>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</si>
  <si>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</si>
  <si>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</si>
  <si>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</si>
  <si>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</si>
  <si>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</si>
  <si>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</si>
  <si>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</si>
  <si>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</si>
  <si>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</si>
  <si>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</si>
  <si>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</si>
  <si>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</si>
  <si>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</si>
  <si>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</si>
  <si>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</si>
  <si>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</si>
  <si>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</si>
  <si>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</si>
  <si>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</si>
  <si>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</si>
  <si>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</si>
  <si>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</si>
  <si>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</si>
  <si>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</si>
  <si>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</si>
  <si>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</si>
  <si>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</si>
  <si>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</si>
  <si>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</si>
  <si>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</si>
  <si>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</si>
  <si>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</si>
  <si>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</si>
  <si>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</si>
  <si>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</si>
  <si>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</si>
  <si>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</si>
  <si>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</si>
  <si>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</si>
  <si>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</si>
  <si>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</si>
  <si>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</si>
  <si>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</si>
  <si>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</si>
  <si>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</si>
  <si>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</si>
  <si>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</si>
  <si>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</si>
  <si>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</si>
  <si>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</si>
  <si>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</si>
  <si>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</si>
  <si>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</si>
  <si>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</si>
  <si>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</si>
  <si>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</si>
  <si>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</si>
  <si>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</si>
  <si>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</si>
  <si>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</si>
  <si>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</si>
  <si>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</si>
  <si>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</si>
  <si>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</si>
  <si>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</si>
  <si>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</si>
  <si>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</si>
  <si>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</si>
  <si>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</si>
  <si>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</si>
  <si>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</si>
  <si>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</si>
  <si>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</si>
  <si>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</si>
  <si>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</si>
  <si>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</si>
  <si>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</si>
  <si>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</si>
  <si>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</si>
  <si>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</si>
  <si>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</si>
  <si>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</si>
  <si>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</si>
  <si>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</si>
  <si>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</si>
  <si>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</si>
  <si>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</si>
  <si>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</si>
  <si>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</si>
  <si>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</si>
  <si>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</si>
  <si>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</si>
  <si>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</si>
  <si>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</si>
  <si>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</si>
  <si>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</si>
  <si>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</si>
  <si>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</si>
  <si>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</si>
  <si>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</si>
  <si>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</si>
  <si>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</si>
  <si>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</si>
  <si>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</si>
  <si>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</si>
  <si>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</si>
  <si>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</si>
  <si>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</si>
  <si>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</si>
  <si>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</si>
  <si>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</si>
  <si>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</si>
  <si>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</si>
  <si>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</si>
  <si>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</si>
  <si>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</si>
  <si>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</si>
  <si>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</si>
  <si>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</si>
  <si>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</si>
  <si>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</si>
  <si>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</si>
  <si>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</si>
  <si>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</si>
  <si>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</si>
  <si>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</si>
  <si>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</si>
  <si>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</si>
  <si>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</si>
  <si>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</si>
  <si>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Pehlman and Dold, P.C.</t>
  </si>
  <si>
    <t>100 North Amos Avenue</t>
  </si>
  <si>
    <t>Springfield</t>
  </si>
  <si>
    <t>IL</t>
  </si>
  <si>
    <t>(217) 787-0563</t>
  </si>
  <si>
    <t>(217) 787-9266</t>
  </si>
  <si>
    <t>060-004845</t>
  </si>
  <si>
    <t>x</t>
  </si>
  <si>
    <t>Dorinda L Fitzgerald</t>
  </si>
  <si>
    <t>810 4th Street</t>
  </si>
  <si>
    <t>Pawnee, IL</t>
  </si>
  <si>
    <t>62558-9680</t>
  </si>
  <si>
    <t>(217) 625-2471</t>
  </si>
  <si>
    <t>(217) 625-2251</t>
  </si>
  <si>
    <t>dfitzgerald@p-dcpas.com</t>
  </si>
  <si>
    <t>Scott Cameron, Superintendent</t>
  </si>
  <si>
    <t>Part C, #23 - Other than cash basis, the opinion is modified due to the District not maintain a formal record keeping system to track fixed assets used to track fixed assets accounted for in the General Fixed Asset Account Group.</t>
  </si>
  <si>
    <t>2018 General Obligation Bonds</t>
  </si>
  <si>
    <t>Prairie State Insurance Cooperataive</t>
  </si>
  <si>
    <t>Sangamon Area Special Education District</t>
  </si>
  <si>
    <t>CMS Joint Purchasing Agreement</t>
  </si>
  <si>
    <t>Regional Office of Career and Technical Education</t>
  </si>
  <si>
    <t>Truant Alternative - TAOEP</t>
  </si>
  <si>
    <t>ED - Food Service - Supplies and Materials</t>
  </si>
  <si>
    <t>10-2560-400</t>
  </si>
  <si>
    <t>Kohl Wholesale</t>
  </si>
  <si>
    <t>Tort - Property Insurance - Purchased Service</t>
  </si>
  <si>
    <t>Prairie State Insurance Cooperative</t>
  </si>
  <si>
    <t>Education Fund - Acct 190 - Prepaid payroll withholdings</t>
  </si>
  <si>
    <t>Education Fund - Acct 1614 - Cafeteria Pop Rebates</t>
  </si>
  <si>
    <t>Education Fund - Acct 1993 - Graduation Fees  $1,060, Preschool Fees  $6,620</t>
  </si>
  <si>
    <t>Education Fund - Acct 1999 - UCB Royalty $281,  Misc Refunds and Reimbursements  $1,554</t>
  </si>
  <si>
    <t>Operations and Maintenance Fund - Acct 1999 - Sale of Surplus Supplies</t>
  </si>
  <si>
    <t>Education Fund - Acct 1790 - PE Uniforms and Locks $1,361, Misc Student Services Reimbursements  $858</t>
  </si>
  <si>
    <t>Education Fund - Acct 3999 - State Annual Per Capita Grant  $750,  ISBE Other State Programs  $1,082</t>
  </si>
  <si>
    <t>Education Fund - Acct 4399 - Title I School Improvement &amp; Accountability - ISBE Source of Funds 4331</t>
  </si>
  <si>
    <t xml:space="preserve">Sangamon             </t>
  </si>
  <si>
    <t>PDF in Opinion Page with Signature</t>
  </si>
  <si>
    <t>Pawnee CUSD 11</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</si>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</sst>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1895475</xdr:colOff>
          <xdr:row>3</xdr:row>
          <xdr:rowOff>0</xdr:rowOff>
        </xdr:from>
        <xdr:to>
          <xdr:col>1</xdr:col>
          <xdr:colOff>2809875</xdr:colOff>
          <xdr:row>7</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2" t="s">
        <v>405</v>
      </c>
      <c r="J1" s="1983"/>
      <c r="K1" s="1983"/>
      <c r="L1" s="1983"/>
      <c r="M1" s="1983"/>
      <c r="N1" s="1983"/>
      <c r="O1" s="1983"/>
      <c r="P1" s="1983"/>
      <c r="Q1" s="1983"/>
      <c r="R1" s="1983"/>
      <c r="S1" s="1983"/>
    </row>
    <row r="2" spans="1:28" ht="12" customHeight="1" x14ac:dyDescent="0.2">
      <c r="A2" s="47" t="s">
        <v>1993</v>
      </c>
      <c r="D2" s="48"/>
      <c r="I2" s="1984" t="s">
        <v>979</v>
      </c>
      <c r="J2" s="1983"/>
      <c r="K2" s="1983"/>
      <c r="L2" s="1983"/>
      <c r="M2" s="1983"/>
      <c r="N2" s="1983"/>
      <c r="O2" s="1983"/>
      <c r="P2" s="1983"/>
      <c r="Q2" s="1983"/>
      <c r="R2" s="1983"/>
      <c r="S2" s="1983"/>
    </row>
    <row r="3" spans="1:28" ht="12" customHeight="1" x14ac:dyDescent="0.2">
      <c r="A3" s="155" t="s">
        <v>1945</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2071</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2071</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51084011026</v>
      </c>
      <c r="B13" s="2018"/>
      <c r="C13" s="2018"/>
      <c r="D13" s="2018"/>
      <c r="E13" s="2018"/>
      <c r="F13" s="2018"/>
      <c r="G13" s="2018"/>
      <c r="H13" s="2019"/>
      <c r="I13" s="31"/>
      <c r="J13" s="30"/>
      <c r="K13" s="28"/>
      <c r="L13" s="30"/>
      <c r="M13" s="30"/>
      <c r="N13" s="30"/>
      <c r="O13" s="30"/>
      <c r="P13" s="30"/>
      <c r="Q13" s="30"/>
      <c r="R13" s="30"/>
      <c r="S13" s="30"/>
      <c r="T13" s="2022" t="s">
        <v>2064</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2100</v>
      </c>
      <c r="B15" s="2020"/>
      <c r="C15" s="2020"/>
      <c r="D15" s="2020"/>
      <c r="E15" s="2020"/>
      <c r="F15" s="2020"/>
      <c r="G15" s="2020"/>
      <c r="H15" s="2021"/>
      <c r="T15" s="2026" t="s">
        <v>2072</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2102</v>
      </c>
      <c r="B17" s="1977"/>
      <c r="C17" s="1977"/>
      <c r="D17" s="1977"/>
      <c r="E17" s="1977"/>
      <c r="F17" s="1977"/>
      <c r="G17" s="1977"/>
      <c r="H17" s="2002"/>
      <c r="T17" s="2033" t="s">
        <v>2065</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2073</v>
      </c>
      <c r="B19" s="1962"/>
      <c r="C19" s="1962"/>
      <c r="D19" s="1962"/>
      <c r="E19" s="1962"/>
      <c r="F19" s="1962"/>
      <c r="G19" s="1962"/>
      <c r="H19" s="1942"/>
      <c r="I19" s="30"/>
      <c r="J19" s="99"/>
      <c r="K19" s="40"/>
      <c r="L19" s="38"/>
      <c r="M19" s="112" t="s">
        <v>315</v>
      </c>
      <c r="P19" s="27"/>
      <c r="Q19" s="27"/>
      <c r="R19" s="27"/>
      <c r="S19" s="31"/>
      <c r="T19" s="2016" t="s">
        <v>2066</v>
      </c>
      <c r="U19" s="1941"/>
      <c r="V19" s="1941"/>
      <c r="W19" s="1942"/>
      <c r="X19" s="2031" t="s">
        <v>2067</v>
      </c>
      <c r="Y19" s="2032"/>
      <c r="Z19" s="2029">
        <v>62702</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2074</v>
      </c>
      <c r="B21" s="1941"/>
      <c r="C21" s="1941"/>
      <c r="D21" s="1941"/>
      <c r="E21" s="1941"/>
      <c r="F21" s="1941"/>
      <c r="G21" s="1941"/>
      <c r="H21" s="1942"/>
      <c r="I21" s="1996" t="s">
        <v>678</v>
      </c>
      <c r="J21" s="1991"/>
      <c r="K21" s="1991"/>
      <c r="L21" s="1991"/>
      <c r="M21" s="1991"/>
      <c r="N21" s="1991"/>
      <c r="O21" s="1991"/>
      <c r="P21" s="1991"/>
      <c r="Q21" s="1991"/>
      <c r="R21" s="1991"/>
      <c r="S21" s="1997"/>
      <c r="T21" s="2040" t="s">
        <v>2068</v>
      </c>
      <c r="U21" s="2041"/>
      <c r="V21" s="2041"/>
      <c r="W21" s="2041"/>
      <c r="X21" s="2046" t="s">
        <v>2069</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c r="B23" s="1994"/>
      <c r="C23" s="1994"/>
      <c r="D23" s="1994"/>
      <c r="E23" s="1994"/>
      <c r="F23" s="1994"/>
      <c r="G23" s="1994"/>
      <c r="H23" s="1995"/>
      <c r="T23" s="1976" t="s">
        <v>2070</v>
      </c>
      <c r="U23" s="2039"/>
      <c r="V23" s="2039"/>
      <c r="W23" s="2039"/>
      <c r="X23" s="2043">
        <v>43831</v>
      </c>
      <c r="Y23" s="2044"/>
      <c r="Z23" s="2044"/>
      <c r="AA23" s="2045"/>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t="s">
        <v>2075</v>
      </c>
      <c r="B25" s="1941"/>
      <c r="C25" s="1941"/>
      <c r="D25" s="1941"/>
      <c r="E25" s="1941"/>
      <c r="F25" s="1941"/>
      <c r="G25" s="1941"/>
      <c r="H25" s="1942"/>
      <c r="I25" s="113"/>
      <c r="J25" s="1965"/>
      <c r="K25" s="1965"/>
      <c r="L25" s="1965"/>
      <c r="M25" s="1965"/>
      <c r="N25" s="1965"/>
      <c r="O25" s="1965"/>
      <c r="P25" s="1965"/>
      <c r="Q25" s="1965"/>
      <c r="R25" s="1965"/>
      <c r="S25" s="1966"/>
      <c r="T25" s="2036" t="s">
        <v>2078</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2071</v>
      </c>
      <c r="C29" s="124" t="s">
        <v>820</v>
      </c>
      <c r="D29" s="114"/>
      <c r="E29" s="136"/>
      <c r="F29" s="141" t="s">
        <v>1316</v>
      </c>
      <c r="G29" s="114"/>
      <c r="I29" s="54"/>
      <c r="J29" s="102"/>
      <c r="K29" s="28" t="s">
        <v>576</v>
      </c>
      <c r="L29" s="148" t="s">
        <v>2071</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2079</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2076</v>
      </c>
      <c r="B42" s="1960"/>
      <c r="C42" s="1961"/>
      <c r="D42" s="1959" t="s">
        <v>2077</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13" sqref="T13:AA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D1" sqref="D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2071</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2080</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2064</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2101</v>
      </c>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T13" sqref="T13:AA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79975893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4.9969999999999997E-3</v>
      </c>
      <c r="G10" s="356" t="s">
        <v>1005</v>
      </c>
      <c r="H10" s="355">
        <v>2E-3</v>
      </c>
      <c r="I10" s="356" t="s">
        <v>1006</v>
      </c>
      <c r="J10" s="1732">
        <f>ROUND(D10+F10+H10,5)</f>
        <v>2.5399999999999999E-2</v>
      </c>
      <c r="K10" s="222"/>
      <c r="L10" s="355">
        <v>4.08E-4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4913272</v>
      </c>
      <c r="E16" s="356"/>
      <c r="F16" s="1733">
        <f>SUM('Acct Summary 7-8'!C17,'Acct Summary 7-8'!D17,'Acct Summary 7-8'!F17)</f>
        <v>5306196</v>
      </c>
      <c r="G16" s="356"/>
      <c r="H16" s="1733">
        <f>SUM(D16-F16)</f>
        <v>-392924</v>
      </c>
      <c r="I16" s="222"/>
      <c r="J16" s="1733">
        <f>SUM('Acct Summary 7-8'!C81,'Acct Summary 7-8'!D81,'Acct Summary 7-8'!F81,'Acct Summary 7-8'!I81)</f>
        <v>5093589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11036673.234000001</v>
      </c>
      <c r="I31" s="368"/>
      <c r="J31" s="222"/>
      <c r="K31" s="222"/>
      <c r="L31" s="222"/>
      <c r="M31" s="222"/>
    </row>
    <row r="32" spans="1:13" ht="13.35" customHeight="1" x14ac:dyDescent="0.2">
      <c r="B32" s="369" t="s">
        <v>2071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697000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13" sqref="T13:AA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Pawnee CUSD 11</v>
      </c>
      <c r="E7" s="391"/>
      <c r="G7" s="252"/>
      <c r="H7" s="387"/>
      <c r="I7" s="387"/>
      <c r="J7" s="387"/>
      <c r="K7" s="387"/>
      <c r="L7" s="329"/>
      <c r="M7" s="329"/>
      <c r="N7" s="329"/>
      <c r="O7" s="329"/>
      <c r="P7" s="329"/>
    </row>
    <row r="8" spans="1:18" ht="12.75" x14ac:dyDescent="0.2">
      <c r="A8" s="329"/>
      <c r="B8" s="329"/>
      <c r="C8" s="389" t="s">
        <v>1125</v>
      </c>
      <c r="D8" s="392">
        <f>COVER!A13</f>
        <v>51084011026</v>
      </c>
      <c r="E8" s="393"/>
      <c r="G8" s="329"/>
      <c r="H8" s="329"/>
      <c r="I8" s="329"/>
      <c r="J8" s="329"/>
      <c r="K8" s="329"/>
      <c r="L8" s="329"/>
      <c r="M8" s="329"/>
      <c r="N8" s="329"/>
      <c r="O8" s="329"/>
      <c r="P8" s="329"/>
    </row>
    <row r="9" spans="1:18" ht="12.75" x14ac:dyDescent="0.2">
      <c r="A9" s="329"/>
      <c r="B9" s="329"/>
      <c r="C9" s="389" t="s">
        <v>713</v>
      </c>
      <c r="D9" s="394" t="str">
        <f>COVER!A15</f>
        <v xml:space="preserve">Sangamon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5019856</v>
      </c>
      <c r="I12" s="404"/>
      <c r="J12" s="404"/>
      <c r="K12" s="405">
        <f>TRUNC((H12/H13*100000),5)/100000</f>
        <v>1.0216930794000001</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4913272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5306196</v>
      </c>
      <c r="I17" s="404"/>
      <c r="J17" s="416"/>
      <c r="K17" s="405">
        <f>TRUNC((H17/H18*100000),5)/100000</f>
        <v>1.0799719616000001</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4913272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11.525202799999999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4981120</v>
      </c>
      <c r="I24" s="422"/>
      <c r="J24" s="422"/>
      <c r="K24" s="423">
        <f>TRUNC(((H24/H25*100000)/100000),2)</f>
        <v>337.94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14739.43333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1726679.52987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697000</v>
      </c>
      <c r="I32" s="420"/>
      <c r="J32" s="420"/>
      <c r="K32" s="423">
        <f>TRUNC(100-((((H32/H33*100))*100)/100),2)</f>
        <v>93.68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11036673.234000001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4" activePane="bottomLeft" state="frozen"/>
      <selection activeCell="T13" sqref="T13:AA13"/>
      <selection pane="bottomLeft" activeCell="T13" sqref="T13:AA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2244447</v>
      </c>
      <c r="D4" s="466">
        <v>719053</v>
      </c>
      <c r="E4" s="466">
        <v>44061</v>
      </c>
      <c r="F4" s="466">
        <v>289000</v>
      </c>
      <c r="G4" s="466">
        <v>118630</v>
      </c>
      <c r="H4" s="466">
        <v>12348</v>
      </c>
      <c r="I4" s="466">
        <v>30465</v>
      </c>
      <c r="J4" s="467">
        <v>36267</v>
      </c>
      <c r="K4" s="466">
        <v>210224</v>
      </c>
      <c r="L4" s="466">
        <v>214079</v>
      </c>
      <c r="M4" s="468"/>
      <c r="N4" s="469"/>
    </row>
    <row r="5" spans="1:14" x14ac:dyDescent="0.2">
      <c r="A5" s="463" t="s">
        <v>992</v>
      </c>
      <c r="B5" s="470">
        <v>120</v>
      </c>
      <c r="C5" s="465">
        <v>696384</v>
      </c>
      <c r="D5" s="466"/>
      <c r="E5" s="466"/>
      <c r="F5" s="466">
        <v>214079</v>
      </c>
      <c r="G5" s="466"/>
      <c r="H5" s="466"/>
      <c r="I5" s="466">
        <v>787692</v>
      </c>
      <c r="J5" s="467"/>
      <c r="K5" s="471">
        <v>249984</v>
      </c>
      <c r="L5" s="472">
        <v>708</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v>110000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2469</v>
      </c>
      <c r="D12" s="466"/>
      <c r="E12" s="466"/>
      <c r="F12" s="466"/>
      <c r="G12" s="466"/>
      <c r="H12" s="466"/>
      <c r="I12" s="466"/>
      <c r="J12" s="467"/>
      <c r="K12" s="466"/>
      <c r="L12" s="466"/>
      <c r="M12" s="469"/>
      <c r="N12" s="469"/>
    </row>
    <row r="13" spans="1:14" ht="13.5" customHeight="1" thickBot="1" x14ac:dyDescent="0.25">
      <c r="A13" s="1736" t="s">
        <v>644</v>
      </c>
      <c r="B13" s="1709"/>
      <c r="C13" s="1737">
        <f>SUM(C4:C12)</f>
        <v>2943300</v>
      </c>
      <c r="D13" s="1737">
        <f t="shared" ref="D13:L13" si="0">SUM(D4:D12)</f>
        <v>719053</v>
      </c>
      <c r="E13" s="1737">
        <f t="shared" si="0"/>
        <v>44061</v>
      </c>
      <c r="F13" s="1737">
        <f t="shared" si="0"/>
        <v>503079</v>
      </c>
      <c r="G13" s="1737">
        <f t="shared" si="0"/>
        <v>118630</v>
      </c>
      <c r="H13" s="1737">
        <f t="shared" si="0"/>
        <v>12348</v>
      </c>
      <c r="I13" s="1737">
        <f t="shared" si="0"/>
        <v>928157</v>
      </c>
      <c r="J13" s="1737">
        <f t="shared" si="0"/>
        <v>36267</v>
      </c>
      <c r="K13" s="1737">
        <f t="shared" si="0"/>
        <v>460208</v>
      </c>
      <c r="L13" s="1737">
        <f t="shared" si="0"/>
        <v>214787</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68728</v>
      </c>
      <c r="N16" s="484"/>
    </row>
    <row r="17" spans="1:14" s="485" customFormat="1" ht="12.75" customHeight="1" x14ac:dyDescent="0.2">
      <c r="A17" s="482" t="s">
        <v>1403</v>
      </c>
      <c r="B17" s="483">
        <v>230</v>
      </c>
      <c r="C17" s="477"/>
      <c r="D17" s="477"/>
      <c r="E17" s="477"/>
      <c r="F17" s="477"/>
      <c r="G17" s="477"/>
      <c r="H17" s="477"/>
      <c r="I17" s="477"/>
      <c r="J17" s="477"/>
      <c r="K17" s="477"/>
      <c r="L17" s="477"/>
      <c r="M17" s="467">
        <v>8961280</v>
      </c>
      <c r="N17" s="484"/>
    </row>
    <row r="18" spans="1:14" s="485" customFormat="1" ht="12.75" customHeight="1" x14ac:dyDescent="0.2">
      <c r="A18" s="482" t="s">
        <v>1404</v>
      </c>
      <c r="B18" s="483">
        <v>240</v>
      </c>
      <c r="C18" s="477"/>
      <c r="D18" s="477"/>
      <c r="E18" s="477"/>
      <c r="F18" s="477"/>
      <c r="G18" s="477"/>
      <c r="H18" s="477"/>
      <c r="I18" s="477"/>
      <c r="J18" s="477"/>
      <c r="K18" s="477"/>
      <c r="L18" s="477"/>
      <c r="M18" s="467">
        <v>726464</v>
      </c>
      <c r="N18" s="484"/>
    </row>
    <row r="19" spans="1:14" s="485" customFormat="1" ht="12.75" customHeight="1" x14ac:dyDescent="0.2">
      <c r="A19" s="482" t="s">
        <v>1405</v>
      </c>
      <c r="B19" s="483">
        <v>250</v>
      </c>
      <c r="C19" s="477"/>
      <c r="D19" s="477"/>
      <c r="E19" s="477"/>
      <c r="F19" s="477"/>
      <c r="G19" s="477"/>
      <c r="H19" s="477"/>
      <c r="I19" s="477"/>
      <c r="J19" s="477"/>
      <c r="K19" s="477"/>
      <c r="L19" s="477"/>
      <c r="M19" s="467">
        <v>948908</v>
      </c>
      <c r="N19" s="484"/>
    </row>
    <row r="20" spans="1:14" s="485" customFormat="1" ht="12.75" customHeight="1" x14ac:dyDescent="0.2">
      <c r="A20" s="482" t="s">
        <v>1406</v>
      </c>
      <c r="B20" s="483">
        <v>260</v>
      </c>
      <c r="C20" s="477"/>
      <c r="D20" s="477"/>
      <c r="E20" s="477"/>
      <c r="F20" s="477"/>
      <c r="G20" s="477"/>
      <c r="H20" s="477"/>
      <c r="I20" s="477"/>
      <c r="J20" s="477"/>
      <c r="K20" s="477"/>
      <c r="L20" s="477"/>
      <c r="M20" s="467">
        <v>8760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44061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652939</v>
      </c>
    </row>
    <row r="23" spans="1:14" ht="13.5" customHeight="1" thickBot="1" x14ac:dyDescent="0.25">
      <c r="A23" s="1736" t="s">
        <v>643</v>
      </c>
      <c r="B23" s="1741"/>
      <c r="C23" s="468"/>
      <c r="D23" s="468"/>
      <c r="E23" s="468"/>
      <c r="F23" s="468"/>
      <c r="G23" s="468"/>
      <c r="H23" s="468"/>
      <c r="I23" s="468"/>
      <c r="J23" s="468"/>
      <c r="K23" s="468"/>
      <c r="L23" s="468"/>
      <c r="M23" s="1688">
        <f>SUM(M15:M22)</f>
        <v>10714140</v>
      </c>
      <c r="N23" s="1688">
        <f>SUM(N21:N22)</f>
        <v>697000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v>110000</v>
      </c>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214787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110000</v>
      </c>
      <c r="K34" s="1740">
        <f t="shared" si="1"/>
        <v>0</v>
      </c>
      <c r="L34" s="1721">
        <f>SUM(L33)</f>
        <v>214787</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697000</v>
      </c>
    </row>
    <row r="37" spans="1:14" ht="13.5" thickBot="1" x14ac:dyDescent="0.25">
      <c r="A37" s="1736" t="s">
        <v>653</v>
      </c>
      <c r="B37" s="1741"/>
      <c r="C37" s="477"/>
      <c r="D37" s="477"/>
      <c r="E37" s="477"/>
      <c r="F37" s="477"/>
      <c r="G37" s="477"/>
      <c r="H37" s="477"/>
      <c r="I37" s="477"/>
      <c r="J37" s="477"/>
      <c r="K37" s="477"/>
      <c r="L37" s="480"/>
      <c r="M37" s="468"/>
      <c r="N37" s="1688">
        <f>SUM(N36:N36)</f>
        <v>697000</v>
      </c>
    </row>
    <row r="38" spans="1:14" s="329" customFormat="1" ht="13.5" customHeight="1" thickTop="1" x14ac:dyDescent="0.2">
      <c r="A38" s="496" t="s">
        <v>420</v>
      </c>
      <c r="B38" s="483">
        <v>714</v>
      </c>
      <c r="C38" s="466">
        <v>7878</v>
      </c>
      <c r="D38" s="466"/>
      <c r="E38" s="466"/>
      <c r="F38" s="466"/>
      <c r="G38" s="466"/>
      <c r="H38" s="466">
        <v>12348</v>
      </c>
      <c r="I38" s="466"/>
      <c r="J38" s="467"/>
      <c r="K38" s="466">
        <v>460208</v>
      </c>
      <c r="L38" s="481"/>
      <c r="M38" s="497"/>
      <c r="N38" s="497"/>
    </row>
    <row r="39" spans="1:14" s="329" customFormat="1" ht="13.5" customHeight="1" x14ac:dyDescent="0.2">
      <c r="A39" s="496" t="s">
        <v>342</v>
      </c>
      <c r="B39" s="483">
        <v>730</v>
      </c>
      <c r="C39" s="466">
        <v>2935422</v>
      </c>
      <c r="D39" s="466">
        <v>719053</v>
      </c>
      <c r="E39" s="466">
        <v>44061</v>
      </c>
      <c r="F39" s="466">
        <v>503079</v>
      </c>
      <c r="G39" s="466">
        <v>118630</v>
      </c>
      <c r="H39" s="466"/>
      <c r="I39" s="466">
        <v>928157</v>
      </c>
      <c r="J39" s="467">
        <v>-73733</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10714140</v>
      </c>
      <c r="N40" s="497"/>
    </row>
    <row r="41" spans="1:14" ht="13.5" customHeight="1" thickBot="1" x14ac:dyDescent="0.25">
      <c r="A41" s="1736" t="s">
        <v>655</v>
      </c>
      <c r="B41" s="1706"/>
      <c r="C41" s="1688">
        <f>(SUM(C34,C37,C38,C39))</f>
        <v>2943300</v>
      </c>
      <c r="D41" s="1688">
        <f t="shared" ref="D41:L41" si="2">SUM(D34,D37,D38:D39)</f>
        <v>719053</v>
      </c>
      <c r="E41" s="1688">
        <f t="shared" si="2"/>
        <v>44061</v>
      </c>
      <c r="F41" s="1688">
        <f t="shared" si="2"/>
        <v>503079</v>
      </c>
      <c r="G41" s="1688">
        <f t="shared" si="2"/>
        <v>118630</v>
      </c>
      <c r="H41" s="1688">
        <f t="shared" si="2"/>
        <v>12348</v>
      </c>
      <c r="I41" s="1688">
        <f t="shared" si="2"/>
        <v>928157</v>
      </c>
      <c r="J41" s="1688">
        <f t="shared" si="2"/>
        <v>36267</v>
      </c>
      <c r="K41" s="1688">
        <f t="shared" si="2"/>
        <v>460208</v>
      </c>
      <c r="L41" s="1688">
        <f t="shared" si="2"/>
        <v>214787</v>
      </c>
      <c r="M41" s="1688">
        <f>SUM(M40)</f>
        <v>10714140</v>
      </c>
      <c r="N41" s="1688">
        <f>SUM(N37)</f>
        <v>697000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13" sqref="T13:AA13"/>
      <selection pane="bottomLeft" activeCell="T13" sqref="T13:AA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3337201</v>
      </c>
      <c r="D4" s="1742">
        <f>'Revenues 9-14'!D109</f>
        <v>435551</v>
      </c>
      <c r="E4" s="1742">
        <f>'Revenues 9-14'!E109</f>
        <v>146476</v>
      </c>
      <c r="F4" s="1742">
        <f>'Revenues 9-14'!F109</f>
        <v>127154</v>
      </c>
      <c r="G4" s="1742">
        <f>'Revenues 9-14'!G109</f>
        <v>240979</v>
      </c>
      <c r="H4" s="1742">
        <f>'Revenues 9-14'!H109</f>
        <v>13748</v>
      </c>
      <c r="I4" s="1742">
        <f>'Revenues 9-14'!I109</f>
        <v>36817</v>
      </c>
      <c r="J4" s="1742">
        <f>'Revenues 9-14'!J109</f>
        <v>433376</v>
      </c>
      <c r="K4" s="1742">
        <f>'Revenues 9-14'!K109</f>
        <v>33680</v>
      </c>
      <c r="L4" s="347"/>
    </row>
    <row r="5" spans="1:13" ht="15.75" customHeight="1" x14ac:dyDescent="0.2">
      <c r="A5" s="1576" t="s">
        <v>1500</v>
      </c>
      <c r="B5" s="1577">
        <v>2000</v>
      </c>
      <c r="C5" s="1743">
        <f>'Revenues 9-14'!C114</f>
        <v>73654</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642722</v>
      </c>
      <c r="D6" s="1743">
        <f>'Revenues 9-14'!D170</f>
        <v>0</v>
      </c>
      <c r="E6" s="1743">
        <f>'Revenues 9-14'!E170</f>
        <v>0</v>
      </c>
      <c r="F6" s="1743">
        <f>'Revenues 9-14'!F170</f>
        <v>33076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227097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4280674</v>
      </c>
      <c r="D8" s="1688">
        <f t="shared" ref="D8:K8" si="0">SUM(D4:D7)</f>
        <v>435551</v>
      </c>
      <c r="E8" s="1688">
        <f t="shared" si="0"/>
        <v>146476</v>
      </c>
      <c r="F8" s="1688">
        <f t="shared" si="0"/>
        <v>160230</v>
      </c>
      <c r="G8" s="1688">
        <f t="shared" si="0"/>
        <v>240979</v>
      </c>
      <c r="H8" s="1688">
        <f t="shared" si="0"/>
        <v>13748</v>
      </c>
      <c r="I8" s="1688">
        <f t="shared" si="0"/>
        <v>36817</v>
      </c>
      <c r="J8" s="1688">
        <f t="shared" si="0"/>
        <v>433376</v>
      </c>
      <c r="K8" s="1688">
        <f t="shared" si="0"/>
        <v>33680</v>
      </c>
      <c r="L8" s="347"/>
    </row>
    <row r="9" spans="1:13" ht="15.75" thickTop="1" x14ac:dyDescent="0.2">
      <c r="A9" s="514" t="s">
        <v>1653</v>
      </c>
      <c r="B9" s="515">
        <v>3998</v>
      </c>
      <c r="C9" s="481">
        <v>2148234</v>
      </c>
      <c r="D9" s="516"/>
      <c r="E9" s="481"/>
      <c r="F9" s="481"/>
      <c r="G9" s="517"/>
      <c r="H9" s="481"/>
      <c r="I9" s="509" t="s">
        <v>1169</v>
      </c>
      <c r="J9" s="478"/>
      <c r="K9" s="481"/>
      <c r="L9" s="347"/>
    </row>
    <row r="10" spans="1:13" s="519" customFormat="1" ht="13.5" thickBot="1" x14ac:dyDescent="0.25">
      <c r="A10" s="1736" t="s">
        <v>1173</v>
      </c>
      <c r="B10" s="1709"/>
      <c r="C10" s="1688">
        <f>SUM(C8:C9)</f>
        <v>6428908</v>
      </c>
      <c r="D10" s="1688">
        <f t="shared" ref="D10:K10" si="1">SUM(D8:D9)</f>
        <v>435551</v>
      </c>
      <c r="E10" s="1688">
        <f t="shared" si="1"/>
        <v>146476</v>
      </c>
      <c r="F10" s="1688">
        <f t="shared" si="1"/>
        <v>160230</v>
      </c>
      <c r="G10" s="1688">
        <f t="shared" si="1"/>
        <v>240979</v>
      </c>
      <c r="H10" s="1688">
        <f t="shared" si="1"/>
        <v>13748</v>
      </c>
      <c r="I10" s="1688">
        <f t="shared" si="1"/>
        <v>36817</v>
      </c>
      <c r="J10" s="1688">
        <f t="shared" si="1"/>
        <v>433376</v>
      </c>
      <c r="K10" s="1688">
        <f t="shared" si="1"/>
        <v>33680</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3120632</v>
      </c>
      <c r="D12" s="520" t="s">
        <v>1169</v>
      </c>
      <c r="E12" s="468" t="s">
        <v>1169</v>
      </c>
      <c r="F12" s="468" t="s">
        <v>1169</v>
      </c>
      <c r="G12" s="1742">
        <f>'Expenditures 15-22'!K229</f>
        <v>132469</v>
      </c>
      <c r="H12" s="521"/>
      <c r="I12" s="468" t="s">
        <v>1169</v>
      </c>
      <c r="J12" s="468" t="s">
        <v>1169</v>
      </c>
      <c r="K12" s="521" t="s">
        <v>1169</v>
      </c>
      <c r="L12" s="347"/>
    </row>
    <row r="13" spans="1:13" ht="15.75" customHeight="1" x14ac:dyDescent="0.2">
      <c r="A13" s="1576" t="s">
        <v>457</v>
      </c>
      <c r="B13" s="1578">
        <v>2000</v>
      </c>
      <c r="C13" s="1743">
        <f>'Expenditures 15-22'!K74</f>
        <v>906431</v>
      </c>
      <c r="D13" s="1743">
        <f>'Expenditures 15-22'!K129</f>
        <v>473288</v>
      </c>
      <c r="E13" s="469" t="s">
        <v>1169</v>
      </c>
      <c r="F13" s="1743">
        <f>'Expenditures 15-22'!K184</f>
        <v>118834</v>
      </c>
      <c r="G13" s="1743">
        <f>'Expenditures 15-22'!K279</f>
        <v>130726</v>
      </c>
      <c r="H13" s="1743">
        <f>'Expenditures 15-22'!K303</f>
        <v>15812</v>
      </c>
      <c r="I13" s="468" t="s">
        <v>1169</v>
      </c>
      <c r="J13" s="1743">
        <f>'Expenditures 15-22'!K330</f>
        <v>628081</v>
      </c>
      <c r="K13" s="1747">
        <f>'Expenditures 15-22'!K352</f>
        <v>79598</v>
      </c>
      <c r="L13" s="347"/>
    </row>
    <row r="14" spans="1:13" ht="15.75" customHeight="1" x14ac:dyDescent="0.2">
      <c r="A14" s="1576" t="s">
        <v>449</v>
      </c>
      <c r="B14" s="1578">
        <v>3000</v>
      </c>
      <c r="C14" s="1743">
        <f>'Expenditures 15-22'!K75</f>
        <v>50135</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636876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185244</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4714074</v>
      </c>
      <c r="D17" s="1688">
        <f t="shared" si="2"/>
        <v>473288</v>
      </c>
      <c r="E17" s="1688">
        <f t="shared" si="2"/>
        <v>185244</v>
      </c>
      <c r="F17" s="1688">
        <f t="shared" si="2"/>
        <v>118834</v>
      </c>
      <c r="G17" s="1688">
        <f t="shared" si="2"/>
        <v>263195</v>
      </c>
      <c r="H17" s="1688">
        <f t="shared" si="2"/>
        <v>15812</v>
      </c>
      <c r="I17" s="468"/>
      <c r="J17" s="1688">
        <f>SUM(J12:J16)</f>
        <v>628081</v>
      </c>
      <c r="K17" s="1688">
        <f>SUM(K12:K16)</f>
        <v>79598</v>
      </c>
      <c r="L17" s="347"/>
    </row>
    <row r="18" spans="1:12" ht="15" customHeight="1" thickTop="1" x14ac:dyDescent="0.2">
      <c r="A18" s="1744" t="s">
        <v>1654</v>
      </c>
      <c r="B18" s="1745">
        <v>4180</v>
      </c>
      <c r="C18" s="1742">
        <f t="shared" ref="C18:H18" si="3">C9</f>
        <v>2148234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6862308</v>
      </c>
      <c r="D19" s="1688">
        <f t="shared" si="4"/>
        <v>473288</v>
      </c>
      <c r="E19" s="1688">
        <f t="shared" si="4"/>
        <v>185244</v>
      </c>
      <c r="F19" s="1688">
        <f t="shared" si="4"/>
        <v>118834</v>
      </c>
      <c r="G19" s="1688">
        <f t="shared" si="4"/>
        <v>263195</v>
      </c>
      <c r="H19" s="1688">
        <f t="shared" si="4"/>
        <v>15812</v>
      </c>
      <c r="I19" s="468"/>
      <c r="J19" s="1688">
        <f>SUM(J17:J18)</f>
        <v>628081</v>
      </c>
      <c r="K19" s="1688">
        <f>SUM(K17:K18)</f>
        <v>79598</v>
      </c>
      <c r="L19" s="347"/>
    </row>
    <row r="20" spans="1:12" ht="16.5" thickTop="1" thickBot="1" x14ac:dyDescent="0.25">
      <c r="A20" s="2125" t="s">
        <v>1655</v>
      </c>
      <c r="B20" s="2126"/>
      <c r="C20" s="1746">
        <f>C8-C17</f>
        <v>-433400</v>
      </c>
      <c r="D20" s="1746">
        <f t="shared" ref="D20:K20" si="5">D8-D17</f>
        <v>-37737</v>
      </c>
      <c r="E20" s="1746">
        <f t="shared" si="5"/>
        <v>-38768</v>
      </c>
      <c r="F20" s="1746">
        <f t="shared" si="5"/>
        <v>41396</v>
      </c>
      <c r="G20" s="1746">
        <f t="shared" si="5"/>
        <v>-22216</v>
      </c>
      <c r="H20" s="1746">
        <f t="shared" si="5"/>
        <v>-2064</v>
      </c>
      <c r="I20" s="1746">
        <f t="shared" si="5"/>
        <v>36817</v>
      </c>
      <c r="J20" s="1746">
        <f t="shared" si="5"/>
        <v>-194705</v>
      </c>
      <c r="K20" s="1746">
        <f t="shared" si="5"/>
        <v>-45918</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v>3666</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3666</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3666</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3666</v>
      </c>
      <c r="J76" s="1703">
        <f t="shared" si="7"/>
        <v>0</v>
      </c>
      <c r="K76" s="1703">
        <f t="shared" si="7"/>
        <v>0</v>
      </c>
      <c r="L76" s="524"/>
    </row>
    <row r="77" spans="1:12" ht="14.25" thickTop="1" thickBot="1" x14ac:dyDescent="0.25">
      <c r="A77" s="2117" t="s">
        <v>1177</v>
      </c>
      <c r="B77" s="2118"/>
      <c r="C77" s="1703">
        <f t="shared" ref="C77:K77" si="8">C44-C76</f>
        <v>3666</v>
      </c>
      <c r="D77" s="1703">
        <f t="shared" si="8"/>
        <v>0</v>
      </c>
      <c r="E77" s="1703">
        <f t="shared" si="8"/>
        <v>0</v>
      </c>
      <c r="F77" s="1703">
        <f t="shared" si="8"/>
        <v>0</v>
      </c>
      <c r="G77" s="1703">
        <f t="shared" si="8"/>
        <v>0</v>
      </c>
      <c r="H77" s="1703">
        <f t="shared" si="8"/>
        <v>0</v>
      </c>
      <c r="I77" s="1703">
        <f t="shared" si="8"/>
        <v>-3666</v>
      </c>
      <c r="J77" s="1703">
        <f t="shared" si="8"/>
        <v>0</v>
      </c>
      <c r="K77" s="1703">
        <f t="shared" si="8"/>
        <v>0</v>
      </c>
      <c r="L77" s="347"/>
    </row>
    <row r="78" spans="1:12" ht="21.75" customHeight="1" thickTop="1" thickBot="1" x14ac:dyDescent="0.25">
      <c r="A78" s="2121" t="s">
        <v>597</v>
      </c>
      <c r="B78" s="2122"/>
      <c r="C78" s="1702">
        <f t="shared" ref="C78:K78" si="9">C20+C77</f>
        <v>-429734</v>
      </c>
      <c r="D78" s="1702">
        <f t="shared" si="9"/>
        <v>-37737</v>
      </c>
      <c r="E78" s="1702">
        <f t="shared" si="9"/>
        <v>-38768</v>
      </c>
      <c r="F78" s="1702">
        <f t="shared" si="9"/>
        <v>41396</v>
      </c>
      <c r="G78" s="1702">
        <f t="shared" si="9"/>
        <v>-22216</v>
      </c>
      <c r="H78" s="1702">
        <f t="shared" si="9"/>
        <v>-2064</v>
      </c>
      <c r="I78" s="1702">
        <f t="shared" si="9"/>
        <v>33151</v>
      </c>
      <c r="J78" s="1702">
        <f t="shared" si="9"/>
        <v>-194705</v>
      </c>
      <c r="K78" s="1702">
        <f t="shared" si="9"/>
        <v>-45918</v>
      </c>
      <c r="L78" s="533"/>
    </row>
    <row r="79" spans="1:12" ht="13.5" thickTop="1" x14ac:dyDescent="0.2">
      <c r="A79" s="1494" t="s">
        <v>1949</v>
      </c>
      <c r="B79" s="534"/>
      <c r="C79" s="478">
        <v>3373034</v>
      </c>
      <c r="D79" s="535">
        <v>756790</v>
      </c>
      <c r="E79" s="535">
        <v>82829</v>
      </c>
      <c r="F79" s="535">
        <v>461683</v>
      </c>
      <c r="G79" s="535">
        <v>140846</v>
      </c>
      <c r="H79" s="535">
        <v>14412</v>
      </c>
      <c r="I79" s="535">
        <v>895006</v>
      </c>
      <c r="J79" s="535">
        <v>120972</v>
      </c>
      <c r="K79" s="535">
        <v>506126</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1950</v>
      </c>
      <c r="B81" s="2120"/>
      <c r="C81" s="1688">
        <f>(SUM(C78:C80))</f>
        <v>2943300</v>
      </c>
      <c r="D81" s="1688">
        <f>SUM(D78:D80)</f>
        <v>719053</v>
      </c>
      <c r="E81" s="1688">
        <f t="shared" ref="E81:K81" si="10">SUM(E78:E80)</f>
        <v>44061</v>
      </c>
      <c r="F81" s="1688">
        <f t="shared" si="10"/>
        <v>503079</v>
      </c>
      <c r="G81" s="1688">
        <f t="shared" si="10"/>
        <v>118630</v>
      </c>
      <c r="H81" s="1688">
        <f t="shared" si="10"/>
        <v>12348</v>
      </c>
      <c r="I81" s="1688">
        <f t="shared" si="10"/>
        <v>928157</v>
      </c>
      <c r="J81" s="1688">
        <f t="shared" si="10"/>
        <v>-73733</v>
      </c>
      <c r="K81" s="1688">
        <f t="shared" si="10"/>
        <v>460208</v>
      </c>
      <c r="L81" s="347"/>
    </row>
    <row r="82" spans="1:12" ht="0.75" customHeight="1" thickTop="1" thickBot="1" x14ac:dyDescent="0.25">
      <c r="A82" s="536" t="s">
        <v>343</v>
      </c>
      <c r="B82" s="537"/>
      <c r="C82" s="538">
        <f>(C81-C79)</f>
        <v>-429734</v>
      </c>
      <c r="D82" s="538">
        <f t="shared" ref="D82:K82" si="11">(D81-D79)</f>
        <v>-37737</v>
      </c>
      <c r="E82" s="538">
        <f t="shared" si="11"/>
        <v>-38768</v>
      </c>
      <c r="F82" s="538">
        <f t="shared" si="11"/>
        <v>41396</v>
      </c>
      <c r="G82" s="538">
        <f t="shared" si="11"/>
        <v>-22216</v>
      </c>
      <c r="H82" s="538">
        <f t="shared" si="11"/>
        <v>-2064</v>
      </c>
      <c r="I82" s="538">
        <f t="shared" si="11"/>
        <v>33151</v>
      </c>
      <c r="J82" s="538">
        <f t="shared" si="11"/>
        <v>-194705</v>
      </c>
      <c r="K82" s="538">
        <f t="shared" si="11"/>
        <v>-45918</v>
      </c>
    </row>
    <row r="83" spans="1:12" ht="14.25" hidden="1" thickTop="1" thickBot="1" x14ac:dyDescent="0.25">
      <c r="A83" s="539" t="s">
        <v>344</v>
      </c>
      <c r="B83" s="464"/>
      <c r="C83" s="540">
        <f>C82/C81</f>
        <v>-0.14600414500730471</v>
      </c>
      <c r="D83" s="540">
        <f t="shared" ref="D83:K83" si="12">D82/D81</f>
        <v>-5.2481527787242389E-2</v>
      </c>
      <c r="E83" s="540">
        <f t="shared" si="12"/>
        <v>-0.8798710878100815</v>
      </c>
      <c r="F83" s="540">
        <f t="shared" si="12"/>
        <v>8.228528720141369E-2</v>
      </c>
      <c r="G83" s="540">
        <f t="shared" si="12"/>
        <v>-0.18727134788839248</v>
      </c>
      <c r="H83" s="540">
        <f t="shared" si="12"/>
        <v>-0.16715257531584063</v>
      </c>
      <c r="I83" s="540">
        <f t="shared" si="12"/>
        <v>3.5717017702823983E-2</v>
      </c>
      <c r="J83" s="540">
        <f t="shared" si="12"/>
        <v>2.640676494920863</v>
      </c>
      <c r="K83" s="540">
        <f t="shared" si="12"/>
        <v>-9.9776622744498139E-2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5" activePane="bottomLeft" state="frozen"/>
      <selection activeCell="T13" sqref="T13:AA13"/>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1122791</v>
      </c>
      <c r="D5" s="481">
        <v>305050</v>
      </c>
      <c r="E5" s="466">
        <v>146430</v>
      </c>
      <c r="F5" s="548">
        <v>122043</v>
      </c>
      <c r="G5" s="466">
        <v>69573</v>
      </c>
      <c r="H5" s="466"/>
      <c r="I5" s="466">
        <v>28787</v>
      </c>
      <c r="J5" s="467">
        <v>432729</v>
      </c>
      <c r="K5" s="466">
        <v>28788</v>
      </c>
    </row>
    <row r="6" spans="1:12" ht="15" x14ac:dyDescent="0.2">
      <c r="A6" s="463" t="s">
        <v>1662</v>
      </c>
      <c r="B6" s="470">
        <v>1130</v>
      </c>
      <c r="C6" s="466">
        <v>23056</v>
      </c>
      <c r="D6" s="466"/>
      <c r="E6" s="475"/>
      <c r="F6" s="475"/>
      <c r="G6" s="468"/>
      <c r="H6" s="468"/>
      <c r="I6" s="468"/>
      <c r="J6" s="468"/>
      <c r="K6" s="468"/>
    </row>
    <row r="7" spans="1:12" x14ac:dyDescent="0.2">
      <c r="A7" s="463" t="s">
        <v>110</v>
      </c>
      <c r="B7" s="549">
        <v>1140</v>
      </c>
      <c r="C7" s="466">
        <v>24409</v>
      </c>
      <c r="D7" s="466"/>
      <c r="E7" s="468"/>
      <c r="F7" s="467"/>
      <c r="G7" s="467"/>
      <c r="H7" s="467"/>
      <c r="I7" s="468"/>
      <c r="J7" s="468"/>
      <c r="K7" s="468"/>
    </row>
    <row r="8" spans="1:12" x14ac:dyDescent="0.2">
      <c r="A8" s="463" t="s">
        <v>413</v>
      </c>
      <c r="B8" s="470">
        <v>1150</v>
      </c>
      <c r="C8" s="475"/>
      <c r="D8" s="475"/>
      <c r="E8" s="477"/>
      <c r="F8" s="477"/>
      <c r="G8" s="481">
        <v>107750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1170256</v>
      </c>
      <c r="D12" s="1707">
        <f t="shared" si="0"/>
        <v>305050</v>
      </c>
      <c r="E12" s="1707">
        <f t="shared" si="0"/>
        <v>146430</v>
      </c>
      <c r="F12" s="1707">
        <f t="shared" si="0"/>
        <v>122043</v>
      </c>
      <c r="G12" s="1707">
        <f t="shared" si="0"/>
        <v>177323</v>
      </c>
      <c r="H12" s="1707">
        <f t="shared" si="0"/>
        <v>0</v>
      </c>
      <c r="I12" s="1707">
        <f t="shared" si="0"/>
        <v>28787</v>
      </c>
      <c r="J12" s="1707">
        <f t="shared" si="0"/>
        <v>432729</v>
      </c>
      <c r="K12" s="1688">
        <f t="shared" si="0"/>
        <v>28788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1954149</v>
      </c>
      <c r="D16" s="466">
        <v>130000</v>
      </c>
      <c r="E16" s="466"/>
      <c r="F16" s="466"/>
      <c r="G16" s="466">
        <v>63600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1954149</v>
      </c>
      <c r="D18" s="1710">
        <f t="shared" ref="D18:K18" si="1">SUM(D14:D17)</f>
        <v>130000</v>
      </c>
      <c r="E18" s="1710">
        <f t="shared" si="1"/>
        <v>0</v>
      </c>
      <c r="F18" s="1710">
        <f t="shared" si="1"/>
        <v>0</v>
      </c>
      <c r="G18" s="1710">
        <f t="shared" si="1"/>
        <v>63600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495</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495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320</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320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55217</v>
      </c>
      <c r="D65" s="466">
        <v>94</v>
      </c>
      <c r="E65" s="466">
        <v>46</v>
      </c>
      <c r="F65" s="467">
        <v>4117</v>
      </c>
      <c r="G65" s="466">
        <v>56</v>
      </c>
      <c r="H65" s="466"/>
      <c r="I65" s="466">
        <v>8030</v>
      </c>
      <c r="J65" s="467">
        <v>132</v>
      </c>
      <c r="K65" s="466">
        <v>4892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55217</v>
      </c>
      <c r="D67" s="1688">
        <f t="shared" ref="D67:K67" si="2">SUM(D65:D66)</f>
        <v>94</v>
      </c>
      <c r="E67" s="1688">
        <f t="shared" si="2"/>
        <v>46</v>
      </c>
      <c r="F67" s="1688">
        <f t="shared" si="2"/>
        <v>4117</v>
      </c>
      <c r="G67" s="1688">
        <f t="shared" si="2"/>
        <v>56</v>
      </c>
      <c r="H67" s="1688">
        <f t="shared" si="2"/>
        <v>0</v>
      </c>
      <c r="I67" s="1688">
        <f t="shared" si="2"/>
        <v>8030</v>
      </c>
      <c r="J67" s="1688">
        <f t="shared" si="2"/>
        <v>132</v>
      </c>
      <c r="K67" s="1688">
        <f t="shared" si="2"/>
        <v>4892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46212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3099</v>
      </c>
      <c r="D72" s="468"/>
      <c r="E72" s="468"/>
      <c r="F72" s="468"/>
      <c r="G72" s="468"/>
      <c r="H72" s="468"/>
      <c r="I72" s="468"/>
      <c r="J72" s="468"/>
      <c r="K72" s="468"/>
    </row>
    <row r="73" spans="1:11" ht="12.75" customHeight="1" x14ac:dyDescent="0.2">
      <c r="A73" s="463" t="s">
        <v>998</v>
      </c>
      <c r="B73" s="470">
        <v>1620</v>
      </c>
      <c r="C73" s="551">
        <v>1921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51232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14008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13880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2219</v>
      </c>
      <c r="D81" s="466"/>
      <c r="E81" s="468"/>
      <c r="F81" s="468"/>
      <c r="G81" s="468"/>
      <c r="H81" s="468"/>
      <c r="I81" s="468"/>
      <c r="J81" s="468"/>
      <c r="K81" s="468"/>
    </row>
    <row r="82" spans="1:11" ht="12.75" customHeight="1" thickBot="1" x14ac:dyDescent="0.25">
      <c r="A82" s="1708" t="s">
        <v>241</v>
      </c>
      <c r="B82" s="1709"/>
      <c r="C82" s="1707">
        <f>SUM(C77:C81)</f>
        <v>30107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52971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52971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310</v>
      </c>
      <c r="D96" s="551"/>
      <c r="E96" s="479"/>
      <c r="F96" s="478"/>
      <c r="G96" s="478"/>
      <c r="H96" s="478"/>
      <c r="I96" s="478"/>
      <c r="J96" s="478">
        <v>515</v>
      </c>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1935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13748</v>
      </c>
      <c r="I103" s="468"/>
      <c r="J103" s="510"/>
      <c r="K103" s="510"/>
    </row>
    <row r="104" spans="1:12" ht="12.75" customHeight="1" x14ac:dyDescent="0.2">
      <c r="A104" s="463" t="s">
        <v>830</v>
      </c>
      <c r="B104" s="470">
        <v>1991</v>
      </c>
      <c r="C104" s="489">
        <v>11009</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7685</v>
      </c>
      <c r="D106" s="489"/>
      <c r="E106" s="467"/>
      <c r="F106" s="467">
        <v>674</v>
      </c>
      <c r="G106" s="467"/>
      <c r="H106" s="467"/>
      <c r="I106" s="521"/>
      <c r="J106" s="467"/>
      <c r="K106" s="467"/>
    </row>
    <row r="107" spans="1:12" ht="12.75" customHeight="1" x14ac:dyDescent="0.2">
      <c r="A107" s="463" t="s">
        <v>78</v>
      </c>
      <c r="B107" s="470">
        <v>1999</v>
      </c>
      <c r="C107" s="551">
        <v>1835</v>
      </c>
      <c r="D107" s="466">
        <v>407</v>
      </c>
      <c r="E107" s="466"/>
      <c r="F107" s="466"/>
      <c r="G107" s="466"/>
      <c r="H107" s="466"/>
      <c r="I107" s="466"/>
      <c r="J107" s="467"/>
      <c r="K107" s="466"/>
    </row>
    <row r="108" spans="1:12" ht="12.75" customHeight="1" thickBot="1" x14ac:dyDescent="0.25">
      <c r="A108" s="1708" t="s">
        <v>487</v>
      </c>
      <c r="B108" s="1712"/>
      <c r="C108" s="1707">
        <f>SUM(C95:C107)</f>
        <v>22774</v>
      </c>
      <c r="D108" s="1707">
        <f t="shared" ref="D108:K108" si="3">SUM(D95:D107)</f>
        <v>407</v>
      </c>
      <c r="E108" s="1707">
        <f t="shared" si="3"/>
        <v>0</v>
      </c>
      <c r="F108" s="1707">
        <f t="shared" si="3"/>
        <v>674</v>
      </c>
      <c r="G108" s="1707">
        <f t="shared" si="3"/>
        <v>0</v>
      </c>
      <c r="H108" s="1707">
        <f t="shared" si="3"/>
        <v>13748</v>
      </c>
      <c r="I108" s="1707">
        <f t="shared" si="3"/>
        <v>0</v>
      </c>
      <c r="J108" s="1707">
        <f t="shared" si="3"/>
        <v>515</v>
      </c>
      <c r="K108" s="1688">
        <f t="shared" si="3"/>
        <v>0</v>
      </c>
    </row>
    <row r="109" spans="1:12" ht="14.25" thickTop="1" thickBot="1" x14ac:dyDescent="0.25">
      <c r="A109" s="1713" t="s">
        <v>248</v>
      </c>
      <c r="B109" s="1714" t="s">
        <v>570</v>
      </c>
      <c r="C109" s="1715">
        <f t="shared" ref="C109:K109" si="4">SUM(C12,C18,C40,C63,C67,C75,C82,C93,C108,)</f>
        <v>3337201</v>
      </c>
      <c r="D109" s="1715">
        <f t="shared" si="4"/>
        <v>435551</v>
      </c>
      <c r="E109" s="1715">
        <f t="shared" si="4"/>
        <v>146476</v>
      </c>
      <c r="F109" s="1715">
        <f t="shared" si="4"/>
        <v>127154</v>
      </c>
      <c r="G109" s="1715">
        <f t="shared" si="4"/>
        <v>240979</v>
      </c>
      <c r="H109" s="1715">
        <f t="shared" si="4"/>
        <v>13748</v>
      </c>
      <c r="I109" s="1715">
        <f t="shared" si="4"/>
        <v>36817</v>
      </c>
      <c r="J109" s="1715">
        <f t="shared" si="4"/>
        <v>433376</v>
      </c>
      <c r="K109" s="1702">
        <f t="shared" si="4"/>
        <v>33680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12147</v>
      </c>
      <c r="D111" s="481"/>
      <c r="E111" s="561"/>
      <c r="F111" s="481"/>
      <c r="G111" s="481"/>
      <c r="H111" s="561"/>
      <c r="I111" s="468"/>
      <c r="J111" s="468"/>
      <c r="K111" s="468"/>
    </row>
    <row r="112" spans="1:12" ht="12.75" customHeight="1" x14ac:dyDescent="0.2">
      <c r="A112" s="463" t="s">
        <v>824</v>
      </c>
      <c r="B112" s="470">
        <v>2200</v>
      </c>
      <c r="C112" s="551">
        <v>61507</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73654</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478372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478372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15633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15633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4235</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4235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1790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8312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7385</v>
      </c>
      <c r="G152" s="467"/>
      <c r="H152" s="468"/>
      <c r="I152" s="468"/>
      <c r="J152" s="468"/>
      <c r="K152" s="468"/>
    </row>
    <row r="153" spans="1:11" ht="12.75" customHeight="1" x14ac:dyDescent="0.2">
      <c r="A153" s="463" t="s">
        <v>1057</v>
      </c>
      <c r="B153" s="562">
        <v>3510</v>
      </c>
      <c r="C153" s="551"/>
      <c r="D153" s="466"/>
      <c r="E153" s="561"/>
      <c r="F153" s="466">
        <v>25691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33076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132548</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1832</v>
      </c>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164350</v>
      </c>
      <c r="D169" s="1722">
        <f t="shared" si="6"/>
        <v>0</v>
      </c>
      <c r="E169" s="1722">
        <f t="shared" si="6"/>
        <v>0</v>
      </c>
      <c r="F169" s="1722">
        <f t="shared" si="6"/>
        <v>33076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642722</v>
      </c>
      <c r="D170" s="1715">
        <f t="shared" si="7"/>
        <v>0</v>
      </c>
      <c r="E170" s="1715">
        <f t="shared" si="7"/>
        <v>0</v>
      </c>
      <c r="F170" s="1715">
        <f t="shared" si="7"/>
        <v>33076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65432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19011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v>2619</v>
      </c>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87062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103465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12491</v>
      </c>
      <c r="D203" s="466"/>
      <c r="E203" s="468"/>
      <c r="F203" s="466"/>
      <c r="G203" s="466"/>
      <c r="H203" s="468"/>
      <c r="I203" s="468"/>
      <c r="J203" s="468"/>
      <c r="K203" s="468"/>
    </row>
    <row r="204" spans="1:11" ht="12.75" customHeight="1" thickBot="1" x14ac:dyDescent="0.25">
      <c r="A204" s="1708" t="s">
        <v>400</v>
      </c>
      <c r="B204" s="1709"/>
      <c r="C204" s="1707">
        <f>SUM(C200:C203)</f>
        <v>115956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5000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5000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10151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8928</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227097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227097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4280674</v>
      </c>
      <c r="D268" s="1715">
        <f t="shared" si="12"/>
        <v>435551</v>
      </c>
      <c r="E268" s="1715">
        <f t="shared" si="12"/>
        <v>146476</v>
      </c>
      <c r="F268" s="1715">
        <f t="shared" si="12"/>
        <v>160230</v>
      </c>
      <c r="G268" s="1715">
        <f t="shared" si="12"/>
        <v>240979</v>
      </c>
      <c r="H268" s="1715">
        <f t="shared" si="12"/>
        <v>13748</v>
      </c>
      <c r="I268" s="1715">
        <f t="shared" si="12"/>
        <v>36817</v>
      </c>
      <c r="J268" s="1715">
        <f t="shared" si="12"/>
        <v>433376</v>
      </c>
      <c r="K268" s="1702">
        <f t="shared" si="12"/>
        <v>33680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 activePane="bottomLeft" state="frozen"/>
      <selection activeCell="T13" sqref="T13:AA13"/>
      <selection pane="bottomLeft" activeCell="T13" sqref="T13:AA1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1978856</v>
      </c>
      <c r="D5" s="466">
        <v>224065</v>
      </c>
      <c r="E5" s="466">
        <v>2055</v>
      </c>
      <c r="F5" s="466">
        <v>40512</v>
      </c>
      <c r="G5" s="466"/>
      <c r="H5" s="466">
        <v>310</v>
      </c>
      <c r="I5" s="467"/>
      <c r="J5" s="467"/>
      <c r="K5" s="1671">
        <f>SUM(C5:J5)</f>
        <v>2245798</v>
      </c>
      <c r="L5" s="466">
        <v>2319898</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64872</v>
      </c>
      <c r="D7" s="467">
        <v>11169</v>
      </c>
      <c r="E7" s="467"/>
      <c r="F7" s="467">
        <v>5953</v>
      </c>
      <c r="G7" s="467"/>
      <c r="H7" s="467"/>
      <c r="I7" s="467"/>
      <c r="J7" s="467"/>
      <c r="K7" s="1671">
        <f t="shared" ref="K7:K32" si="0">SUM(C7:J7)</f>
        <v>81994</v>
      </c>
      <c r="L7" s="466">
        <v>94536</v>
      </c>
    </row>
    <row r="8" spans="1:14" x14ac:dyDescent="0.2">
      <c r="A8" s="1504" t="s">
        <v>164</v>
      </c>
      <c r="B8" s="614">
        <v>1200</v>
      </c>
      <c r="C8" s="466">
        <v>197881</v>
      </c>
      <c r="D8" s="466">
        <v>26650</v>
      </c>
      <c r="E8" s="466"/>
      <c r="F8" s="466"/>
      <c r="G8" s="466"/>
      <c r="H8" s="466"/>
      <c r="I8" s="467"/>
      <c r="J8" s="467"/>
      <c r="K8" s="1671">
        <f t="shared" si="0"/>
        <v>224531</v>
      </c>
      <c r="L8" s="466">
        <v>192269</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16918</v>
      </c>
      <c r="D10" s="466">
        <v>3535</v>
      </c>
      <c r="E10" s="466">
        <v>24036</v>
      </c>
      <c r="F10" s="466">
        <v>64618</v>
      </c>
      <c r="G10" s="466"/>
      <c r="H10" s="466"/>
      <c r="I10" s="467"/>
      <c r="J10" s="467"/>
      <c r="K10" s="1671">
        <f t="shared" si="0"/>
        <v>109107</v>
      </c>
      <c r="L10" s="466">
        <v>67338</v>
      </c>
    </row>
    <row r="11" spans="1:14" x14ac:dyDescent="0.2">
      <c r="A11" s="1504" t="s">
        <v>1130</v>
      </c>
      <c r="B11" s="614" t="s">
        <v>161</v>
      </c>
      <c r="C11" s="467"/>
      <c r="D11" s="467"/>
      <c r="E11" s="467"/>
      <c r="F11" s="467"/>
      <c r="G11" s="467"/>
      <c r="H11" s="467"/>
      <c r="I11" s="467"/>
      <c r="J11" s="467"/>
      <c r="K11" s="1671">
        <f t="shared" si="0"/>
        <v>0</v>
      </c>
      <c r="L11" s="466">
        <v>5000</v>
      </c>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222529</v>
      </c>
      <c r="D13" s="466">
        <v>31090</v>
      </c>
      <c r="E13" s="466">
        <v>2351</v>
      </c>
      <c r="F13" s="466">
        <v>13344</v>
      </c>
      <c r="G13" s="466">
        <v>8169</v>
      </c>
      <c r="H13" s="466"/>
      <c r="I13" s="467"/>
      <c r="J13" s="467"/>
      <c r="K13" s="1671">
        <f t="shared" si="0"/>
        <v>277483</v>
      </c>
      <c r="L13" s="466">
        <v>288029</v>
      </c>
    </row>
    <row r="14" spans="1:14" x14ac:dyDescent="0.2">
      <c r="A14" s="1504" t="s">
        <v>963</v>
      </c>
      <c r="B14" s="614">
        <v>1500</v>
      </c>
      <c r="C14" s="466">
        <v>126225</v>
      </c>
      <c r="D14" s="466">
        <v>851</v>
      </c>
      <c r="E14" s="466">
        <v>22111</v>
      </c>
      <c r="F14" s="466">
        <v>21623</v>
      </c>
      <c r="G14" s="466"/>
      <c r="H14" s="466">
        <v>2023</v>
      </c>
      <c r="I14" s="467"/>
      <c r="J14" s="467"/>
      <c r="K14" s="1671">
        <f t="shared" si="0"/>
        <v>172833</v>
      </c>
      <c r="L14" s="466">
        <v>180311</v>
      </c>
    </row>
    <row r="15" spans="1:14" x14ac:dyDescent="0.2">
      <c r="A15" s="1504" t="s">
        <v>964</v>
      </c>
      <c r="B15" s="614">
        <v>1600</v>
      </c>
      <c r="C15" s="466">
        <v>8622</v>
      </c>
      <c r="D15" s="466">
        <v>264</v>
      </c>
      <c r="E15" s="466"/>
      <c r="F15" s="466"/>
      <c r="G15" s="466"/>
      <c r="H15" s="466"/>
      <c r="I15" s="467"/>
      <c r="J15" s="467"/>
      <c r="K15" s="1671">
        <f t="shared" si="0"/>
        <v>8886</v>
      </c>
      <c r="L15" s="466">
        <v>16497</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2615903</v>
      </c>
      <c r="D33" s="1670">
        <f t="shared" ref="D33:L33" si="1">SUM(D5:D32)</f>
        <v>297624</v>
      </c>
      <c r="E33" s="1670">
        <f t="shared" si="1"/>
        <v>50553</v>
      </c>
      <c r="F33" s="1670">
        <f t="shared" si="1"/>
        <v>146050</v>
      </c>
      <c r="G33" s="1670">
        <f t="shared" si="1"/>
        <v>8169</v>
      </c>
      <c r="H33" s="1670">
        <f t="shared" si="1"/>
        <v>2333</v>
      </c>
      <c r="I33" s="1670">
        <f t="shared" si="1"/>
        <v>0</v>
      </c>
      <c r="J33" s="1670">
        <f t="shared" si="1"/>
        <v>0</v>
      </c>
      <c r="K33" s="1670">
        <f t="shared" si="1"/>
        <v>3120632</v>
      </c>
      <c r="L33" s="1670">
        <f t="shared" si="1"/>
        <v>3163878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63232</v>
      </c>
      <c r="D37" s="466">
        <v>11288</v>
      </c>
      <c r="E37" s="466"/>
      <c r="F37" s="466"/>
      <c r="G37" s="466"/>
      <c r="H37" s="466"/>
      <c r="I37" s="467"/>
      <c r="J37" s="467"/>
      <c r="K37" s="1671">
        <f t="shared" si="2"/>
        <v>74520</v>
      </c>
      <c r="L37" s="466">
        <v>50861</v>
      </c>
    </row>
    <row r="38" spans="1:14" x14ac:dyDescent="0.2">
      <c r="A38" s="1504" t="s">
        <v>198</v>
      </c>
      <c r="B38" s="614">
        <v>2130</v>
      </c>
      <c r="C38" s="466">
        <v>12371</v>
      </c>
      <c r="D38" s="466">
        <v>7048</v>
      </c>
      <c r="E38" s="466"/>
      <c r="F38" s="466">
        <v>494</v>
      </c>
      <c r="G38" s="466"/>
      <c r="H38" s="466"/>
      <c r="I38" s="467"/>
      <c r="J38" s="467"/>
      <c r="K38" s="1671">
        <f t="shared" si="2"/>
        <v>19913</v>
      </c>
      <c r="L38" s="466">
        <v>18195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75603</v>
      </c>
      <c r="D42" s="1670">
        <f t="shared" ref="D42:L42" si="3">SUM(D36:D41)</f>
        <v>18336</v>
      </c>
      <c r="E42" s="1670">
        <f t="shared" si="3"/>
        <v>0</v>
      </c>
      <c r="F42" s="1670">
        <f t="shared" si="3"/>
        <v>494</v>
      </c>
      <c r="G42" s="1670">
        <f t="shared" si="3"/>
        <v>0</v>
      </c>
      <c r="H42" s="1670">
        <f t="shared" si="3"/>
        <v>0</v>
      </c>
      <c r="I42" s="1670">
        <f t="shared" si="3"/>
        <v>0</v>
      </c>
      <c r="J42" s="1670">
        <f t="shared" si="3"/>
        <v>0</v>
      </c>
      <c r="K42" s="1670">
        <f t="shared" si="3"/>
        <v>94433</v>
      </c>
      <c r="L42" s="1670">
        <f t="shared" si="3"/>
        <v>69056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2292</v>
      </c>
      <c r="E44" s="481">
        <v>26056</v>
      </c>
      <c r="F44" s="481"/>
      <c r="G44" s="481"/>
      <c r="H44" s="481"/>
      <c r="I44" s="467"/>
      <c r="J44" s="467"/>
      <c r="K44" s="1672">
        <f>SUM(C44:J44)</f>
        <v>28348</v>
      </c>
      <c r="L44" s="481">
        <v>37419</v>
      </c>
    </row>
    <row r="45" spans="1:14" x14ac:dyDescent="0.2">
      <c r="A45" s="1504" t="s">
        <v>815</v>
      </c>
      <c r="B45" s="614">
        <v>2220</v>
      </c>
      <c r="C45" s="466">
        <v>44152</v>
      </c>
      <c r="D45" s="466">
        <v>10987</v>
      </c>
      <c r="E45" s="466"/>
      <c r="F45" s="466">
        <v>4440</v>
      </c>
      <c r="G45" s="466"/>
      <c r="H45" s="466"/>
      <c r="I45" s="467"/>
      <c r="J45" s="467"/>
      <c r="K45" s="1672">
        <f>SUM(C45:J45)</f>
        <v>59579</v>
      </c>
      <c r="L45" s="466">
        <v>60204</v>
      </c>
    </row>
    <row r="46" spans="1:14" x14ac:dyDescent="0.2">
      <c r="A46" s="1504" t="s">
        <v>816</v>
      </c>
      <c r="B46" s="614">
        <v>2230</v>
      </c>
      <c r="C46" s="466"/>
      <c r="D46" s="466"/>
      <c r="E46" s="466">
        <v>6705</v>
      </c>
      <c r="F46" s="466"/>
      <c r="G46" s="466"/>
      <c r="H46" s="466"/>
      <c r="I46" s="467"/>
      <c r="J46" s="467"/>
      <c r="K46" s="1672">
        <f>SUM(C46:J46)</f>
        <v>6705</v>
      </c>
      <c r="L46" s="466">
        <v>11009</v>
      </c>
    </row>
    <row r="47" spans="1:14" ht="12.75" customHeight="1" thickBot="1" x14ac:dyDescent="0.25">
      <c r="A47" s="1668" t="s">
        <v>561</v>
      </c>
      <c r="B47" s="1669" t="s">
        <v>32</v>
      </c>
      <c r="C47" s="1670">
        <f>SUM(C44:C46)</f>
        <v>44152</v>
      </c>
      <c r="D47" s="1670">
        <f t="shared" ref="D47:K47" si="4">SUM(D44:D46)</f>
        <v>13279</v>
      </c>
      <c r="E47" s="1670">
        <f t="shared" si="4"/>
        <v>32761</v>
      </c>
      <c r="F47" s="1670">
        <f t="shared" si="4"/>
        <v>4440</v>
      </c>
      <c r="G47" s="1670">
        <f t="shared" si="4"/>
        <v>0</v>
      </c>
      <c r="H47" s="1670">
        <f t="shared" si="4"/>
        <v>0</v>
      </c>
      <c r="I47" s="1670">
        <f t="shared" si="4"/>
        <v>0</v>
      </c>
      <c r="J47" s="1670">
        <f t="shared" si="4"/>
        <v>0</v>
      </c>
      <c r="K47" s="1670">
        <f t="shared" si="4"/>
        <v>94632</v>
      </c>
      <c r="L47" s="1670">
        <f>SUM(L44:L46)</f>
        <v>108632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625</v>
      </c>
      <c r="D49" s="481"/>
      <c r="E49" s="481">
        <v>23779</v>
      </c>
      <c r="F49" s="481">
        <v>2315</v>
      </c>
      <c r="G49" s="481"/>
      <c r="H49" s="481">
        <v>7007</v>
      </c>
      <c r="I49" s="467"/>
      <c r="J49" s="467"/>
      <c r="K49" s="1672">
        <f>SUM(C49:J49)</f>
        <v>33726</v>
      </c>
      <c r="L49" s="481">
        <v>35825</v>
      </c>
    </row>
    <row r="50" spans="1:14" x14ac:dyDescent="0.2">
      <c r="A50" s="1504" t="s">
        <v>818</v>
      </c>
      <c r="B50" s="614">
        <v>2320</v>
      </c>
      <c r="C50" s="466">
        <v>128450</v>
      </c>
      <c r="D50" s="466">
        <v>11062</v>
      </c>
      <c r="E50" s="466"/>
      <c r="F50" s="466"/>
      <c r="G50" s="466"/>
      <c r="H50" s="466">
        <v>875</v>
      </c>
      <c r="I50" s="467"/>
      <c r="J50" s="467"/>
      <c r="K50" s="1672">
        <f>SUM(C50:J50)</f>
        <v>140387</v>
      </c>
      <c r="L50" s="466">
        <v>141434</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129075</v>
      </c>
      <c r="D53" s="1670">
        <f t="shared" ref="D53:L53" si="5">SUM(D49:D52)</f>
        <v>11062</v>
      </c>
      <c r="E53" s="1670">
        <f t="shared" si="5"/>
        <v>23779</v>
      </c>
      <c r="F53" s="1670">
        <f t="shared" si="5"/>
        <v>2315</v>
      </c>
      <c r="G53" s="1670">
        <f t="shared" si="5"/>
        <v>0</v>
      </c>
      <c r="H53" s="1670">
        <f t="shared" si="5"/>
        <v>7882</v>
      </c>
      <c r="I53" s="1670">
        <f t="shared" si="5"/>
        <v>0</v>
      </c>
      <c r="J53" s="1670">
        <f t="shared" si="5"/>
        <v>0</v>
      </c>
      <c r="K53" s="1670">
        <f t="shared" si="5"/>
        <v>174113</v>
      </c>
      <c r="L53" s="1670">
        <f t="shared" si="5"/>
        <v>177259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259303</v>
      </c>
      <c r="D55" s="481">
        <v>36019</v>
      </c>
      <c r="E55" s="481"/>
      <c r="F55" s="481">
        <v>3576</v>
      </c>
      <c r="G55" s="481"/>
      <c r="H55" s="481">
        <v>343</v>
      </c>
      <c r="I55" s="467"/>
      <c r="J55" s="467"/>
      <c r="K55" s="1672">
        <f>SUM(C55:J55)</f>
        <v>299241</v>
      </c>
      <c r="L55" s="481">
        <v>298968</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259303</v>
      </c>
      <c r="D57" s="1674">
        <f t="shared" ref="D57:K57" si="6">SUM(D55:D56)</f>
        <v>36019</v>
      </c>
      <c r="E57" s="1674">
        <f t="shared" si="6"/>
        <v>0</v>
      </c>
      <c r="F57" s="1674">
        <f t="shared" si="6"/>
        <v>3576</v>
      </c>
      <c r="G57" s="1674">
        <f t="shared" si="6"/>
        <v>0</v>
      </c>
      <c r="H57" s="1674">
        <f t="shared" si="6"/>
        <v>343</v>
      </c>
      <c r="I57" s="1674">
        <f t="shared" si="6"/>
        <v>0</v>
      </c>
      <c r="J57" s="1674">
        <f t="shared" si="6"/>
        <v>0</v>
      </c>
      <c r="K57" s="1674">
        <f t="shared" si="6"/>
        <v>299241</v>
      </c>
      <c r="L57" s="1670">
        <f>SUM(L55:L56)</f>
        <v>298968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21835</v>
      </c>
      <c r="D60" s="466">
        <v>14</v>
      </c>
      <c r="E60" s="466"/>
      <c r="F60" s="466">
        <v>23</v>
      </c>
      <c r="G60" s="466"/>
      <c r="H60" s="466">
        <v>54</v>
      </c>
      <c r="I60" s="467"/>
      <c r="J60" s="467"/>
      <c r="K60" s="1672">
        <f t="shared" si="7"/>
        <v>21926</v>
      </c>
      <c r="L60" s="466">
        <v>22552</v>
      </c>
      <c r="M60" s="609"/>
      <c r="N60" s="609"/>
    </row>
    <row r="61" spans="1:14" s="343" customFormat="1" x14ac:dyDescent="0.2">
      <c r="A61" s="1504" t="s">
        <v>197</v>
      </c>
      <c r="B61" s="614">
        <v>2540</v>
      </c>
      <c r="C61" s="466"/>
      <c r="D61" s="466"/>
      <c r="E61" s="466"/>
      <c r="F61" s="466"/>
      <c r="G61" s="466">
        <v>19820</v>
      </c>
      <c r="H61" s="466"/>
      <c r="I61" s="467"/>
      <c r="J61" s="467"/>
      <c r="K61" s="1672">
        <f t="shared" si="7"/>
        <v>19820</v>
      </c>
      <c r="L61" s="466">
        <v>15115</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86220</v>
      </c>
      <c r="D63" s="466">
        <v>6504</v>
      </c>
      <c r="E63" s="466">
        <v>2594</v>
      </c>
      <c r="F63" s="466">
        <v>75043</v>
      </c>
      <c r="G63" s="466"/>
      <c r="H63" s="466"/>
      <c r="I63" s="467"/>
      <c r="J63" s="467"/>
      <c r="K63" s="1672">
        <f t="shared" si="7"/>
        <v>170361</v>
      </c>
      <c r="L63" s="466">
        <v>194660</v>
      </c>
    </row>
    <row r="64" spans="1:14" s="609" customFormat="1" x14ac:dyDescent="0.2">
      <c r="A64" s="1509" t="s">
        <v>101</v>
      </c>
      <c r="B64" s="630">
        <v>2570</v>
      </c>
      <c r="C64" s="481"/>
      <c r="D64" s="481"/>
      <c r="E64" s="481">
        <v>13863</v>
      </c>
      <c r="F64" s="481">
        <v>14860</v>
      </c>
      <c r="G64" s="481"/>
      <c r="H64" s="481"/>
      <c r="I64" s="467"/>
      <c r="J64" s="467"/>
      <c r="K64" s="1672">
        <f t="shared" si="7"/>
        <v>28723</v>
      </c>
      <c r="L64" s="481">
        <v>24900</v>
      </c>
    </row>
    <row r="65" spans="1:14" s="343" customFormat="1" ht="12.75" customHeight="1" thickBot="1" x14ac:dyDescent="0.25">
      <c r="A65" s="1668" t="s">
        <v>719</v>
      </c>
      <c r="B65" s="1669" t="s">
        <v>35</v>
      </c>
      <c r="C65" s="1670">
        <f>SUM(C59:C64)</f>
        <v>108055</v>
      </c>
      <c r="D65" s="1670">
        <f t="shared" ref="D65:L65" si="8">SUM(D59:D64)</f>
        <v>6518</v>
      </c>
      <c r="E65" s="1670">
        <f t="shared" si="8"/>
        <v>16457</v>
      </c>
      <c r="F65" s="1670">
        <f t="shared" si="8"/>
        <v>89926</v>
      </c>
      <c r="G65" s="1670">
        <f t="shared" si="8"/>
        <v>19820</v>
      </c>
      <c r="H65" s="1670">
        <f t="shared" si="8"/>
        <v>54</v>
      </c>
      <c r="I65" s="1670">
        <f t="shared" si="8"/>
        <v>0</v>
      </c>
      <c r="J65" s="1670">
        <f t="shared" si="8"/>
        <v>0</v>
      </c>
      <c r="K65" s="1670">
        <f t="shared" si="8"/>
        <v>240830</v>
      </c>
      <c r="L65" s="1670">
        <f t="shared" si="8"/>
        <v>257227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3182</v>
      </c>
      <c r="F69" s="466"/>
      <c r="G69" s="466"/>
      <c r="H69" s="466"/>
      <c r="I69" s="467"/>
      <c r="J69" s="467"/>
      <c r="K69" s="1672">
        <f>SUM(C69:J69)</f>
        <v>3182</v>
      </c>
      <c r="L69" s="466">
        <v>3500</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3182</v>
      </c>
      <c r="F72" s="1670">
        <f t="shared" si="9"/>
        <v>0</v>
      </c>
      <c r="G72" s="1670">
        <f t="shared" si="9"/>
        <v>0</v>
      </c>
      <c r="H72" s="1670">
        <f t="shared" si="9"/>
        <v>0</v>
      </c>
      <c r="I72" s="1670">
        <f t="shared" si="9"/>
        <v>0</v>
      </c>
      <c r="J72" s="1670">
        <f t="shared" si="9"/>
        <v>0</v>
      </c>
      <c r="K72" s="1670">
        <f t="shared" si="9"/>
        <v>3182</v>
      </c>
      <c r="L72" s="1670">
        <f>SUM(L67:L71)</f>
        <v>3500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616188</v>
      </c>
      <c r="D74" s="1677">
        <f t="shared" ref="D74:K74" si="10">SUM(D42,D47,D53,D57,D65,D72,D73)</f>
        <v>85214</v>
      </c>
      <c r="E74" s="1677">
        <f t="shared" si="10"/>
        <v>76179</v>
      </c>
      <c r="F74" s="1677">
        <f t="shared" si="10"/>
        <v>100751</v>
      </c>
      <c r="G74" s="1677">
        <f t="shared" si="10"/>
        <v>19820</v>
      </c>
      <c r="H74" s="1677">
        <f t="shared" si="10"/>
        <v>8279</v>
      </c>
      <c r="I74" s="1677">
        <f t="shared" si="10"/>
        <v>0</v>
      </c>
      <c r="J74" s="1677">
        <f t="shared" si="10"/>
        <v>0</v>
      </c>
      <c r="K74" s="1677">
        <f t="shared" si="10"/>
        <v>906431</v>
      </c>
      <c r="L74" s="1677">
        <f>SUM(L42,L47,L53,L57,L65,L72,L73)</f>
        <v>914642</v>
      </c>
    </row>
    <row r="75" spans="1:14" s="259" customFormat="1" ht="15.75" customHeight="1" thickTop="1" thickBot="1" x14ac:dyDescent="0.25">
      <c r="A75" s="1610" t="s">
        <v>47</v>
      </c>
      <c r="B75" s="1611" t="s">
        <v>575</v>
      </c>
      <c r="C75" s="573">
        <v>49960</v>
      </c>
      <c r="D75" s="573"/>
      <c r="E75" s="573"/>
      <c r="F75" s="573">
        <v>175</v>
      </c>
      <c r="G75" s="573"/>
      <c r="H75" s="573"/>
      <c r="I75" s="531"/>
      <c r="J75" s="531"/>
      <c r="K75" s="1670">
        <f>SUM(C75:J75)</f>
        <v>50135</v>
      </c>
      <c r="L75" s="576">
        <v>63978</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v>395</v>
      </c>
      <c r="I85" s="477"/>
      <c r="J85" s="477"/>
      <c r="K85" s="1677">
        <f>H85</f>
        <v>395</v>
      </c>
      <c r="L85" s="530"/>
    </row>
    <row r="86" spans="1:12" ht="12.75" customHeight="1" thickTop="1" thickBot="1" x14ac:dyDescent="0.25">
      <c r="A86" s="1512" t="s">
        <v>699</v>
      </c>
      <c r="B86" s="637">
        <v>4220</v>
      </c>
      <c r="C86" s="616"/>
      <c r="D86" s="616"/>
      <c r="E86" s="638"/>
      <c r="F86" s="616"/>
      <c r="G86" s="616"/>
      <c r="H86" s="467">
        <v>636481</v>
      </c>
      <c r="I86" s="477"/>
      <c r="J86" s="477"/>
      <c r="K86" s="1677">
        <f t="shared" ref="K86:K98" si="12">H86</f>
        <v>636481</v>
      </c>
      <c r="L86" s="530">
        <v>835266</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636876</v>
      </c>
      <c r="I92" s="477"/>
      <c r="J92" s="477"/>
      <c r="K92" s="1677">
        <f t="shared" si="12"/>
        <v>636876</v>
      </c>
      <c r="L92" s="1670">
        <f>SUM(L85:L91)</f>
        <v>835266</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636876</v>
      </c>
      <c r="I102" s="477"/>
      <c r="J102" s="477"/>
      <c r="K102" s="1677">
        <f>SUM(K84,K92,K100,K101)</f>
        <v>636876</v>
      </c>
      <c r="L102" s="1677">
        <f>SUM(L84,L92,L100,L101)</f>
        <v>835266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3282051</v>
      </c>
      <c r="D114" s="1670">
        <f t="shared" ref="D114:K114" si="13">SUM(D33,D74,D75,D102,D112,D113)</f>
        <v>382838</v>
      </c>
      <c r="E114" s="1670">
        <f t="shared" si="13"/>
        <v>126732</v>
      </c>
      <c r="F114" s="1670">
        <f t="shared" si="13"/>
        <v>246976</v>
      </c>
      <c r="G114" s="1670">
        <f t="shared" si="13"/>
        <v>27989</v>
      </c>
      <c r="H114" s="1670">
        <f>SUM(H33,H74,H75,H102,H112,H113)</f>
        <v>647488</v>
      </c>
      <c r="I114" s="1670">
        <f t="shared" si="13"/>
        <v>0</v>
      </c>
      <c r="J114" s="1670">
        <f t="shared" si="13"/>
        <v>0</v>
      </c>
      <c r="K114" s="1670">
        <f t="shared" si="13"/>
        <v>4714074</v>
      </c>
      <c r="L114" s="1670">
        <f>SUM(L33,L74,L75,L102,L112,L113)</f>
        <v>4977764</v>
      </c>
    </row>
    <row r="115" spans="1:14" ht="13.5" thickTop="1" x14ac:dyDescent="0.2">
      <c r="A115" s="2155" t="s">
        <v>996</v>
      </c>
      <c r="B115" s="2156"/>
      <c r="C115" s="618"/>
      <c r="D115" s="618"/>
      <c r="E115" s="618"/>
      <c r="F115" s="618"/>
      <c r="G115" s="618"/>
      <c r="H115" s="618"/>
      <c r="I115" s="618"/>
      <c r="J115" s="618"/>
      <c r="K115" s="1684">
        <f>'Revenues 9-14'!C268-'Expenditures 15-22'!K114</f>
        <v>-433400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204231</v>
      </c>
      <c r="D124" s="466">
        <v>27555</v>
      </c>
      <c r="E124" s="466">
        <v>64033</v>
      </c>
      <c r="F124" s="466">
        <v>161308</v>
      </c>
      <c r="G124" s="466">
        <v>16161</v>
      </c>
      <c r="H124" s="466"/>
      <c r="I124" s="467"/>
      <c r="J124" s="467"/>
      <c r="K124" s="1670">
        <f>SUM(C124:J124)</f>
        <v>473288</v>
      </c>
      <c r="L124" s="466">
        <v>502363</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204231</v>
      </c>
      <c r="D127" s="1670">
        <f t="shared" ref="D127:L127" si="14">SUM(D122:D126)</f>
        <v>27555</v>
      </c>
      <c r="E127" s="1670">
        <f t="shared" si="14"/>
        <v>64033</v>
      </c>
      <c r="F127" s="1670">
        <f t="shared" si="14"/>
        <v>161308</v>
      </c>
      <c r="G127" s="1670">
        <f t="shared" si="14"/>
        <v>16161</v>
      </c>
      <c r="H127" s="1670">
        <f t="shared" si="14"/>
        <v>0</v>
      </c>
      <c r="I127" s="1670">
        <f t="shared" si="14"/>
        <v>0</v>
      </c>
      <c r="J127" s="1670">
        <f t="shared" si="14"/>
        <v>0</v>
      </c>
      <c r="K127" s="1670">
        <f t="shared" si="14"/>
        <v>473288</v>
      </c>
      <c r="L127" s="1670">
        <f t="shared" si="14"/>
        <v>502363</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204231</v>
      </c>
      <c r="D129" s="1677">
        <f t="shared" ref="D129:L129" si="15">SUM(D120,D127,D128)</f>
        <v>27555</v>
      </c>
      <c r="E129" s="1677">
        <f t="shared" si="15"/>
        <v>64033</v>
      </c>
      <c r="F129" s="1677">
        <f t="shared" si="15"/>
        <v>161308</v>
      </c>
      <c r="G129" s="1677">
        <f t="shared" si="15"/>
        <v>16161</v>
      </c>
      <c r="H129" s="1677">
        <f t="shared" si="15"/>
        <v>0</v>
      </c>
      <c r="I129" s="1677">
        <f t="shared" si="15"/>
        <v>0</v>
      </c>
      <c r="J129" s="1677">
        <f t="shared" si="15"/>
        <v>0</v>
      </c>
      <c r="K129" s="1677">
        <f t="shared" si="15"/>
        <v>473288</v>
      </c>
      <c r="L129" s="1677">
        <f t="shared" si="15"/>
        <v>502363</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2"/>
      <c r="C151" s="1670">
        <f>SUM(C129,C130,C139,C149,C150)</f>
        <v>204231</v>
      </c>
      <c r="D151" s="1670">
        <f t="shared" ref="D151:K151" si="16">SUM(D129,D130,D139,D149,D150)</f>
        <v>27555</v>
      </c>
      <c r="E151" s="1670">
        <f t="shared" si="16"/>
        <v>64033</v>
      </c>
      <c r="F151" s="1670">
        <f t="shared" si="16"/>
        <v>161308</v>
      </c>
      <c r="G151" s="1670">
        <f t="shared" si="16"/>
        <v>16161</v>
      </c>
      <c r="H151" s="1670">
        <f t="shared" si="16"/>
        <v>0</v>
      </c>
      <c r="I151" s="1670">
        <f t="shared" si="16"/>
        <v>0</v>
      </c>
      <c r="J151" s="1670">
        <f t="shared" si="16"/>
        <v>0</v>
      </c>
      <c r="K151" s="1670">
        <f t="shared" si="16"/>
        <v>473288</v>
      </c>
      <c r="L151" s="1670">
        <f>SUM(L129,L130,L139,L149,L150)</f>
        <v>502363</v>
      </c>
    </row>
    <row r="152" spans="1:14" ht="12.75" customHeight="1" thickTop="1" x14ac:dyDescent="0.2">
      <c r="A152" s="2175" t="s">
        <v>1178</v>
      </c>
      <c r="B152" s="2176"/>
      <c r="C152" s="618"/>
      <c r="D152" s="618"/>
      <c r="E152" s="618"/>
      <c r="F152" s="618"/>
      <c r="G152" s="618"/>
      <c r="H152" s="618"/>
      <c r="I152" s="618"/>
      <c r="J152" s="616"/>
      <c r="K152" s="1684">
        <f>'Revenues 9-14'!D268-'Expenditures 15-22'!K151</f>
        <v>-37737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32244</v>
      </c>
      <c r="I169" s="616"/>
      <c r="J169" s="616"/>
      <c r="K169" s="1671">
        <f>SUM(C169:H169)</f>
        <v>32244</v>
      </c>
      <c r="L169" s="656">
        <v>3500</v>
      </c>
    </row>
    <row r="170" spans="1:14" ht="33.75" customHeight="1" x14ac:dyDescent="0.2">
      <c r="A170" s="669" t="s">
        <v>1670</v>
      </c>
      <c r="B170" s="671" t="s">
        <v>31</v>
      </c>
      <c r="C170" s="616"/>
      <c r="D170" s="616"/>
      <c r="E170" s="616"/>
      <c r="F170" s="616"/>
      <c r="G170" s="616"/>
      <c r="H170" s="569">
        <v>153000</v>
      </c>
      <c r="I170" s="616"/>
      <c r="J170" s="616"/>
      <c r="K170" s="1671">
        <f>SUM(C170:J170)</f>
        <v>153000</v>
      </c>
      <c r="L170" s="569">
        <v>182000</v>
      </c>
    </row>
    <row r="171" spans="1:14" ht="15.75" customHeight="1" x14ac:dyDescent="0.2">
      <c r="A171" s="621" t="s">
        <v>766</v>
      </c>
      <c r="B171" s="672" t="s">
        <v>84</v>
      </c>
      <c r="C171" s="616"/>
      <c r="D171" s="616"/>
      <c r="E171" s="466"/>
      <c r="F171" s="616"/>
      <c r="G171" s="616"/>
      <c r="H171" s="569"/>
      <c r="I171" s="477"/>
      <c r="J171" s="616"/>
      <c r="K171" s="1671">
        <f>SUM(C171:J171)</f>
        <v>0</v>
      </c>
      <c r="L171" s="569">
        <v>268</v>
      </c>
    </row>
    <row r="172" spans="1:14" ht="12.75" customHeight="1" thickBot="1" x14ac:dyDescent="0.25">
      <c r="A172" s="1668" t="s">
        <v>638</v>
      </c>
      <c r="B172" s="1669" t="s">
        <v>492</v>
      </c>
      <c r="C172" s="616"/>
      <c r="D172" s="616"/>
      <c r="E172" s="1677">
        <f>SUM(E168,E169,E170,E171)</f>
        <v>0</v>
      </c>
      <c r="F172" s="616"/>
      <c r="G172" s="616"/>
      <c r="H172" s="1677">
        <f>SUM(H168,H169,H170,H171)</f>
        <v>185244</v>
      </c>
      <c r="I172" s="638"/>
      <c r="J172" s="616"/>
      <c r="K172" s="1677">
        <f>SUM(K168,K169,K170,K171)</f>
        <v>185244</v>
      </c>
      <c r="L172" s="1677">
        <f>SUM(L168,L169,L170,L171)</f>
        <v>185768</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185244</v>
      </c>
      <c r="I174" s="638"/>
      <c r="J174" s="616"/>
      <c r="K174" s="1677">
        <f>SUM(K160,K172,K173)</f>
        <v>185244</v>
      </c>
      <c r="L174" s="1677">
        <f>SUM(L160,L172,L173)</f>
        <v>185768</v>
      </c>
    </row>
    <row r="175" spans="1:14" ht="13.5" thickTop="1" x14ac:dyDescent="0.2">
      <c r="A175" s="2155" t="s">
        <v>996</v>
      </c>
      <c r="B175" s="2156"/>
      <c r="C175" s="616"/>
      <c r="D175" s="616"/>
      <c r="E175" s="616"/>
      <c r="F175" s="616"/>
      <c r="G175" s="616"/>
      <c r="H175" s="618"/>
      <c r="I175" s="616"/>
      <c r="J175" s="616"/>
      <c r="K175" s="1684">
        <f>'Revenues 9-14'!E268-'Expenditures 15-22'!K174</f>
        <v>-38768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80163</v>
      </c>
      <c r="D182" s="466">
        <v>8810</v>
      </c>
      <c r="E182" s="466">
        <v>8245</v>
      </c>
      <c r="F182" s="466">
        <v>21616</v>
      </c>
      <c r="G182" s="466"/>
      <c r="H182" s="466"/>
      <c r="I182" s="467"/>
      <c r="J182" s="467"/>
      <c r="K182" s="1671">
        <f>SUM(C182:J182)</f>
        <v>118834</v>
      </c>
      <c r="L182" s="466">
        <v>226831</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80163</v>
      </c>
      <c r="D184" s="1677">
        <f t="shared" ref="D184:J184" si="17">SUM(D180,D182,D183)</f>
        <v>8810</v>
      </c>
      <c r="E184" s="1677">
        <f t="shared" si="17"/>
        <v>8245</v>
      </c>
      <c r="F184" s="1677">
        <f t="shared" si="17"/>
        <v>21616</v>
      </c>
      <c r="G184" s="1677">
        <f t="shared" si="17"/>
        <v>0</v>
      </c>
      <c r="H184" s="1677">
        <f t="shared" si="17"/>
        <v>0</v>
      </c>
      <c r="I184" s="1677">
        <f t="shared" si="17"/>
        <v>0</v>
      </c>
      <c r="J184" s="1677">
        <f t="shared" si="17"/>
        <v>0</v>
      </c>
      <c r="K184" s="1677">
        <f>SUM(K180,K182,K183)</f>
        <v>118834</v>
      </c>
      <c r="L184" s="1677">
        <f>SUM(L180, L182:L183)</f>
        <v>226831</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80163</v>
      </c>
      <c r="D210" s="1670">
        <f>SUM(D184,D185)</f>
        <v>8810</v>
      </c>
      <c r="E210" s="1670">
        <f>SUM(E184,E185,E196)</f>
        <v>8245</v>
      </c>
      <c r="F210" s="1670">
        <f>SUM(F184,F185)</f>
        <v>21616</v>
      </c>
      <c r="G210" s="1670">
        <f>SUM(G184,G185)</f>
        <v>0</v>
      </c>
      <c r="H210" s="1670">
        <f>SUM(H184,H185,H196,H208,H209)</f>
        <v>0</v>
      </c>
      <c r="I210" s="1670">
        <f>SUM(I184,I185)</f>
        <v>0</v>
      </c>
      <c r="J210" s="1670">
        <f>SUM(J184,J185)</f>
        <v>0</v>
      </c>
      <c r="K210" s="1671">
        <f>SUM(K184,K185,K196,K208,K209)</f>
        <v>118834</v>
      </c>
      <c r="L210" s="1670">
        <f>SUM(L184,L185,L196,L208,L209)</f>
        <v>226831</v>
      </c>
    </row>
    <row r="211" spans="1:14" ht="13.5" thickTop="1" x14ac:dyDescent="0.2">
      <c r="A211" s="2155" t="s">
        <v>996</v>
      </c>
      <c r="B211" s="2156"/>
      <c r="C211" s="618"/>
      <c r="D211" s="618"/>
      <c r="E211" s="618"/>
      <c r="F211" s="618"/>
      <c r="G211" s="618"/>
      <c r="H211" s="618"/>
      <c r="I211" s="616"/>
      <c r="J211" s="616"/>
      <c r="K211" s="1684">
        <f>'Revenues 9-14'!F268-'Expenditures 15-22'!K210</f>
        <v>41396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102031</v>
      </c>
      <c r="E215" s="616"/>
      <c r="F215" s="616"/>
      <c r="G215" s="616"/>
      <c r="H215" s="616"/>
      <c r="I215" s="616"/>
      <c r="J215" s="616"/>
      <c r="K215" s="1671">
        <f>D215</f>
        <v>102031</v>
      </c>
      <c r="L215" s="466">
        <v>104383</v>
      </c>
    </row>
    <row r="216" spans="1:14" x14ac:dyDescent="0.2">
      <c r="A216" s="1504" t="s">
        <v>163</v>
      </c>
      <c r="B216" s="614" t="s">
        <v>967</v>
      </c>
      <c r="C216" s="616"/>
      <c r="D216" s="467">
        <v>7150</v>
      </c>
      <c r="E216" s="616"/>
      <c r="F216" s="616"/>
      <c r="G216" s="616"/>
      <c r="H216" s="616"/>
      <c r="I216" s="616"/>
      <c r="J216" s="616"/>
      <c r="K216" s="1671">
        <f t="shared" ref="K216:K228" si="19">D216</f>
        <v>7150</v>
      </c>
      <c r="L216" s="466">
        <v>8095</v>
      </c>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454</v>
      </c>
      <c r="E219" s="616"/>
      <c r="F219" s="616"/>
      <c r="G219" s="616"/>
      <c r="H219" s="616"/>
      <c r="I219" s="616"/>
      <c r="J219" s="616"/>
      <c r="K219" s="1671">
        <f t="shared" si="19"/>
        <v>454</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16167</v>
      </c>
      <c r="E222" s="616"/>
      <c r="F222" s="616"/>
      <c r="G222" s="616"/>
      <c r="H222" s="616"/>
      <c r="I222" s="616"/>
      <c r="J222" s="616"/>
      <c r="K222" s="1671">
        <f t="shared" si="19"/>
        <v>16167</v>
      </c>
      <c r="L222" s="466">
        <v>15304</v>
      </c>
    </row>
    <row r="223" spans="1:14" x14ac:dyDescent="0.2">
      <c r="A223" s="1504" t="s">
        <v>963</v>
      </c>
      <c r="B223" s="614">
        <v>1500</v>
      </c>
      <c r="C223" s="616"/>
      <c r="D223" s="466">
        <v>5289</v>
      </c>
      <c r="E223" s="616"/>
      <c r="F223" s="616"/>
      <c r="G223" s="616"/>
      <c r="H223" s="616"/>
      <c r="I223" s="616"/>
      <c r="J223" s="616"/>
      <c r="K223" s="1671">
        <f t="shared" si="19"/>
        <v>5289</v>
      </c>
      <c r="L223" s="466">
        <v>6313</v>
      </c>
    </row>
    <row r="224" spans="1:14" x14ac:dyDescent="0.2">
      <c r="A224" s="1504" t="s">
        <v>964</v>
      </c>
      <c r="B224" s="614">
        <v>1600</v>
      </c>
      <c r="C224" s="616"/>
      <c r="D224" s="466">
        <v>1378</v>
      </c>
      <c r="E224" s="616"/>
      <c r="F224" s="616"/>
      <c r="G224" s="616"/>
      <c r="H224" s="616"/>
      <c r="I224" s="616"/>
      <c r="J224" s="616"/>
      <c r="K224" s="1671">
        <f t="shared" si="19"/>
        <v>1378</v>
      </c>
      <c r="L224" s="466">
        <v>568</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132469</v>
      </c>
      <c r="E229" s="616"/>
      <c r="F229" s="616"/>
      <c r="G229" s="616"/>
      <c r="H229" s="616"/>
      <c r="I229" s="616"/>
      <c r="J229" s="616"/>
      <c r="K229" s="1670">
        <f>SUM(K215:K228)</f>
        <v>132469</v>
      </c>
      <c r="L229" s="1670">
        <f>SUM(L215:L228)</f>
        <v>134663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997</v>
      </c>
      <c r="E233" s="616"/>
      <c r="F233" s="616"/>
      <c r="G233" s="616"/>
      <c r="H233" s="616"/>
      <c r="I233" s="616"/>
      <c r="J233" s="616"/>
      <c r="K233" s="1671">
        <f t="shared" si="20"/>
        <v>997</v>
      </c>
      <c r="L233" s="466">
        <v>837</v>
      </c>
    </row>
    <row r="234" spans="1:12" x14ac:dyDescent="0.2">
      <c r="A234" s="1504" t="s">
        <v>198</v>
      </c>
      <c r="B234" s="614">
        <v>2130</v>
      </c>
      <c r="C234" s="616"/>
      <c r="D234" s="466">
        <v>7765</v>
      </c>
      <c r="E234" s="616"/>
      <c r="F234" s="616"/>
      <c r="G234" s="616"/>
      <c r="H234" s="616"/>
      <c r="I234" s="616"/>
      <c r="J234" s="616"/>
      <c r="K234" s="1671">
        <f t="shared" si="20"/>
        <v>7765</v>
      </c>
      <c r="L234" s="466">
        <v>8851</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8762</v>
      </c>
      <c r="E238" s="616"/>
      <c r="F238" s="616"/>
      <c r="G238" s="616"/>
      <c r="H238" s="616"/>
      <c r="I238" s="616"/>
      <c r="J238" s="616"/>
      <c r="K238" s="1670">
        <f>SUM(K232:K237)</f>
        <v>8762</v>
      </c>
      <c r="L238" s="1670">
        <f>SUM(L232:L237)</f>
        <v>9688</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3903</v>
      </c>
      <c r="E241" s="616"/>
      <c r="F241" s="616"/>
      <c r="G241" s="616"/>
      <c r="H241" s="616"/>
      <c r="I241" s="616"/>
      <c r="J241" s="616"/>
      <c r="K241" s="1672">
        <f>D241</f>
        <v>3903</v>
      </c>
      <c r="L241" s="466">
        <v>3891</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3903</v>
      </c>
      <c r="E243" s="616"/>
      <c r="F243" s="616"/>
      <c r="G243" s="616"/>
      <c r="H243" s="616"/>
      <c r="I243" s="616"/>
      <c r="J243" s="616"/>
      <c r="K243" s="1670">
        <f>SUM(K240:K242)</f>
        <v>3903</v>
      </c>
      <c r="L243" s="1670">
        <f>SUM(L240:L242)</f>
        <v>3891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48</v>
      </c>
      <c r="E245" s="616"/>
      <c r="F245" s="616"/>
      <c r="G245" s="616"/>
      <c r="H245" s="616"/>
      <c r="I245" s="616"/>
      <c r="J245" s="616"/>
      <c r="K245" s="1672">
        <f>D245</f>
        <v>48</v>
      </c>
      <c r="L245" s="481">
        <v>48</v>
      </c>
    </row>
    <row r="246" spans="1:12" x14ac:dyDescent="0.2">
      <c r="A246" s="1504" t="s">
        <v>818</v>
      </c>
      <c r="B246" s="614">
        <v>2320</v>
      </c>
      <c r="C246" s="616"/>
      <c r="D246" s="466">
        <v>8202</v>
      </c>
      <c r="E246" s="616"/>
      <c r="F246" s="616"/>
      <c r="G246" s="616"/>
      <c r="H246" s="616"/>
      <c r="I246" s="616"/>
      <c r="J246" s="616"/>
      <c r="K246" s="1672">
        <f t="shared" ref="K246:K256" si="21">D246</f>
        <v>8202</v>
      </c>
      <c r="L246" s="466">
        <v>8092</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319</v>
      </c>
      <c r="E254" s="616"/>
      <c r="F254" s="616"/>
      <c r="G254" s="616"/>
      <c r="H254" s="616"/>
      <c r="I254" s="616"/>
      <c r="J254" s="616"/>
      <c r="K254" s="1672">
        <f t="shared" si="21"/>
        <v>319</v>
      </c>
      <c r="L254" s="466">
        <v>477</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8569</v>
      </c>
      <c r="E257" s="616"/>
      <c r="F257" s="616"/>
      <c r="G257" s="616"/>
      <c r="H257" s="616"/>
      <c r="I257" s="616"/>
      <c r="J257" s="616"/>
      <c r="K257" s="1670">
        <f>SUM(K245:K256)</f>
        <v>8569</v>
      </c>
      <c r="L257" s="1670">
        <f>SUM(L245:L256)</f>
        <v>8617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28140</v>
      </c>
      <c r="E259" s="616"/>
      <c r="F259" s="616"/>
      <c r="G259" s="616"/>
      <c r="H259" s="616"/>
      <c r="I259" s="616"/>
      <c r="J259" s="616"/>
      <c r="K259" s="1672">
        <f>D259</f>
        <v>28140</v>
      </c>
      <c r="L259" s="481">
        <v>28253</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28140</v>
      </c>
      <c r="E261" s="616"/>
      <c r="F261" s="616"/>
      <c r="G261" s="616"/>
      <c r="H261" s="616"/>
      <c r="I261" s="616"/>
      <c r="J261" s="616"/>
      <c r="K261" s="1670">
        <f>SUM(K259:K260)</f>
        <v>28140</v>
      </c>
      <c r="L261" s="1670">
        <f>SUM(L259:L260)</f>
        <v>28253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1907</v>
      </c>
      <c r="E264" s="616"/>
      <c r="F264" s="616"/>
      <c r="G264" s="616"/>
      <c r="H264" s="616"/>
      <c r="I264" s="616"/>
      <c r="J264" s="616"/>
      <c r="K264" s="1672">
        <f t="shared" ref="K264:K269" si="22">D264</f>
        <v>1907</v>
      </c>
      <c r="L264" s="466">
        <v>1965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48299</v>
      </c>
      <c r="E266" s="616"/>
      <c r="F266" s="616"/>
      <c r="G266" s="616"/>
      <c r="H266" s="616"/>
      <c r="I266" s="616"/>
      <c r="J266" s="616"/>
      <c r="K266" s="1672">
        <f t="shared" si="22"/>
        <v>48299</v>
      </c>
      <c r="L266" s="466">
        <v>48745</v>
      </c>
    </row>
    <row r="267" spans="1:14" x14ac:dyDescent="0.2">
      <c r="A267" s="1504" t="s">
        <v>953</v>
      </c>
      <c r="B267" s="614">
        <v>2550</v>
      </c>
      <c r="C267" s="616"/>
      <c r="D267" s="466">
        <v>13542</v>
      </c>
      <c r="E267" s="616"/>
      <c r="F267" s="616"/>
      <c r="G267" s="616"/>
      <c r="H267" s="616"/>
      <c r="I267" s="616"/>
      <c r="J267" s="616"/>
      <c r="K267" s="1672">
        <f t="shared" si="22"/>
        <v>13542</v>
      </c>
      <c r="L267" s="466">
        <v>12812</v>
      </c>
    </row>
    <row r="268" spans="1:14" x14ac:dyDescent="0.2">
      <c r="A268" s="1504" t="s">
        <v>100</v>
      </c>
      <c r="B268" s="614">
        <v>2560</v>
      </c>
      <c r="C268" s="616"/>
      <c r="D268" s="466">
        <v>17604</v>
      </c>
      <c r="E268" s="616"/>
      <c r="F268" s="616"/>
      <c r="G268" s="616"/>
      <c r="H268" s="616"/>
      <c r="I268" s="616"/>
      <c r="J268" s="616"/>
      <c r="K268" s="1672">
        <f t="shared" si="22"/>
        <v>17604</v>
      </c>
      <c r="L268" s="466">
        <v>18072</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81352</v>
      </c>
      <c r="E270" s="616"/>
      <c r="F270" s="616"/>
      <c r="G270" s="616"/>
      <c r="H270" s="616"/>
      <c r="I270" s="616"/>
      <c r="J270" s="616"/>
      <c r="K270" s="1670">
        <f>SUM(K263:K269)</f>
        <v>81352</v>
      </c>
      <c r="L270" s="1670">
        <f>SUM(L263:L269)</f>
        <v>81594</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130726</v>
      </c>
      <c r="E279" s="616"/>
      <c r="F279" s="616"/>
      <c r="G279" s="616"/>
      <c r="H279" s="616"/>
      <c r="I279" s="616"/>
      <c r="J279" s="616"/>
      <c r="K279" s="1677">
        <f>SUM(K238,K243,K257,K261,K270,K277,K278)</f>
        <v>130726</v>
      </c>
      <c r="L279" s="1677">
        <f>SUM(L238,L243,L257,L261,L270,L277,L278)</f>
        <v>132043</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263195</v>
      </c>
      <c r="E295" s="616"/>
      <c r="F295" s="616"/>
      <c r="G295" s="616"/>
      <c r="H295" s="1670">
        <f>H293</f>
        <v>0</v>
      </c>
      <c r="I295" s="616"/>
      <c r="J295" s="616"/>
      <c r="K295" s="1670">
        <f>SUM(K229,K279,K280,K285,K293,K294)</f>
        <v>263195</v>
      </c>
      <c r="L295" s="1670">
        <f>SUM(L229,L279,L280,L285,L293,L294)</f>
        <v>266706</v>
      </c>
    </row>
    <row r="296" spans="1:14" ht="13.5" thickTop="1" x14ac:dyDescent="0.2">
      <c r="A296" s="2155" t="s">
        <v>996</v>
      </c>
      <c r="B296" s="2156"/>
      <c r="C296" s="616"/>
      <c r="D296" s="618"/>
      <c r="E296" s="616"/>
      <c r="F296" s="616"/>
      <c r="G296" s="616"/>
      <c r="H296" s="687"/>
      <c r="I296" s="616"/>
      <c r="J296" s="616"/>
      <c r="K296" s="1684">
        <f>'Revenues 9-14'!G268-'Expenditures 15-22'!K295</f>
        <v>-22216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1959</v>
      </c>
      <c r="F301" s="466">
        <v>5093</v>
      </c>
      <c r="G301" s="466">
        <v>8760</v>
      </c>
      <c r="H301" s="466"/>
      <c r="I301" s="467"/>
      <c r="J301" s="467"/>
      <c r="K301" s="1671">
        <f>SUM(C301:J301)</f>
        <v>15812</v>
      </c>
      <c r="L301" s="467">
        <v>109006</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1959</v>
      </c>
      <c r="F303" s="1677">
        <f t="shared" si="23"/>
        <v>5093</v>
      </c>
      <c r="G303" s="1677">
        <f t="shared" si="23"/>
        <v>8760</v>
      </c>
      <c r="H303" s="1677">
        <f t="shared" si="23"/>
        <v>0</v>
      </c>
      <c r="I303" s="1677">
        <f t="shared" si="23"/>
        <v>0</v>
      </c>
      <c r="J303" s="1677">
        <f t="shared" si="23"/>
        <v>0</v>
      </c>
      <c r="K303" s="1677">
        <f t="shared" si="23"/>
        <v>15812</v>
      </c>
      <c r="L303" s="1677">
        <f t="shared" si="23"/>
        <v>109006</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1959</v>
      </c>
      <c r="F312" s="1670">
        <f>SUM(F303)</f>
        <v>5093</v>
      </c>
      <c r="G312" s="1670">
        <f>SUM(G303)</f>
        <v>8760</v>
      </c>
      <c r="H312" s="1670">
        <f>SUM(H303,H310)</f>
        <v>0</v>
      </c>
      <c r="I312" s="1670">
        <f>SUM(I303)</f>
        <v>0</v>
      </c>
      <c r="J312" s="1670">
        <f>SUM(J303)</f>
        <v>0</v>
      </c>
      <c r="K312" s="1670">
        <f>SUM(K303,K310,K311)</f>
        <v>15812</v>
      </c>
      <c r="L312" s="1670">
        <f>SUM(L303,L310,L311)</f>
        <v>109006</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-2064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v>1000</v>
      </c>
      <c r="M320" s="665"/>
      <c r="N320" s="665"/>
    </row>
    <row r="321" spans="1:14" s="674" customFormat="1" x14ac:dyDescent="0.2">
      <c r="A321" s="1519" t="s">
        <v>300</v>
      </c>
      <c r="B321" s="697" t="s">
        <v>283</v>
      </c>
      <c r="C321" s="467">
        <v>270</v>
      </c>
      <c r="D321" s="467"/>
      <c r="E321" s="467"/>
      <c r="F321" s="467"/>
      <c r="G321" s="467"/>
      <c r="H321" s="467"/>
      <c r="I321" s="467"/>
      <c r="J321" s="467"/>
      <c r="K321" s="1671">
        <f t="shared" si="24"/>
        <v>270</v>
      </c>
      <c r="L321" s="467">
        <v>4000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v>178480</v>
      </c>
      <c r="F323" s="467">
        <v>13618</v>
      </c>
      <c r="G323" s="467"/>
      <c r="H323" s="467"/>
      <c r="I323" s="467"/>
      <c r="J323" s="467"/>
      <c r="K323" s="1671">
        <f t="shared" si="24"/>
        <v>192098</v>
      </c>
      <c r="L323" s="467">
        <v>186000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5000</v>
      </c>
      <c r="M324" s="665"/>
      <c r="N324" s="665"/>
    </row>
    <row r="325" spans="1:14" s="674" customFormat="1" ht="22.5" x14ac:dyDescent="0.2">
      <c r="A325" s="1519" t="s">
        <v>1029</v>
      </c>
      <c r="B325" s="698" t="s">
        <v>287</v>
      </c>
      <c r="C325" s="467">
        <v>346589</v>
      </c>
      <c r="D325" s="467"/>
      <c r="E325" s="467"/>
      <c r="F325" s="467"/>
      <c r="G325" s="467"/>
      <c r="H325" s="467"/>
      <c r="I325" s="467"/>
      <c r="J325" s="467"/>
      <c r="K325" s="1671">
        <f t="shared" si="24"/>
        <v>346589</v>
      </c>
      <c r="L325" s="467">
        <v>343200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10024</v>
      </c>
      <c r="F327" s="467"/>
      <c r="G327" s="467"/>
      <c r="H327" s="467"/>
      <c r="I327" s="467"/>
      <c r="J327" s="467"/>
      <c r="K327" s="1671">
        <f t="shared" si="24"/>
        <v>10024</v>
      </c>
      <c r="L327" s="467">
        <v>13260</v>
      </c>
      <c r="M327" s="665"/>
      <c r="N327" s="665"/>
    </row>
    <row r="328" spans="1:14" s="674" customFormat="1" x14ac:dyDescent="0.2">
      <c r="A328" s="1520" t="s">
        <v>472</v>
      </c>
      <c r="B328" s="690" t="s">
        <v>1132</v>
      </c>
      <c r="C328" s="474"/>
      <c r="D328" s="474"/>
      <c r="E328" s="474">
        <v>79100</v>
      </c>
      <c r="F328" s="474"/>
      <c r="G328" s="474"/>
      <c r="H328" s="474"/>
      <c r="I328" s="474"/>
      <c r="J328" s="474"/>
      <c r="K328" s="1699">
        <f>SUM(C328:J328)</f>
        <v>79100</v>
      </c>
      <c r="L328" s="474">
        <v>78450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346859</v>
      </c>
      <c r="D330" s="1670">
        <f t="shared" ref="D330:J330" si="25">SUM(D319:D329)</f>
        <v>0</v>
      </c>
      <c r="E330" s="1670">
        <f t="shared" si="25"/>
        <v>267604</v>
      </c>
      <c r="F330" s="1670">
        <f t="shared" si="25"/>
        <v>13618</v>
      </c>
      <c r="G330" s="1670">
        <f t="shared" si="25"/>
        <v>0</v>
      </c>
      <c r="H330" s="1670">
        <f t="shared" si="25"/>
        <v>0</v>
      </c>
      <c r="I330" s="1670">
        <f t="shared" si="25"/>
        <v>0</v>
      </c>
      <c r="J330" s="1670">
        <f t="shared" si="25"/>
        <v>0</v>
      </c>
      <c r="K330" s="1670">
        <f>SUM(K319:K329)</f>
        <v>628081</v>
      </c>
      <c r="L330" s="1670">
        <f>SUM(L319:L329)</f>
        <v>630910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346859</v>
      </c>
      <c r="D342" s="1670">
        <f>SUM(D330)</f>
        <v>0</v>
      </c>
      <c r="E342" s="1670">
        <f>SUM(E330)</f>
        <v>267604</v>
      </c>
      <c r="F342" s="1670">
        <f>SUM(F330)</f>
        <v>13618</v>
      </c>
      <c r="G342" s="1670">
        <f>SUM(G330)</f>
        <v>0</v>
      </c>
      <c r="H342" s="1670">
        <f>SUM(H330,H334,H340)</f>
        <v>0</v>
      </c>
      <c r="I342" s="1670">
        <f>SUM(I330)</f>
        <v>0</v>
      </c>
      <c r="J342" s="1670">
        <f>SUM(J330)</f>
        <v>0</v>
      </c>
      <c r="K342" s="1670">
        <f>SUM(K330,K334,K340)</f>
        <v>628081</v>
      </c>
      <c r="L342" s="1677">
        <f>SUM(L330,L340,L341)</f>
        <v>630910</v>
      </c>
    </row>
    <row r="343" spans="1:14" ht="12.75" customHeight="1" thickTop="1" x14ac:dyDescent="0.2">
      <c r="A343" s="2168" t="s">
        <v>996</v>
      </c>
      <c r="B343" s="2169"/>
      <c r="C343" s="616"/>
      <c r="D343" s="616"/>
      <c r="E343" s="616"/>
      <c r="F343" s="616"/>
      <c r="G343" s="616"/>
      <c r="H343" s="616"/>
      <c r="I343" s="616"/>
      <c r="J343" s="616"/>
      <c r="K343" s="1684">
        <f>'Revenues 9-14'!J268-'Expenditures 15-22'!K342</f>
        <v>-194705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16523</v>
      </c>
      <c r="F348" s="466">
        <v>566</v>
      </c>
      <c r="G348" s="466">
        <v>62509</v>
      </c>
      <c r="H348" s="466"/>
      <c r="I348" s="467"/>
      <c r="J348" s="467"/>
      <c r="K348" s="1671">
        <f>SUM(C348:J348)</f>
        <v>79598</v>
      </c>
      <c r="L348" s="466">
        <v>79650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16523</v>
      </c>
      <c r="F350" s="1670">
        <f t="shared" si="26"/>
        <v>566</v>
      </c>
      <c r="G350" s="1670">
        <f t="shared" si="26"/>
        <v>62509</v>
      </c>
      <c r="H350" s="1670">
        <f t="shared" si="26"/>
        <v>0</v>
      </c>
      <c r="I350" s="1670">
        <f t="shared" si="26"/>
        <v>0</v>
      </c>
      <c r="J350" s="1670">
        <f t="shared" si="26"/>
        <v>0</v>
      </c>
      <c r="K350" s="1670">
        <f t="shared" si="26"/>
        <v>79598</v>
      </c>
      <c r="L350" s="1670">
        <f t="shared" si="26"/>
        <v>79650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16523</v>
      </c>
      <c r="F352" s="1670">
        <f t="shared" si="27"/>
        <v>566</v>
      </c>
      <c r="G352" s="1670">
        <f t="shared" si="27"/>
        <v>62509</v>
      </c>
      <c r="H352" s="1670">
        <f t="shared" si="27"/>
        <v>0</v>
      </c>
      <c r="I352" s="1670">
        <f t="shared" si="27"/>
        <v>0</v>
      </c>
      <c r="J352" s="1670">
        <f t="shared" si="27"/>
        <v>0</v>
      </c>
      <c r="K352" s="1670">
        <f t="shared" si="27"/>
        <v>79598</v>
      </c>
      <c r="L352" s="1670">
        <f t="shared" si="27"/>
        <v>79650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16523</v>
      </c>
      <c r="F367" s="1670">
        <f t="shared" si="28"/>
        <v>566</v>
      </c>
      <c r="G367" s="1670">
        <f t="shared" si="28"/>
        <v>62509</v>
      </c>
      <c r="H367" s="1670">
        <f t="shared" si="28"/>
        <v>0</v>
      </c>
      <c r="I367" s="1670">
        <f t="shared" si="28"/>
        <v>0</v>
      </c>
      <c r="J367" s="1670">
        <f t="shared" si="28"/>
        <v>0</v>
      </c>
      <c r="K367" s="1670">
        <f t="shared" si="28"/>
        <v>79598</v>
      </c>
      <c r="L367" s="1670">
        <f t="shared" si="28"/>
        <v>79650</v>
      </c>
    </row>
    <row r="368" spans="1:14" ht="13.5" thickTop="1" x14ac:dyDescent="0.2">
      <c r="A368" s="2155" t="s">
        <v>996</v>
      </c>
      <c r="B368" s="2156"/>
      <c r="C368" s="654"/>
      <c r="D368" s="654"/>
      <c r="E368" s="626"/>
      <c r="F368" s="626"/>
      <c r="G368" s="626"/>
      <c r="H368" s="626"/>
      <c r="I368" s="626"/>
      <c r="J368" s="623"/>
      <c r="K368" s="1671">
        <f>'Revenues 9-14'!K268-'Expenditures 15-22'!K367</f>
        <v>-45918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13" sqref="T13:AA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1951</v>
      </c>
      <c r="C2" s="714" t="s">
        <v>1952</v>
      </c>
      <c r="D2" s="714" t="s">
        <v>1953</v>
      </c>
      <c r="E2" s="714" t="s">
        <v>1954</v>
      </c>
      <c r="F2" s="714" t="s">
        <v>1955</v>
      </c>
    </row>
    <row r="3" spans="1:6" ht="12" customHeight="1" x14ac:dyDescent="0.2">
      <c r="A3" s="2183"/>
      <c r="B3" s="1525"/>
      <c r="C3" s="1526"/>
      <c r="D3" s="1527" t="s">
        <v>256</v>
      </c>
      <c r="E3" s="1526"/>
      <c r="F3" s="1527" t="s">
        <v>257</v>
      </c>
    </row>
    <row r="4" spans="1:6" ht="13.7" customHeight="1" x14ac:dyDescent="0.2">
      <c r="A4" s="715" t="s">
        <v>1155</v>
      </c>
      <c r="B4" s="1749">
        <f>'Revenues 9-14'!C5</f>
        <v>1122791</v>
      </c>
      <c r="C4" s="1524">
        <v>344650</v>
      </c>
      <c r="D4" s="1752">
        <f>B4-C4</f>
        <v>778141</v>
      </c>
      <c r="E4" s="1524">
        <v>1471556</v>
      </c>
      <c r="F4" s="1752">
        <f>E4-C4</f>
        <v>1126906</v>
      </c>
    </row>
    <row r="5" spans="1:6" ht="13.7" customHeight="1" x14ac:dyDescent="0.2">
      <c r="A5" s="715" t="s">
        <v>870</v>
      </c>
      <c r="B5" s="1750">
        <f>'Revenues 9-14'!D5</f>
        <v>305050</v>
      </c>
      <c r="C5" s="585">
        <v>93599</v>
      </c>
      <c r="D5" s="1753">
        <f t="shared" ref="D5:D18" si="0">B5-C5</f>
        <v>211451</v>
      </c>
      <c r="E5" s="585">
        <v>399639</v>
      </c>
      <c r="F5" s="1753">
        <f>E5-C5</f>
        <v>306040</v>
      </c>
    </row>
    <row r="6" spans="1:6" ht="13.7" customHeight="1" x14ac:dyDescent="0.2">
      <c r="A6" s="715" t="s">
        <v>411</v>
      </c>
      <c r="B6" s="1750">
        <f>'Revenues 9-14'!E5</f>
        <v>146430</v>
      </c>
      <c r="C6" s="585">
        <v>43587</v>
      </c>
      <c r="D6" s="1753">
        <f t="shared" si="0"/>
        <v>102843</v>
      </c>
      <c r="E6" s="585">
        <v>186104</v>
      </c>
      <c r="F6" s="1753">
        <f t="shared" ref="F6:F18" si="1">E6-C6</f>
        <v>142517</v>
      </c>
    </row>
    <row r="7" spans="1:6" ht="13.7" customHeight="1" x14ac:dyDescent="0.2">
      <c r="A7" s="715" t="s">
        <v>155</v>
      </c>
      <c r="B7" s="1750">
        <f>'Revenues 9-14'!F5</f>
        <v>122043</v>
      </c>
      <c r="C7" s="585">
        <v>37462</v>
      </c>
      <c r="D7" s="1753">
        <f t="shared" si="0"/>
        <v>84581</v>
      </c>
      <c r="E7" s="585">
        <v>159952</v>
      </c>
      <c r="F7" s="1753">
        <f t="shared" si="1"/>
        <v>122490</v>
      </c>
    </row>
    <row r="8" spans="1:6" ht="13.7" customHeight="1" x14ac:dyDescent="0.2">
      <c r="A8" s="715" t="s">
        <v>1179</v>
      </c>
      <c r="B8" s="1750">
        <f>'Revenues 9-14'!G5</f>
        <v>69573</v>
      </c>
      <c r="C8" s="585">
        <v>14048</v>
      </c>
      <c r="D8" s="1753">
        <f t="shared" si="0"/>
        <v>55525</v>
      </c>
      <c r="E8" s="585">
        <v>59982</v>
      </c>
      <c r="F8" s="1753">
        <f t="shared" si="1"/>
        <v>45934</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28787</v>
      </c>
      <c r="C10" s="585">
        <v>7642</v>
      </c>
      <c r="D10" s="1753">
        <f t="shared" si="0"/>
        <v>21145</v>
      </c>
      <c r="E10" s="585">
        <v>32630</v>
      </c>
      <c r="F10" s="1753">
        <f t="shared" si="1"/>
        <v>24988</v>
      </c>
    </row>
    <row r="11" spans="1:6" x14ac:dyDescent="0.2">
      <c r="A11" s="715" t="s">
        <v>409</v>
      </c>
      <c r="B11" s="1750">
        <f>'Revenues 9-14'!J5</f>
        <v>432729</v>
      </c>
      <c r="C11" s="585">
        <v>144041</v>
      </c>
      <c r="D11" s="1753">
        <f t="shared" si="0"/>
        <v>288688</v>
      </c>
      <c r="E11" s="585">
        <v>615015</v>
      </c>
      <c r="F11" s="1753">
        <f t="shared" si="1"/>
        <v>470974</v>
      </c>
    </row>
    <row r="12" spans="1:6" ht="13.7" customHeight="1" x14ac:dyDescent="0.2">
      <c r="A12" s="715" t="s">
        <v>157</v>
      </c>
      <c r="B12" s="1750">
        <f>'Revenues 9-14'!K5</f>
        <v>28788</v>
      </c>
      <c r="C12" s="585">
        <v>7642</v>
      </c>
      <c r="D12" s="1753">
        <f t="shared" si="0"/>
        <v>21146</v>
      </c>
      <c r="E12" s="585">
        <v>32630</v>
      </c>
      <c r="F12" s="1753">
        <f t="shared" si="1"/>
        <v>24988</v>
      </c>
    </row>
    <row r="13" spans="1:6" ht="13.7" customHeight="1" x14ac:dyDescent="0.2">
      <c r="A13" s="715" t="s">
        <v>936</v>
      </c>
      <c r="B13" s="1750">
        <f>SUM('Revenues 9-14'!C6:D6)</f>
        <v>23056</v>
      </c>
      <c r="C13" s="585">
        <v>1911</v>
      </c>
      <c r="D13" s="1753">
        <f t="shared" si="0"/>
        <v>21145</v>
      </c>
      <c r="E13" s="585">
        <v>8158</v>
      </c>
      <c r="F13" s="1753">
        <f t="shared" si="1"/>
        <v>6247</v>
      </c>
    </row>
    <row r="14" spans="1:6" ht="13.7" customHeight="1" x14ac:dyDescent="0.2">
      <c r="A14" s="715" t="s">
        <v>410</v>
      </c>
      <c r="B14" s="1750">
        <f>SUM('Revenues 9-14'!C7:D7,'Revenues 9-14'!F7:H7)</f>
        <v>24409</v>
      </c>
      <c r="C14" s="585">
        <v>7493</v>
      </c>
      <c r="D14" s="1753">
        <f t="shared" si="0"/>
        <v>16916</v>
      </c>
      <c r="E14" s="585">
        <v>31990</v>
      </c>
      <c r="F14" s="1753">
        <f t="shared" si="1"/>
        <v>24497</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107750</v>
      </c>
      <c r="C16" s="585">
        <v>32798</v>
      </c>
      <c r="D16" s="1753">
        <f t="shared" si="0"/>
        <v>74952</v>
      </c>
      <c r="E16" s="585">
        <v>140038</v>
      </c>
      <c r="F16" s="1753">
        <f t="shared" si="1"/>
        <v>107240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2411406</v>
      </c>
      <c r="C19" s="1751">
        <f>SUM(C4:C18)</f>
        <v>734873</v>
      </c>
      <c r="D19" s="1751">
        <f>SUM(D4:D18)</f>
        <v>1676533</v>
      </c>
      <c r="E19" s="1751">
        <f>SUM(E4:E18)</f>
        <v>3137694</v>
      </c>
      <c r="F19" s="1751">
        <f>SUM(F4:F18)</f>
        <v>2402821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T13" sqref="T13:AA1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1802</v>
      </c>
      <c r="B2" s="2210"/>
      <c r="C2" s="1884" t="s">
        <v>1956</v>
      </c>
      <c r="D2" s="723" t="s">
        <v>1957</v>
      </c>
      <c r="E2" s="723" t="s">
        <v>1958</v>
      </c>
      <c r="F2" s="1884" t="s">
        <v>1959</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5">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5" t="s">
        <v>631</v>
      </c>
      <c r="B15" s="2196"/>
      <c r="C15" s="1755">
        <f>SUM(C6:C14)</f>
        <v>0</v>
      </c>
      <c r="D15" s="1755">
        <f>SUM(D6:D14)</f>
        <v>0</v>
      </c>
      <c r="E15" s="1755">
        <f>SUM(E6:E14)</f>
        <v>0</v>
      </c>
      <c r="F15" s="1755">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5">
        <f>SUM(C17+D17)-E17</f>
        <v>0</v>
      </c>
    </row>
    <row r="18" spans="1:11" ht="12.75" customHeight="1" thickTop="1" thickBot="1" x14ac:dyDescent="0.25">
      <c r="A18" s="2190" t="s">
        <v>6</v>
      </c>
      <c r="B18" s="2191"/>
      <c r="C18" s="726"/>
      <c r="D18" s="585"/>
      <c r="E18" s="726"/>
      <c r="F18" s="1755">
        <f>SUM(C18+D18)-E18</f>
        <v>0</v>
      </c>
    </row>
    <row r="19" spans="1:11" ht="12.75" customHeight="1" thickTop="1" thickBot="1" x14ac:dyDescent="0.25">
      <c r="A19" s="2190" t="s">
        <v>388</v>
      </c>
      <c r="B19" s="2191"/>
      <c r="C19" s="726"/>
      <c r="D19" s="585"/>
      <c r="E19" s="726"/>
      <c r="F19" s="1755">
        <f>SUM(C19+D19)-E19</f>
        <v>0</v>
      </c>
    </row>
    <row r="20" spans="1:11" ht="12.75" customHeight="1" thickTop="1" thickBot="1" x14ac:dyDescent="0.25">
      <c r="A20" s="2190" t="s">
        <v>448</v>
      </c>
      <c r="B20" s="2191"/>
      <c r="C20" s="726"/>
      <c r="D20" s="585"/>
      <c r="E20" s="726"/>
      <c r="F20" s="1755">
        <f>SUM(C20+D20)-E20</f>
        <v>0</v>
      </c>
    </row>
    <row r="21" spans="1:11" ht="14.25" thickTop="1" thickBot="1" x14ac:dyDescent="0.25">
      <c r="A21" s="2195" t="s">
        <v>632</v>
      </c>
      <c r="B21" s="2196"/>
      <c r="C21" s="1755">
        <f>SUM(C17:C20)</f>
        <v>0</v>
      </c>
      <c r="D21" s="1755">
        <f>SUM(D17:D20)</f>
        <v>0</v>
      </c>
      <c r="E21" s="1755">
        <f>SUM(E17:E20)</f>
        <v>0</v>
      </c>
      <c r="F21" s="1755">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5">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5">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c r="E27" s="585"/>
      <c r="F27" s="1755">
        <f>SUM(C27+D27)-E27</f>
        <v>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2081</v>
      </c>
      <c r="B31" s="733">
        <v>43111</v>
      </c>
      <c r="C31" s="734">
        <v>850000</v>
      </c>
      <c r="D31" s="735">
        <v>4</v>
      </c>
      <c r="E31" s="734">
        <v>850000</v>
      </c>
      <c r="F31" s="734"/>
      <c r="G31" s="734"/>
      <c r="H31" s="734">
        <v>153000</v>
      </c>
      <c r="I31" s="1756">
        <f>((E31+F31)-H31)+G31</f>
        <v>697000</v>
      </c>
      <c r="J31" s="734">
        <v>652939</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850000</v>
      </c>
      <c r="D49" s="745"/>
      <c r="E49" s="1756">
        <f t="shared" ref="E49:J49" si="2">SUM(E31:E48)</f>
        <v>850000</v>
      </c>
      <c r="F49" s="1756">
        <f t="shared" si="2"/>
        <v>0</v>
      </c>
      <c r="G49" s="1756">
        <f t="shared" si="2"/>
        <v>0</v>
      </c>
      <c r="H49" s="1756">
        <f t="shared" si="2"/>
        <v>153000</v>
      </c>
      <c r="I49" s="1756">
        <f t="shared" si="2"/>
        <v>697000</v>
      </c>
      <c r="J49" s="1756">
        <f t="shared" si="2"/>
        <v>652939</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B22" colorId="8" zoomScale="110" zoomScaleNormal="110" workbookViewId="0">
      <selection activeCell="T13" sqref="T13:AA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1812</v>
      </c>
      <c r="K2" s="762" t="s">
        <v>138</v>
      </c>
    </row>
    <row r="3" spans="1:11" x14ac:dyDescent="0.2">
      <c r="A3" s="2235" t="s">
        <v>1964</v>
      </c>
      <c r="B3" s="2236"/>
      <c r="C3" s="2236"/>
      <c r="D3" s="2236"/>
      <c r="E3" s="2237"/>
      <c r="F3" s="763"/>
      <c r="G3" s="764"/>
      <c r="H3" s="764"/>
      <c r="I3" s="764"/>
      <c r="J3" s="765">
        <v>14412</v>
      </c>
      <c r="K3" s="765"/>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v>24409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1935</v>
      </c>
    </row>
    <row r="8" spans="1:11" x14ac:dyDescent="0.2">
      <c r="A8" s="778" t="s">
        <v>345</v>
      </c>
      <c r="B8" s="779"/>
      <c r="C8" s="779"/>
      <c r="D8" s="779"/>
      <c r="E8" s="780"/>
      <c r="F8" s="770" t="s">
        <v>851</v>
      </c>
      <c r="G8" s="782"/>
      <c r="H8" s="782"/>
      <c r="I8" s="782"/>
      <c r="J8" s="765">
        <v>13748</v>
      </c>
      <c r="K8" s="769"/>
    </row>
    <row r="9" spans="1:11" x14ac:dyDescent="0.2">
      <c r="A9" s="778" t="s">
        <v>138</v>
      </c>
      <c r="B9" s="779"/>
      <c r="C9" s="779"/>
      <c r="D9" s="779"/>
      <c r="E9" s="780"/>
      <c r="F9" s="777" t="s">
        <v>853</v>
      </c>
      <c r="G9" s="782"/>
      <c r="H9" s="771"/>
      <c r="I9" s="771"/>
      <c r="J9" s="781"/>
      <c r="K9" s="765">
        <v>8312</v>
      </c>
    </row>
    <row r="10" spans="1:11" x14ac:dyDescent="0.2">
      <c r="A10" s="2216" t="s">
        <v>1813</v>
      </c>
      <c r="B10" s="2217"/>
      <c r="C10" s="2217"/>
      <c r="D10" s="2217"/>
      <c r="E10" s="2219"/>
      <c r="F10" s="783" t="s">
        <v>862</v>
      </c>
      <c r="G10" s="782"/>
      <c r="H10" s="784"/>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7"/>
      <c r="G12" s="1758">
        <f>SUM(G5:G11)</f>
        <v>0</v>
      </c>
      <c r="H12" s="1758">
        <f>SUM(H5:H11)</f>
        <v>24409</v>
      </c>
      <c r="I12" s="1758">
        <f>SUM(I5:I11)</f>
        <v>0</v>
      </c>
      <c r="J12" s="1758">
        <f>SUM(J5:J11)</f>
        <v>13748</v>
      </c>
      <c r="K12" s="1758">
        <f>SUM(K5:K11)</f>
        <v>10247</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v>24409</v>
      </c>
      <c r="I14" s="771"/>
      <c r="J14" s="773"/>
      <c r="K14" s="765">
        <v>10247</v>
      </c>
    </row>
    <row r="15" spans="1:11" x14ac:dyDescent="0.2">
      <c r="A15" s="2217" t="s">
        <v>4</v>
      </c>
      <c r="B15" s="2217"/>
      <c r="C15" s="2217"/>
      <c r="D15" s="2217"/>
      <c r="E15" s="2218"/>
      <c r="F15" s="789" t="s">
        <v>855</v>
      </c>
      <c r="G15" s="771"/>
      <c r="H15" s="764"/>
      <c r="I15" s="764"/>
      <c r="J15" s="765">
        <v>15812</v>
      </c>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25" t="s">
        <v>1809</v>
      </c>
      <c r="B19" s="2225"/>
      <c r="C19" s="2225"/>
      <c r="D19" s="2225"/>
      <c r="E19" s="2226"/>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9"/>
      <c r="G21" s="792"/>
      <c r="H21" s="796"/>
      <c r="I21" s="796"/>
      <c r="J21" s="1760">
        <f>SUM(J18:J20)</f>
        <v>0</v>
      </c>
      <c r="K21" s="793"/>
    </row>
    <row r="22" spans="1:11" ht="13.5" thickTop="1" x14ac:dyDescent="0.2">
      <c r="A22" s="2217" t="s">
        <v>1815</v>
      </c>
      <c r="B22" s="2217"/>
      <c r="C22" s="2217"/>
      <c r="D22" s="2217"/>
      <c r="E22" s="2218"/>
      <c r="F22" s="789" t="s">
        <v>862</v>
      </c>
      <c r="G22" s="782"/>
      <c r="H22" s="764"/>
      <c r="I22" s="764"/>
      <c r="J22" s="797"/>
      <c r="K22" s="765"/>
    </row>
    <row r="23" spans="1:11" ht="13.5" thickBot="1" x14ac:dyDescent="0.25">
      <c r="A23" s="2247" t="s">
        <v>906</v>
      </c>
      <c r="B23" s="2246"/>
      <c r="C23" s="2246"/>
      <c r="D23" s="2246"/>
      <c r="E23" s="2246"/>
      <c r="F23" s="1761"/>
      <c r="G23" s="1758">
        <f>SUM(G14:G16,G21,G22)</f>
        <v>0</v>
      </c>
      <c r="H23" s="1758">
        <f>SUM(H14:H16,H21,H22)</f>
        <v>24409</v>
      </c>
      <c r="I23" s="1758">
        <f>SUM(I14:I16,I21,I22)</f>
        <v>0</v>
      </c>
      <c r="J23" s="1758">
        <f>SUM(J14:J16,J21,J22)</f>
        <v>15812</v>
      </c>
      <c r="K23" s="1758">
        <f>SUM(K14:K16,K21,K22)</f>
        <v>10247</v>
      </c>
    </row>
    <row r="24" spans="1:11" ht="14.25" thickTop="1" thickBot="1" x14ac:dyDescent="0.25">
      <c r="A24" s="2247" t="s">
        <v>1965</v>
      </c>
      <c r="B24" s="2246"/>
      <c r="C24" s="2246"/>
      <c r="D24" s="2246"/>
      <c r="E24" s="2246"/>
      <c r="F24" s="1762"/>
      <c r="G24" s="1763">
        <f>SUM(G3,G12)-G23</f>
        <v>0</v>
      </c>
      <c r="H24" s="1763">
        <f>SUM(H3,H12)-H23</f>
        <v>0</v>
      </c>
      <c r="I24" s="1763">
        <f>SUM(I3,I12)-I23</f>
        <v>0</v>
      </c>
      <c r="J24" s="1763">
        <f>SUM(J3,J12)-J23</f>
        <v>12348</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12348</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13" sqref="T13:AA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1909</v>
      </c>
      <c r="B1" s="2253"/>
      <c r="C1" s="2254"/>
      <c r="D1" s="826"/>
      <c r="E1" s="827"/>
      <c r="F1" s="827"/>
      <c r="G1" s="828"/>
      <c r="H1" s="829"/>
      <c r="I1" s="830"/>
      <c r="J1" s="2250"/>
      <c r="K1" s="2251"/>
      <c r="L1" s="2251"/>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68728</v>
      </c>
      <c r="D5" s="841"/>
      <c r="E5" s="841"/>
      <c r="F5" s="1760">
        <f>(C5+D5)-E5</f>
        <v>68728</v>
      </c>
      <c r="G5" s="837"/>
      <c r="H5" s="842"/>
      <c r="I5" s="842"/>
      <c r="J5" s="842"/>
      <c r="K5" s="793"/>
      <c r="L5" s="1769">
        <f>F5-K5</f>
        <v>68728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8892310</v>
      </c>
      <c r="D8" s="844">
        <v>68970</v>
      </c>
      <c r="E8" s="844"/>
      <c r="F8" s="1760">
        <f>(C8+D8)-E8</f>
        <v>8961280</v>
      </c>
      <c r="G8" s="843">
        <v>50</v>
      </c>
      <c r="H8" s="765">
        <v>4990474</v>
      </c>
      <c r="I8" s="765">
        <v>179226</v>
      </c>
      <c r="J8" s="765"/>
      <c r="K8" s="1769">
        <f>(H8+I8)-J8</f>
        <v>5169700</v>
      </c>
      <c r="L8" s="1769">
        <f>F8-K8</f>
        <v>3791580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726464</v>
      </c>
      <c r="D10" s="846"/>
      <c r="E10" s="846"/>
      <c r="F10" s="1764">
        <f>(C10+D10)-E10</f>
        <v>726464</v>
      </c>
      <c r="G10" s="843">
        <v>20</v>
      </c>
      <c r="H10" s="847">
        <v>449733</v>
      </c>
      <c r="I10" s="847">
        <v>34965</v>
      </c>
      <c r="J10" s="847"/>
      <c r="K10" s="1769">
        <f>(H10+I10)-J10</f>
        <v>484698</v>
      </c>
      <c r="L10" s="1769">
        <f>F10-K10</f>
        <v>241766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412788</v>
      </c>
      <c r="D12" s="844">
        <v>37689</v>
      </c>
      <c r="E12" s="844"/>
      <c r="F12" s="1760">
        <f>(C12+D12)-E12</f>
        <v>450477</v>
      </c>
      <c r="G12" s="843">
        <v>10</v>
      </c>
      <c r="H12" s="765">
        <v>232338</v>
      </c>
      <c r="I12" s="765">
        <v>38484</v>
      </c>
      <c r="J12" s="765"/>
      <c r="K12" s="1769">
        <f>(H12+I12)-J12</f>
        <v>270822</v>
      </c>
      <c r="L12" s="1769">
        <f>F12-K12</f>
        <v>179655</v>
      </c>
    </row>
    <row r="13" spans="1:14" ht="14.25" thickTop="1" thickBot="1" x14ac:dyDescent="0.25">
      <c r="A13" s="848" t="s">
        <v>1122</v>
      </c>
      <c r="B13" s="840">
        <v>252</v>
      </c>
      <c r="C13" s="844">
        <v>669823</v>
      </c>
      <c r="D13" s="844"/>
      <c r="E13" s="844">
        <v>171392</v>
      </c>
      <c r="F13" s="1760">
        <f>(C13+D13)-E13</f>
        <v>498431</v>
      </c>
      <c r="G13" s="843">
        <v>5</v>
      </c>
      <c r="H13" s="765">
        <v>659012</v>
      </c>
      <c r="I13" s="765">
        <v>924</v>
      </c>
      <c r="J13" s="765">
        <v>171392</v>
      </c>
      <c r="K13" s="1769">
        <f>(H13+I13)-J13</f>
        <v>488544</v>
      </c>
      <c r="L13" s="1769">
        <f>F13-K13</f>
        <v>9887</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v>8760</v>
      </c>
      <c r="E15" s="844"/>
      <c r="F15" s="1760">
        <f>(C15+D15)-E15</f>
        <v>8760</v>
      </c>
      <c r="G15" s="849" t="s">
        <v>862</v>
      </c>
      <c r="H15" s="781"/>
      <c r="I15" s="781"/>
      <c r="J15" s="781"/>
      <c r="K15" s="781"/>
      <c r="L15" s="1769">
        <f>F15-K15</f>
        <v>8760</v>
      </c>
    </row>
    <row r="16" spans="1:14" ht="15" customHeight="1" thickTop="1" thickBot="1" x14ac:dyDescent="0.25">
      <c r="A16" s="1765" t="s">
        <v>643</v>
      </c>
      <c r="B16" s="1766">
        <v>200</v>
      </c>
      <c r="C16" s="1760">
        <f>SUM(C3,C5:C6,C8:C10,C12:C15)</f>
        <v>10770113</v>
      </c>
      <c r="D16" s="1760">
        <f>SUM(D3,D5:D6,D8:D10,D12:D15)</f>
        <v>115419</v>
      </c>
      <c r="E16" s="1760">
        <f>SUM(E3,E5:E6,E8:E10,E12:E15)</f>
        <v>171392</v>
      </c>
      <c r="F16" s="1760">
        <f>SUM(F3,F5:F6,F8:F10,F12:F15)</f>
        <v>10714140</v>
      </c>
      <c r="G16" s="843"/>
      <c r="H16" s="1760">
        <f>SUM(H3,H6,H8:H10,H12:H14,)</f>
        <v>6331557</v>
      </c>
      <c r="I16" s="1760">
        <f>SUM(I3,I6,I8:I10,I12:I14,)</f>
        <v>253599</v>
      </c>
      <c r="J16" s="1760">
        <f>SUM(J3,J6,J8:J10,J12:J14,)</f>
        <v>171392</v>
      </c>
      <c r="K16" s="1760">
        <f>(H16+I16)-J16</f>
        <v>6413764</v>
      </c>
      <c r="L16" s="1760">
        <f>F16-K16</f>
        <v>4300376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253599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0" activePane="bottomLeft" state="frozen"/>
      <selection activeCell="T13" sqref="T13:AA13"/>
      <selection pane="bottomLeft" activeCell="T13" sqref="T13:AA1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1975</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4714074</v>
      </c>
      <c r="G8" s="865"/>
    </row>
    <row r="9" spans="1:7" x14ac:dyDescent="0.2">
      <c r="A9" s="869" t="s">
        <v>460</v>
      </c>
      <c r="B9" s="870" t="s">
        <v>1877</v>
      </c>
      <c r="C9" s="871"/>
      <c r="D9" s="869" t="s">
        <v>501</v>
      </c>
      <c r="E9" s="868"/>
      <c r="F9" s="1909">
        <f>'Expenditures 15-22'!K151</f>
        <v>473288</v>
      </c>
      <c r="G9" s="872"/>
    </row>
    <row r="10" spans="1:7" x14ac:dyDescent="0.2">
      <c r="A10" s="869" t="s">
        <v>499</v>
      </c>
      <c r="B10" s="870" t="s">
        <v>1878</v>
      </c>
      <c r="C10" s="871"/>
      <c r="D10" s="869" t="s">
        <v>501</v>
      </c>
      <c r="E10" s="868"/>
      <c r="F10" s="1909">
        <f>'Expenditures 15-22'!K174</f>
        <v>185244</v>
      </c>
      <c r="G10" s="872"/>
    </row>
    <row r="11" spans="1:7" x14ac:dyDescent="0.2">
      <c r="A11" s="869" t="s">
        <v>461</v>
      </c>
      <c r="B11" s="870" t="s">
        <v>1879</v>
      </c>
      <c r="C11" s="871"/>
      <c r="D11" s="869" t="s">
        <v>501</v>
      </c>
      <c r="E11" s="868"/>
      <c r="F11" s="1909">
        <f>'Expenditures 15-22'!K210</f>
        <v>118834</v>
      </c>
      <c r="G11" s="872"/>
    </row>
    <row r="12" spans="1:7" x14ac:dyDescent="0.2">
      <c r="A12" s="869" t="s">
        <v>462</v>
      </c>
      <c r="B12" s="870" t="s">
        <v>1880</v>
      </c>
      <c r="C12" s="871"/>
      <c r="D12" s="869" t="s">
        <v>501</v>
      </c>
      <c r="E12" s="868"/>
      <c r="F12" s="1909">
        <f>'Expenditures 15-22'!K295</f>
        <v>263195</v>
      </c>
      <c r="G12" s="872"/>
    </row>
    <row r="13" spans="1:7" x14ac:dyDescent="0.2">
      <c r="A13" s="869" t="s">
        <v>106</v>
      </c>
      <c r="B13" s="870" t="s">
        <v>1881</v>
      </c>
      <c r="C13" s="871"/>
      <c r="D13" s="869" t="s">
        <v>501</v>
      </c>
      <c r="E13" s="868"/>
      <c r="F13" s="1909">
        <f>'Expenditures 15-22'!K342</f>
        <v>628081</v>
      </c>
      <c r="G13" s="873"/>
    </row>
    <row r="14" spans="1:7" ht="12" customHeight="1" thickBot="1" x14ac:dyDescent="0.25">
      <c r="A14" s="1770"/>
      <c r="B14" s="1771"/>
      <c r="C14" s="1772"/>
      <c r="D14" s="1773" t="s">
        <v>501</v>
      </c>
      <c r="E14" s="1774" t="s">
        <v>958</v>
      </c>
      <c r="F14" s="1775">
        <f>SUM(F8:F13)</f>
        <v>6382716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81994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8886</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50135</v>
      </c>
      <c r="G52" s="865"/>
    </row>
    <row r="53" spans="1:7" x14ac:dyDescent="0.2">
      <c r="A53" s="869" t="s">
        <v>459</v>
      </c>
      <c r="B53" s="869" t="s">
        <v>1475</v>
      </c>
      <c r="C53" s="889">
        <f>'Expenditures 15-22'!B102</f>
        <v>4000</v>
      </c>
      <c r="D53" s="888" t="str">
        <f>'Expenditures 15-22'!A102</f>
        <v>Total Payments to Other Govt Units</v>
      </c>
      <c r="E53" s="868"/>
      <c r="F53" s="1913">
        <f>'Expenditures 15-22'!K102</f>
        <v>636876</v>
      </c>
      <c r="G53" s="865"/>
    </row>
    <row r="54" spans="1:7" x14ac:dyDescent="0.2">
      <c r="A54" s="869" t="s">
        <v>459</v>
      </c>
      <c r="B54" s="869" t="s">
        <v>1476</v>
      </c>
      <c r="C54" s="889" t="s">
        <v>982</v>
      </c>
      <c r="D54" s="885" t="s">
        <v>1095</v>
      </c>
      <c r="E54" s="868"/>
      <c r="F54" s="1913">
        <f>'Expenditures 15-22'!G114</f>
        <v>27989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16161</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153000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7150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1378</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983569</v>
      </c>
      <c r="G76" s="865"/>
    </row>
    <row r="77" spans="1:8" s="893" customFormat="1" ht="12" customHeight="1" thickTop="1" thickBot="1" x14ac:dyDescent="0.25">
      <c r="A77" s="1779"/>
      <c r="B77" s="1776"/>
      <c r="C77" s="1772"/>
      <c r="D77" s="1777" t="s">
        <v>1900</v>
      </c>
      <c r="E77" s="1774"/>
      <c r="F77" s="1780">
        <f>(F14-F76)</f>
        <v>5399147</v>
      </c>
      <c r="G77" s="869"/>
    </row>
    <row r="78" spans="1:8" s="893" customFormat="1" ht="12" customHeight="1" thickTop="1" x14ac:dyDescent="0.2">
      <c r="A78" s="1781"/>
      <c r="B78" s="1776"/>
      <c r="C78" s="1772"/>
      <c r="D78" s="1777" t="s">
        <v>2062</v>
      </c>
      <c r="E78" s="1774"/>
      <c r="F78" s="898">
        <v>593.25</v>
      </c>
      <c r="G78" s="899"/>
      <c r="H78" s="869"/>
    </row>
    <row r="79" spans="1:8" s="893" customFormat="1" ht="12" customHeight="1" thickBot="1" x14ac:dyDescent="0.25">
      <c r="A79" s="1782"/>
      <c r="B79" s="1776"/>
      <c r="C79" s="1772"/>
      <c r="D79" s="1777" t="s">
        <v>1901</v>
      </c>
      <c r="E79" s="1774" t="s">
        <v>958</v>
      </c>
      <c r="F79" s="1783">
        <f>IF(F78&gt;0,F77/F78," Complete Line 78")</f>
        <v>9100.9641803624108</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320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51232</v>
      </c>
      <c r="G94" s="912"/>
    </row>
    <row r="95" spans="1:7" x14ac:dyDescent="0.2">
      <c r="A95" s="908" t="s">
        <v>140</v>
      </c>
      <c r="B95" s="908" t="s">
        <v>175</v>
      </c>
      <c r="C95" s="910">
        <v>1700</v>
      </c>
      <c r="D95" s="918" t="str">
        <f>'Revenues 9-14'!A82</f>
        <v>Total District/School Activity Income</v>
      </c>
      <c r="E95" s="906"/>
      <c r="F95" s="1789">
        <f>SUM('Revenues 9-14'!C82,'Revenues 9-14'!D82)</f>
        <v>30107</v>
      </c>
      <c r="G95" s="912"/>
    </row>
    <row r="96" spans="1:7" x14ac:dyDescent="0.2">
      <c r="A96" s="908" t="s">
        <v>459</v>
      </c>
      <c r="B96" s="908" t="s">
        <v>176</v>
      </c>
      <c r="C96" s="910">
        <f>'Revenues 9-14'!B84</f>
        <v>1811</v>
      </c>
      <c r="D96" s="911" t="str">
        <f>'Revenues 9-14'!A84</f>
        <v>Rentals - Regular Textbooks</v>
      </c>
      <c r="E96" s="906"/>
      <c r="F96" s="1789">
        <f>'Revenues 9-14'!C84</f>
        <v>52971</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11009</v>
      </c>
      <c r="G103" s="912"/>
    </row>
    <row r="104" spans="1:7" x14ac:dyDescent="0.2">
      <c r="A104" s="908" t="s">
        <v>459</v>
      </c>
      <c r="B104" s="908" t="s">
        <v>808</v>
      </c>
      <c r="C104" s="910">
        <f>'Revenues 9-14'!B106</f>
        <v>1993</v>
      </c>
      <c r="D104" s="911" t="str">
        <f>'Revenues 9-14'!A106</f>
        <v>Other Local Fees (Describe &amp; Itemize)</v>
      </c>
      <c r="E104" s="906"/>
      <c r="F104" s="1789">
        <f>('Revenues 9-14'!C106)</f>
        <v>7685</v>
      </c>
      <c r="G104" s="912"/>
    </row>
    <row r="105" spans="1:7" x14ac:dyDescent="0.2">
      <c r="A105" s="908" t="s">
        <v>503</v>
      </c>
      <c r="B105" s="908" t="s">
        <v>2003</v>
      </c>
      <c r="C105" s="913">
        <v>3100</v>
      </c>
      <c r="D105" s="919" t="str">
        <f>'Revenues 9-14'!A132</f>
        <v>Total Special Education</v>
      </c>
      <c r="E105" s="906"/>
      <c r="F105" s="1789">
        <f>SUM('Revenues 9-14'!C132:D132,'Revenues 9-14'!F132)</f>
        <v>15633</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4235</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1790</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8312</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33076</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1832</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87062</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115956</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5000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10151</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8928</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445299</v>
      </c>
    </row>
    <row r="175" spans="1:7" ht="12" customHeight="1" x14ac:dyDescent="0.2">
      <c r="A175" s="1770"/>
      <c r="B175" s="1784"/>
      <c r="C175" s="1785"/>
      <c r="D175" s="1786" t="s">
        <v>2057</v>
      </c>
      <c r="E175" s="1787"/>
      <c r="F175" s="1789">
        <f>'PCTC-OEPP 27-28'!F77-F174</f>
        <v>4953848</v>
      </c>
    </row>
    <row r="176" spans="1:7" ht="12" customHeight="1" x14ac:dyDescent="0.2">
      <c r="A176" s="1770"/>
      <c r="B176" s="1784"/>
      <c r="C176" s="1785"/>
      <c r="D176" s="1786" t="s">
        <v>1817</v>
      </c>
      <c r="E176" s="1787"/>
      <c r="F176" s="1789">
        <f>'Cap Outlay Deprec 26'!I18</f>
        <v>253599</v>
      </c>
    </row>
    <row r="177" spans="1:7" ht="12" customHeight="1" x14ac:dyDescent="0.2">
      <c r="A177" s="1770"/>
      <c r="B177" s="1784"/>
      <c r="C177" s="1785"/>
      <c r="D177" s="1786" t="s">
        <v>2058</v>
      </c>
      <c r="E177" s="1787"/>
      <c r="F177" s="1789">
        <f>F175+F176</f>
        <v>5207447</v>
      </c>
    </row>
    <row r="178" spans="1:7" ht="12" customHeight="1" x14ac:dyDescent="0.2">
      <c r="A178" s="1770"/>
      <c r="B178" s="1790"/>
      <c r="C178" s="1785"/>
      <c r="D178" s="1786" t="str">
        <f>D78</f>
        <v>9 Month ADA from District Average Daily Attendance/Prior General State Aid Inquiry 2018-2019</v>
      </c>
      <c r="E178" s="1787"/>
      <c r="F178" s="1791">
        <f>'PCTC-OEPP 27-28'!F78</f>
        <v>593.25</v>
      </c>
      <c r="G178" s="930"/>
    </row>
    <row r="179" spans="1:7" ht="12" customHeight="1" thickBot="1" x14ac:dyDescent="0.25">
      <c r="A179" s="1770"/>
      <c r="B179" s="1790"/>
      <c r="C179" s="1785"/>
      <c r="D179" s="1786" t="s">
        <v>2059</v>
      </c>
      <c r="E179" s="1787" t="s">
        <v>1545</v>
      </c>
      <c r="F179" s="1792">
        <f>F177/F178</f>
        <v>8777.828908554573</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C18" sqref="C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1932</v>
      </c>
      <c r="B7" s="2276"/>
      <c r="C7" s="2276"/>
      <c r="D7" s="2276"/>
      <c r="E7" s="2276"/>
      <c r="F7" s="2276"/>
      <c r="G7" s="2277"/>
    </row>
    <row r="8" spans="1:7" ht="15.75" customHeight="1" x14ac:dyDescent="0.25">
      <c r="A8" s="2278" t="s">
        <v>1907</v>
      </c>
      <c r="B8" s="2279"/>
      <c r="C8" s="2279"/>
      <c r="D8" s="2279"/>
      <c r="E8" s="2279"/>
      <c r="F8" s="2279"/>
      <c r="G8" s="2280"/>
    </row>
    <row r="9" spans="1:7" ht="35.25" customHeight="1" x14ac:dyDescent="0.25">
      <c r="A9" s="2275" t="s">
        <v>1935</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1934</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1976</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2087</v>
      </c>
      <c r="B17" s="1938" t="s">
        <v>2088</v>
      </c>
      <c r="C17" s="1939" t="s">
        <v>2089</v>
      </c>
      <c r="D17" s="1844">
        <v>54370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29370</v>
      </c>
      <c r="H17" s="1647"/>
    </row>
    <row r="18" spans="1:8" x14ac:dyDescent="0.25">
      <c r="A18" s="1937" t="s">
        <v>2090</v>
      </c>
      <c r="B18" s="2486" t="s">
        <v>2103</v>
      </c>
      <c r="C18" s="1939" t="s">
        <v>2091</v>
      </c>
      <c r="D18" s="1844">
        <v>78887</v>
      </c>
      <c r="E18" s="1540">
        <f t="shared" ref="E18:E140" si="2">IF(D18&lt;=25000,D18,IF(D18&gt;25000,25000,0))</f>
        <v>25000</v>
      </c>
      <c r="F18" s="1932">
        <f t="shared" si="1"/>
        <v>25000</v>
      </c>
      <c r="G18" s="1793">
        <f t="shared" ref="G18:G140" si="3">IF(F18=0,0,D18-F18)</f>
        <v>53887</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133257</v>
      </c>
      <c r="E141" s="1541">
        <f t="shared" si="0"/>
        <v>25000</v>
      </c>
      <c r="F141" s="1933">
        <f>SUM(F17:F140)</f>
        <v>50000</v>
      </c>
      <c r="G141" s="1795">
        <f>SUM(G17:G140)</f>
        <v>83257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T13" sqref="T13:AA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72198</v>
      </c>
      <c r="F10" s="974"/>
      <c r="G10" s="975"/>
      <c r="H10" s="162"/>
      <c r="I10" s="162"/>
    </row>
    <row r="11" spans="1:9" s="668" customFormat="1" ht="22.5" customHeight="1" x14ac:dyDescent="0.2">
      <c r="A11" s="2286" t="s">
        <v>1977</v>
      </c>
      <c r="B11" s="2287"/>
      <c r="C11" s="2287"/>
      <c r="D11" s="2288"/>
      <c r="E11" s="977">
        <v>12188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3244932</v>
      </c>
      <c r="F19" s="1799"/>
      <c r="G19" s="1801">
        <f>'Expenditures 15-22'!K33-SUM('Expenditures 15-22'!G33,'Expenditures 15-22'!I33)+'Expenditures 15-22'!D229</f>
        <v>3244932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103195</v>
      </c>
      <c r="F21" s="1802"/>
      <c r="G21" s="1805">
        <f>'Expenditures 15-22'!K42-SUM('Expenditures 15-22'!G42,'Expenditures 15-22'!I42)+'Expenditures 15-22'!K120-SUM('Expenditures 15-22'!G120,'Expenditures 15-22'!I120)+'Expenditures 15-22'!K180-SUM('Expenditures 15-22'!G180,'Expenditures 15-22'!I180)+'Expenditures 15-22'!D238</f>
        <v>103195</v>
      </c>
      <c r="H21" s="987"/>
      <c r="I21" s="162"/>
    </row>
    <row r="22" spans="1:9" s="668" customFormat="1" ht="12" customHeight="1" x14ac:dyDescent="0.2">
      <c r="A22" s="994" t="s">
        <v>564</v>
      </c>
      <c r="B22" s="995"/>
      <c r="C22" s="993">
        <v>2200</v>
      </c>
      <c r="D22" s="1802"/>
      <c r="E22" s="1804">
        <f>'Expenditures 15-22'!K47-SUM('Expenditures 15-22'!G47,'Expenditures 15-22'!I47)+'Expenditures 15-22'!D243</f>
        <v>98535</v>
      </c>
      <c r="F22" s="1802"/>
      <c r="G22" s="1805">
        <f>'Expenditures 15-22'!K47-SUM('Expenditures 15-22'!G47,'Expenditures 15-22'!I47)+'Expenditures 15-22'!D243</f>
        <v>98535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810763</v>
      </c>
      <c r="F23" s="1802"/>
      <c r="G23" s="1804">
        <f>'Expenditures 15-22'!K53-SUM('Expenditures 15-22'!G53,'Expenditures 15-22'!I53)+'Expenditures 15-22'!D257+'Expenditures 15-22'!K330-SUM('Expenditures 15-22'!G330,'Expenditures 15-22'!I330)</f>
        <v>810763</v>
      </c>
      <c r="H23" s="987"/>
      <c r="I23" s="162"/>
    </row>
    <row r="24" spans="1:9" s="668" customFormat="1" ht="12" customHeight="1" x14ac:dyDescent="0.2">
      <c r="A24" s="994" t="s">
        <v>566</v>
      </c>
      <c r="B24" s="995"/>
      <c r="C24" s="993">
        <v>2400</v>
      </c>
      <c r="D24" s="1802"/>
      <c r="E24" s="1804">
        <f>'Expenditures 15-22'!K57-SUM('Expenditures 15-22'!G57,'Expenditures 15-22'!I57)+'Expenditures 15-22'!D261</f>
        <v>327381</v>
      </c>
      <c r="F24" s="1802"/>
      <c r="G24" s="1805">
        <f>'Expenditures 15-22'!K57-SUM('Expenditures 15-22'!G57,'Expenditures 15-22'!I57)+'Expenditures 15-22'!D261</f>
        <v>327381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23833</v>
      </c>
      <c r="E27" s="1804">
        <f>E8</f>
        <v>0</v>
      </c>
      <c r="F27" s="1804">
        <f>'Expenditures 15-22'!K60-SUM('Expenditures 15-22'!G60,'Expenditures 15-22'!I60)+'Expenditures 15-22'!D264-E8</f>
        <v>23833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505426</v>
      </c>
      <c r="F28" s="1806">
        <f>'Expenditures 15-22'!K61-SUM('Expenditures 15-22'!G61,'Expenditures 15-22'!I61)+'Expenditures 15-22'!K124-SUM('Expenditures 15-22'!G124,'Expenditures 15-22'!I124)+'Expenditures 15-22'!D266-E9</f>
        <v>505426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132376</v>
      </c>
      <c r="F29" s="1802"/>
      <c r="G29" s="1805">
        <f>'Expenditures 15-22'!K62-SUM('Expenditures 15-22'!G62,'Expenditures 15-22'!I62)+'Expenditures 15-22'!K125-SUM('Expenditures 15-22'!G125,'Expenditures 15-22'!I125)+'Expenditures 15-22'!K182-SUM('Expenditures 15-22'!G182,'Expenditures 15-22'!I182)+'Expenditures 15-22'!D267</f>
        <v>132376</v>
      </c>
      <c r="H29" s="985"/>
    </row>
    <row r="30" spans="1:9" ht="12" customHeight="1" x14ac:dyDescent="0.2">
      <c r="A30" s="994" t="s">
        <v>100</v>
      </c>
      <c r="B30" s="997"/>
      <c r="C30" s="993">
        <v>2560</v>
      </c>
      <c r="D30" s="1802"/>
      <c r="E30" s="1804">
        <f>'Expenditures 15-22'!K63-SUM('Expenditures 15-22'!G63,'Expenditures 15-22'!I63)+'Expenditures 15-22'!D268-E10</f>
        <v>115767</v>
      </c>
      <c r="F30" s="1802"/>
      <c r="G30" s="1804">
        <f>'Expenditures 15-22'!K63-SUM('Expenditures 15-22'!G63,'Expenditures 15-22'!I63)+'Expenditures 15-22'!D268-E10</f>
        <v>115767</v>
      </c>
    </row>
    <row r="31" spans="1:9" ht="12" customHeight="1" x14ac:dyDescent="0.2">
      <c r="A31" s="994" t="s">
        <v>101</v>
      </c>
      <c r="B31" s="997"/>
      <c r="C31" s="993">
        <v>2570</v>
      </c>
      <c r="D31" s="1804">
        <f>'Expenditures 15-22'!K64-SUM('Expenditures 15-22'!G64,'Expenditures 15-22'!I64)+'Expenditures 15-22'!D269-E12</f>
        <v>28723</v>
      </c>
      <c r="E31" s="1804">
        <f>E12</f>
        <v>0</v>
      </c>
      <c r="F31" s="1804">
        <f>'Expenditures 15-22'!K64-SUM('Expenditures 15-22'!G64,'Expenditures 15-22'!I64)+'Expenditures 15-22'!D269-E12</f>
        <v>28723</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3182</v>
      </c>
      <c r="F35" s="1802"/>
      <c r="G35" s="1804">
        <f>'Expenditures 15-22'!K69-SUM('Expenditures 15-22'!G69,'Expenditures 15-22'!I69)+'Expenditures 15-22'!D274</f>
        <v>3182</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50135</v>
      </c>
      <c r="F39" s="1802"/>
      <c r="G39" s="1804">
        <f>'Expenditures 15-22'!K75-SUM('Expenditures 15-22'!G75,'Expenditures 15-22'!I75)+'Expenditures 15-22'!K130-SUM('Expenditures 15-22'!G130,'Expenditures 15-22'!I130)+'Expenditures 15-22'!K185-SUM('Expenditures 15-22'!G185,'Expenditures 15-22'!I185)+'Expenditures 15-22'!D280</f>
        <v>50135</v>
      </c>
    </row>
    <row r="40" spans="1:7" ht="12" customHeight="1" x14ac:dyDescent="0.2">
      <c r="A40" s="990" t="s">
        <v>1823</v>
      </c>
      <c r="B40" s="991"/>
      <c r="C40" s="993"/>
      <c r="D40" s="1802"/>
      <c r="E40" s="1806">
        <f>-'Contracts Paid in CY 29'!G141</f>
        <v>-83257</v>
      </c>
      <c r="F40" s="1802"/>
      <c r="G40" s="1806">
        <f>-'Contracts Paid in CY 29'!G141</f>
        <v>-83257</v>
      </c>
    </row>
    <row r="41" spans="1:7" ht="12" customHeight="1" x14ac:dyDescent="0.2">
      <c r="A41" s="998" t="s">
        <v>156</v>
      </c>
      <c r="B41" s="999"/>
      <c r="C41" s="1000"/>
      <c r="D41" s="1806">
        <f>SUM(D19:D39)</f>
        <v>52556</v>
      </c>
      <c r="E41" s="1806">
        <f>SUM(E19:E40)</f>
        <v>5308435</v>
      </c>
      <c r="F41" s="1806">
        <f>SUM(F19:F39)</f>
        <v>557982</v>
      </c>
      <c r="G41" s="1806">
        <f>SUM(G19:G40)</f>
        <v>4803009</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52556</v>
      </c>
      <c r="F43" s="1807" t="s">
        <v>473</v>
      </c>
      <c r="G43" s="1808">
        <f>F41</f>
        <v>557982</v>
      </c>
    </row>
    <row r="44" spans="1:7" ht="12" customHeight="1" x14ac:dyDescent="0.2">
      <c r="A44" s="987"/>
      <c r="B44" s="162"/>
      <c r="C44" s="1001"/>
      <c r="D44" s="1807" t="s">
        <v>474</v>
      </c>
      <c r="E44" s="1808">
        <f>E41</f>
        <v>5308435</v>
      </c>
      <c r="F44" s="1807" t="s">
        <v>474</v>
      </c>
      <c r="G44" s="1808">
        <f>G41</f>
        <v>4803009</v>
      </c>
    </row>
    <row r="45" spans="1:7" ht="12" customHeight="1" x14ac:dyDescent="0.2">
      <c r="A45" s="987"/>
      <c r="B45" s="162"/>
      <c r="C45" s="162"/>
      <c r="D45" s="1809" t="s">
        <v>1006</v>
      </c>
      <c r="E45" s="1810">
        <f>(E43/E44)</f>
        <v>9.900469724127732E-3</v>
      </c>
      <c r="F45" s="1809" t="s">
        <v>1006</v>
      </c>
      <c r="G45" s="1810">
        <f>(G43/G44)</f>
        <v>0.1161734237849648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topLeftCell="B1" zoomScale="110" zoomScaleNormal="110" workbookViewId="0">
      <pane ySplit="4" topLeftCell="A23" activePane="bottomLeft" state="frozen"/>
      <selection activeCell="T13" sqref="T13:AA13"/>
      <selection pane="bottomLeft" activeCell="T13" sqref="T13:AA1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3" t="s">
        <v>1379</v>
      </c>
      <c r="B1" s="2303"/>
      <c r="C1" s="2303"/>
      <c r="D1" s="2303"/>
      <c r="E1" s="2303"/>
      <c r="F1" s="2303"/>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4" t="s">
        <v>1546</v>
      </c>
      <c r="B5" s="2305"/>
      <c r="C5" s="2306"/>
      <c r="D5" s="2306"/>
      <c r="E5" s="2306"/>
      <c r="F5" s="2306"/>
    </row>
    <row r="6" spans="1:10" ht="12" customHeight="1" x14ac:dyDescent="0.25">
      <c r="A6" s="1850"/>
      <c r="B6" s="1851"/>
      <c r="C6" s="2307" t="str">
        <f>COVER!A17</f>
        <v>Pawnee CUSD 11</v>
      </c>
      <c r="D6" s="2307"/>
      <c r="E6" s="2307"/>
      <c r="F6" s="1852"/>
    </row>
    <row r="7" spans="1:10" ht="11.25" customHeight="1" thickBot="1" x14ac:dyDescent="0.3">
      <c r="A7" s="1850"/>
      <c r="B7" s="1851"/>
      <c r="C7" s="2308">
        <f>COVER!A13</f>
        <v>51084011026</v>
      </c>
      <c r="D7" s="2308"/>
      <c r="E7" s="2308"/>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2071</v>
      </c>
      <c r="D19" s="1865" t="s">
        <v>2071</v>
      </c>
      <c r="E19" s="1868"/>
      <c r="F19" s="1867" t="s">
        <v>2082</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2071</v>
      </c>
      <c r="D26" s="1865" t="s">
        <v>2071</v>
      </c>
      <c r="E26" s="1868"/>
      <c r="F26" s="1867" t="s">
        <v>2083</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2071</v>
      </c>
      <c r="D29" s="1865" t="s">
        <v>2071</v>
      </c>
      <c r="E29" s="1868"/>
      <c r="F29" s="1867" t="s">
        <v>2084</v>
      </c>
      <c r="H29" s="1878">
        <f t="shared" si="0"/>
        <v>5</v>
      </c>
      <c r="I29" s="1878">
        <f t="shared" si="1"/>
        <v>5</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2071</v>
      </c>
      <c r="D31" s="1865" t="s">
        <v>2071</v>
      </c>
      <c r="E31" s="1868"/>
      <c r="F31" s="1867" t="s">
        <v>2085</v>
      </c>
      <c r="H31" s="1878">
        <f t="shared" si="0"/>
        <v>5</v>
      </c>
      <c r="I31" s="1878">
        <f t="shared" si="1"/>
        <v>5</v>
      </c>
      <c r="J31" s="1878">
        <f t="shared" si="2"/>
        <v>0</v>
      </c>
      <c r="L31" s="1869"/>
    </row>
    <row r="32" spans="1:12" ht="12" customHeight="1" x14ac:dyDescent="0.2">
      <c r="A32" s="1863" t="s">
        <v>1540</v>
      </c>
      <c r="B32" s="1864"/>
      <c r="C32" s="1865" t="s">
        <v>2071</v>
      </c>
      <c r="D32" s="1865" t="s">
        <v>2071</v>
      </c>
      <c r="E32" s="1868"/>
      <c r="F32" s="1867" t="s">
        <v>2086</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25</v>
      </c>
      <c r="J34" s="1878">
        <f>SUM(J11:J32)</f>
        <v>0</v>
      </c>
      <c r="K34" s="1878">
        <f>SUM(H34:J34)</f>
        <v>50</v>
      </c>
    </row>
    <row r="35" spans="1:11" ht="12" customHeight="1" x14ac:dyDescent="0.2">
      <c r="A35" s="1871" t="s">
        <v>1392</v>
      </c>
      <c r="B35" s="1872"/>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3"/>
      <c r="B39" s="1873"/>
      <c r="C39" s="1873"/>
      <c r="D39" s="1873"/>
      <c r="E39" s="1873"/>
      <c r="F39" s="1873"/>
    </row>
    <row r="40" spans="1:11" s="1870" customFormat="1" ht="12" customHeight="1" x14ac:dyDescent="0.25">
      <c r="A40" s="1874" t="s">
        <v>1391</v>
      </c>
      <c r="B40" s="1875"/>
      <c r="C40" s="2298"/>
      <c r="D40" s="2298"/>
      <c r="E40" s="2298"/>
      <c r="F40" s="2299"/>
      <c r="H40" s="1879"/>
      <c r="I40" s="1879"/>
      <c r="J40" s="1879"/>
      <c r="K40" s="1879"/>
    </row>
    <row r="41" spans="1:11" s="1870" customFormat="1" ht="12" customHeight="1" x14ac:dyDescent="0.25">
      <c r="A41" s="2300"/>
      <c r="B41" s="2301"/>
      <c r="C41" s="2301"/>
      <c r="D41" s="2301"/>
      <c r="E41" s="2301"/>
      <c r="F41" s="2302"/>
      <c r="H41" s="1879"/>
      <c r="I41" s="1879"/>
      <c r="J41" s="1879"/>
      <c r="K41" s="1879"/>
    </row>
    <row r="42" spans="1:11" s="1870" customFormat="1" ht="12" customHeight="1" x14ac:dyDescent="0.25">
      <c r="A42" s="2300"/>
      <c r="B42" s="2301"/>
      <c r="C42" s="2301"/>
      <c r="D42" s="2301"/>
      <c r="E42" s="2301"/>
      <c r="F42" s="2302"/>
      <c r="H42" s="1879"/>
      <c r="I42" s="1879"/>
      <c r="J42" s="1879"/>
      <c r="K42" s="1879"/>
    </row>
    <row r="43" spans="1:11" s="1870" customFormat="1" ht="15" x14ac:dyDescent="0.25">
      <c r="A43" s="2289"/>
      <c r="B43" s="2290"/>
      <c r="C43" s="2290"/>
      <c r="D43" s="2290"/>
      <c r="E43" s="2290"/>
      <c r="F43" s="2291"/>
      <c r="H43" s="1879"/>
      <c r="I43" s="1879"/>
      <c r="J43" s="1879"/>
      <c r="K43" s="1879"/>
    </row>
    <row r="44" spans="1:11" s="1870" customFormat="1" ht="12" hidden="1" customHeight="1" x14ac:dyDescent="0.25">
      <c r="A44" s="2289"/>
      <c r="B44" s="2290"/>
      <c r="C44" s="2290"/>
      <c r="D44" s="2290"/>
      <c r="E44" s="2290"/>
      <c r="F44" s="229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9" colorId="8" zoomScale="110" zoomScaleNormal="110" workbookViewId="0">
      <selection activeCell="T13" sqref="T13:AA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Pawnee CUSD 11</v>
      </c>
      <c r="J6" s="2317"/>
      <c r="Q6" s="1664"/>
    </row>
    <row r="7" spans="1:17" x14ac:dyDescent="0.2">
      <c r="A7" s="2318" t="s">
        <v>869</v>
      </c>
      <c r="B7" s="2319"/>
      <c r="C7" s="2319"/>
      <c r="D7" s="2319"/>
      <c r="E7" s="2320"/>
      <c r="F7" s="1017"/>
      <c r="G7" s="1009"/>
      <c r="H7" s="1016" t="s">
        <v>372</v>
      </c>
      <c r="I7" s="2321">
        <f>COVER!A13</f>
        <v>51084011026</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140387</v>
      </c>
      <c r="F12" s="1039"/>
      <c r="G12" s="1811">
        <f t="shared" ref="G12:G18" si="0">SUM(E12:F12)</f>
        <v>140387</v>
      </c>
      <c r="H12" s="1040">
        <v>152620</v>
      </c>
      <c r="I12" s="1039"/>
      <c r="J12" s="1811">
        <f t="shared" ref="J12:J18" si="1">SUM(H12:I12)</f>
        <v>152620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28723</v>
      </c>
      <c r="F16" s="1039"/>
      <c r="G16" s="1811">
        <f t="shared" si="0"/>
        <v>28723</v>
      </c>
      <c r="H16" s="1040">
        <v>28950</v>
      </c>
      <c r="I16" s="1039"/>
      <c r="J16" s="1811">
        <f t="shared" si="1"/>
        <v>28950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169110</v>
      </c>
      <c r="F19" s="1813">
        <f t="shared" si="2"/>
        <v>0</v>
      </c>
      <c r="G19" s="1813">
        <f t="shared" si="2"/>
        <v>169110</v>
      </c>
      <c r="H19" s="1813">
        <f t="shared" si="2"/>
        <v>181570</v>
      </c>
      <c r="I19" s="1813">
        <f t="shared" si="2"/>
        <v>0</v>
      </c>
      <c r="J19" s="1813">
        <f t="shared" si="2"/>
        <v>181570</v>
      </c>
    </row>
    <row r="20" spans="1:10" ht="13.5" thickTop="1" x14ac:dyDescent="0.2">
      <c r="A20" s="1035">
        <v>9</v>
      </c>
      <c r="B20" s="2328" t="s">
        <v>1981</v>
      </c>
      <c r="C20" s="2328"/>
      <c r="D20" s="2329"/>
      <c r="E20" s="1046"/>
      <c r="F20" s="1046"/>
      <c r="G20" s="1046"/>
      <c r="H20" s="1046"/>
      <c r="I20" s="1046"/>
      <c r="J20" s="1814">
        <f>IF(AND(G19&gt;0,J19&gt;0),(((J19-G19)/G19)),"Enter Budget Data")</f>
        <v>7.3679853349890606E-2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t="s">
        <v>2071</v>
      </c>
      <c r="C36" s="2315" t="s">
        <v>1983</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topLeftCell="A4" zoomScale="110" zoomScaleNormal="110" workbookViewId="0">
      <selection activeCell="T13" sqref="T13:AA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2092</v>
      </c>
    </row>
    <row r="6" spans="1:2" x14ac:dyDescent="0.2">
      <c r="A6" s="1068">
        <v>2</v>
      </c>
      <c r="B6" s="329" t="s">
        <v>2093</v>
      </c>
    </row>
    <row r="7" spans="1:2" x14ac:dyDescent="0.2">
      <c r="A7" s="1068">
        <v>3</v>
      </c>
      <c r="B7" s="329" t="s">
        <v>2094</v>
      </c>
    </row>
    <row r="8" spans="1:2" x14ac:dyDescent="0.2">
      <c r="A8" s="1068">
        <v>4</v>
      </c>
      <c r="B8" s="329" t="s">
        <v>2097</v>
      </c>
    </row>
    <row r="9" spans="1:2" x14ac:dyDescent="0.2">
      <c r="A9" s="1068">
        <v>5</v>
      </c>
      <c r="B9" s="329" t="s">
        <v>2095</v>
      </c>
    </row>
    <row r="10" spans="1:2" x14ac:dyDescent="0.2">
      <c r="A10" s="1068">
        <v>6</v>
      </c>
      <c r="B10" s="329" t="s">
        <v>2096</v>
      </c>
    </row>
    <row r="11" spans="1:2" x14ac:dyDescent="0.2">
      <c r="A11" s="1068">
        <v>7</v>
      </c>
      <c r="B11" s="329" t="s">
        <v>2098</v>
      </c>
    </row>
    <row r="12" spans="1:2" x14ac:dyDescent="0.2">
      <c r="A12" s="1068">
        <v>8</v>
      </c>
      <c r="B12" s="329" t="s">
        <v>2099</v>
      </c>
    </row>
    <row r="13" spans="1:2" x14ac:dyDescent="0.2">
      <c r="A13" s="1068">
        <v>9</v>
      </c>
    </row>
    <row r="14" spans="1:2" x14ac:dyDescent="0.2">
      <c r="A14" s="1068">
        <v>10</v>
      </c>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Pawnee CUSD 11</v>
      </c>
    </row>
    <row r="66" spans="1:2" x14ac:dyDescent="0.2">
      <c r="B66" s="1070">
        <f>COVER!A13</f>
        <v>51084011026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13" sqref="T13:AA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1</xdr:col>
                <xdr:colOff>1895475</xdr:colOff>
                <xdr:row>3</xdr:row>
                <xdr:rowOff>0</xdr:rowOff>
              </from>
              <to>
                <xdr:col>1</xdr:col>
                <xdr:colOff>2809875</xdr:colOff>
                <xdr:row>7</xdr:row>
                <xdr:rowOff>38100</xdr:rowOff>
              </to>
            </anchor>
          </objectPr>
        </oleObject>
      </mc:Choice>
      <mc:Fallback>
        <oleObject progId="Acrobat Document" dvAspect="DVASPECT_ICON" shapeId="5017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13" sqref="T13:AA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1987</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1988</v>
      </c>
      <c r="B4" s="2356"/>
      <c r="C4" s="2356"/>
      <c r="D4" s="2356"/>
      <c r="E4" s="2356"/>
      <c r="F4" s="2357"/>
      <c r="G4" s="1074"/>
      <c r="H4" s="1074"/>
    </row>
    <row r="5" spans="1:8" ht="14.25" customHeight="1" x14ac:dyDescent="0.2">
      <c r="A5" s="2358" t="s">
        <v>1984</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4280674</v>
      </c>
      <c r="C8" s="1815">
        <f>'Acct Summary 7-8'!D8</f>
        <v>435551</v>
      </c>
      <c r="D8" s="1815">
        <f>'Acct Summary 7-8'!F8</f>
        <v>160230</v>
      </c>
      <c r="E8" s="1815">
        <f>'Acct Summary 7-8'!I8</f>
        <v>36817</v>
      </c>
      <c r="F8" s="1815">
        <f>SUM(B8:E8)</f>
        <v>4913272</v>
      </c>
    </row>
    <row r="9" spans="1:8" s="1079" customFormat="1" ht="14.25" customHeight="1" thickBot="1" x14ac:dyDescent="0.25">
      <c r="A9" s="1078" t="s">
        <v>1369</v>
      </c>
      <c r="B9" s="1816">
        <f>'Acct Summary 7-8'!C17</f>
        <v>4714074</v>
      </c>
      <c r="C9" s="1816">
        <f>'Acct Summary 7-8'!D17</f>
        <v>473288</v>
      </c>
      <c r="D9" s="1816">
        <f>'Acct Summary 7-8'!F17</f>
        <v>118834</v>
      </c>
      <c r="E9" s="1815"/>
      <c r="F9" s="1815">
        <f>SUM(B9:E9)</f>
        <v>5306196</v>
      </c>
    </row>
    <row r="10" spans="1:8" s="1079" customFormat="1" ht="14.25" thickTop="1" thickBot="1" x14ac:dyDescent="0.25">
      <c r="A10" s="1080" t="s">
        <v>1370</v>
      </c>
      <c r="B10" s="1817">
        <f>(B8-B9)</f>
        <v>-433400</v>
      </c>
      <c r="C10" s="1817">
        <f>(C8-C9)</f>
        <v>-37737</v>
      </c>
      <c r="D10" s="1817">
        <f>(D8-D9)</f>
        <v>41396</v>
      </c>
      <c r="E10" s="1816">
        <f>(E8-E9)</f>
        <v>36817</v>
      </c>
      <c r="F10" s="1818">
        <f>SUM(F8-F9)</f>
        <v>-392924</v>
      </c>
    </row>
    <row r="11" spans="1:8" s="1079" customFormat="1" ht="14.25" thickTop="1" thickBot="1" x14ac:dyDescent="0.25">
      <c r="A11" s="1081" t="s">
        <v>1985</v>
      </c>
      <c r="B11" s="1819">
        <f>'Acct Summary 7-8'!C81</f>
        <v>2943300</v>
      </c>
      <c r="C11" s="1819">
        <f>'Acct Summary 7-8'!D81</f>
        <v>719053</v>
      </c>
      <c r="D11" s="1819">
        <f>'Acct Summary 7-8'!F81</f>
        <v>503079</v>
      </c>
      <c r="E11" s="1819">
        <f>'Acct Summary 7-8'!I81</f>
        <v>928157</v>
      </c>
      <c r="F11" s="1820">
        <f>SUM(B11:E11)</f>
        <v>5093589</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8" colorId="8" zoomScale="110" zoomScaleNormal="110" workbookViewId="0">
      <selection activeCell="D83" sqref="D8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51084011026</v>
      </c>
    </row>
    <row r="3" spans="1:2" x14ac:dyDescent="0.2">
      <c r="A3" t="s">
        <v>956</v>
      </c>
      <c r="B3" s="138" t="str">
        <f>COVER!A15</f>
        <v xml:space="preserve">Sangamon             </v>
      </c>
    </row>
    <row r="4" spans="1:2" x14ac:dyDescent="0.2">
      <c r="A4" t="s">
        <v>1007</v>
      </c>
      <c r="B4" s="138" t="str">
        <f>COVER!A17</f>
        <v>Pawnee CUSD 11</v>
      </c>
    </row>
    <row r="5" spans="1:2" x14ac:dyDescent="0.2">
      <c r="A5" t="s">
        <v>704</v>
      </c>
      <c r="B5" s="138" t="str">
        <f>COVER!A38</f>
        <v>Scott Cameron, Superintendent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060-004845</v>
      </c>
    </row>
    <row r="16" spans="1:2" x14ac:dyDescent="0.2">
      <c r="A16" t="s">
        <v>422</v>
      </c>
      <c r="B16" s="138" t="str">
        <f>COVER!T13</f>
        <v>Pehlman and Dold, P.C.</v>
      </c>
    </row>
    <row r="17" spans="1:2" x14ac:dyDescent="0.2">
      <c r="A17" t="s">
        <v>884</v>
      </c>
      <c r="B17" s="138" t="str">
        <f>COVER!T15</f>
        <v>Dorinda L Fitzgerald</v>
      </c>
    </row>
    <row r="18" spans="1:2" x14ac:dyDescent="0.2">
      <c r="A18" t="s">
        <v>1150</v>
      </c>
      <c r="B18" s="138" t="str">
        <f>COVER!T17</f>
        <v>100 North Amos Avenue</v>
      </c>
    </row>
    <row r="19" spans="1:2" x14ac:dyDescent="0.2">
      <c r="A19" t="s">
        <v>886</v>
      </c>
      <c r="B19" s="138" t="str">
        <f>COVER!T25</f>
        <v>dfitzgerald@p-dcpas.com</v>
      </c>
    </row>
    <row r="20" spans="1:2" x14ac:dyDescent="0.2">
      <c r="A20" t="s">
        <v>887</v>
      </c>
      <c r="B20" s="138" t="str">
        <f>COVER!T19</f>
        <v>Springfield</v>
      </c>
    </row>
    <row r="21" spans="1:2" x14ac:dyDescent="0.2">
      <c r="A21" t="s">
        <v>479</v>
      </c>
      <c r="B21" s="138" t="str">
        <f>COVER!X19</f>
        <v>IL</v>
      </c>
    </row>
    <row r="22" spans="1:2" x14ac:dyDescent="0.2">
      <c r="A22" t="s">
        <v>888</v>
      </c>
      <c r="B22" s="138">
        <f>COVER!Z19</f>
        <v>62702</v>
      </c>
    </row>
    <row r="23" spans="1:2" x14ac:dyDescent="0.2">
      <c r="A23" t="s">
        <v>1152</v>
      </c>
      <c r="B23" s="138" t="str">
        <f>COVER!T21</f>
        <v>(217) 787-0563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696384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2469</v>
      </c>
      <c r="D76" s="2" t="str">
        <f t="shared" si="0"/>
        <v>Error?</v>
      </c>
    </row>
    <row r="77" spans="1:4" x14ac:dyDescent="0.2">
      <c r="A77" s="5">
        <v>16</v>
      </c>
      <c r="B77" s="138">
        <f>'Assets-Liab 5-6'!C13</f>
        <v>2943300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2935422</v>
      </c>
      <c r="D92" s="2" t="str">
        <f t="shared" si="0"/>
        <v>Error?</v>
      </c>
    </row>
    <row r="93" spans="1:4" x14ac:dyDescent="0.2">
      <c r="A93" s="5">
        <v>32</v>
      </c>
      <c r="B93" s="138">
        <f>'Assets-Liab 5-6'!C41</f>
        <v>2943300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719053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719053</v>
      </c>
      <c r="D123" s="2" t="str">
        <f t="shared" si="0"/>
        <v>Error?</v>
      </c>
    </row>
    <row r="124" spans="1:4" x14ac:dyDescent="0.2">
      <c r="A124" s="5">
        <v>63</v>
      </c>
      <c r="B124" s="138">
        <f>'Assets-Liab 5-6'!D41</f>
        <v>719053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44061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44061</v>
      </c>
      <c r="D140" s="2" t="str">
        <f t="shared" si="1"/>
        <v>Error?</v>
      </c>
    </row>
    <row r="141" spans="1:4" x14ac:dyDescent="0.2">
      <c r="A141" s="5">
        <v>80</v>
      </c>
      <c r="B141" s="138">
        <f>'Assets-Liab 5-6'!E41</f>
        <v>44061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214079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503079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503079</v>
      </c>
      <c r="D170" s="2" t="str">
        <f t="shared" si="1"/>
        <v>Error?</v>
      </c>
    </row>
    <row r="171" spans="1:4" x14ac:dyDescent="0.2">
      <c r="A171" s="5">
        <v>110</v>
      </c>
      <c r="B171" s="138">
        <f>'Assets-Liab 5-6'!F41</f>
        <v>503079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118630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118630</v>
      </c>
      <c r="D189" s="2" t="str">
        <f t="shared" si="1"/>
        <v>Error?</v>
      </c>
    </row>
    <row r="190" spans="1:4" x14ac:dyDescent="0.2">
      <c r="A190" s="5">
        <v>129</v>
      </c>
      <c r="B190" s="138">
        <f>'Assets-Liab 5-6'!G41</f>
        <v>118630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12348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12348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68728</v>
      </c>
      <c r="D273" s="2" t="str">
        <f t="shared" si="3"/>
        <v>Error?</v>
      </c>
    </row>
    <row r="274" spans="1:4" x14ac:dyDescent="0.2">
      <c r="A274" s="5">
        <v>213</v>
      </c>
      <c r="B274" s="138">
        <f>'Assets-Liab 5-6'!M17</f>
        <v>8961280</v>
      </c>
      <c r="D274" s="2" t="str">
        <f t="shared" si="3"/>
        <v>Error?</v>
      </c>
    </row>
    <row r="275" spans="1:4" x14ac:dyDescent="0.2">
      <c r="A275" s="5">
        <v>214</v>
      </c>
      <c r="B275" s="138">
        <f>'Assets-Liab 5-6'!M18</f>
        <v>726464</v>
      </c>
      <c r="D275" s="2" t="str">
        <f t="shared" si="3"/>
        <v>Error?</v>
      </c>
    </row>
    <row r="276" spans="1:4" x14ac:dyDescent="0.2">
      <c r="A276" s="5">
        <v>215</v>
      </c>
      <c r="B276" s="138">
        <f>'Assets-Liab 5-6'!M19</f>
        <v>948908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10714140</v>
      </c>
      <c r="C279" s="2" t="s">
        <v>573</v>
      </c>
      <c r="D279" s="2" t="str">
        <f t="shared" si="3"/>
        <v>Error?</v>
      </c>
    </row>
    <row r="280" spans="1:4" x14ac:dyDescent="0.2">
      <c r="A280" s="5">
        <v>219</v>
      </c>
      <c r="B280" s="138">
        <f>'Assets-Liab 5-6'!M40</f>
        <v>10714140</v>
      </c>
      <c r="D280" s="2" t="str">
        <f t="shared" si="3"/>
        <v>Error?</v>
      </c>
    </row>
    <row r="281" spans="1:4" x14ac:dyDescent="0.2">
      <c r="A281" s="5">
        <v>220</v>
      </c>
      <c r="B281" s="138">
        <f>'Assets-Liab 5-6'!M41</f>
        <v>10714140</v>
      </c>
      <c r="C281" s="2" t="s">
        <v>573</v>
      </c>
      <c r="D281" s="2" t="str">
        <f t="shared" si="3"/>
        <v>Error?</v>
      </c>
    </row>
    <row r="282" spans="1:4" x14ac:dyDescent="0.2">
      <c r="A282" s="5">
        <v>221</v>
      </c>
      <c r="B282" s="138">
        <f>'Assets-Liab 5-6'!N21</f>
        <v>44061</v>
      </c>
      <c r="D282" s="2" t="str">
        <f t="shared" si="3"/>
        <v>Error?</v>
      </c>
    </row>
    <row r="283" spans="1:4" x14ac:dyDescent="0.2">
      <c r="A283" s="5">
        <v>222</v>
      </c>
      <c r="B283" s="138">
        <f>'Assets-Liab 5-6'!N22</f>
        <v>652939</v>
      </c>
      <c r="D283" s="2" t="str">
        <f t="shared" si="3"/>
        <v>Error?</v>
      </c>
    </row>
    <row r="284" spans="1:4" x14ac:dyDescent="0.2">
      <c r="A284" s="5">
        <v>223</v>
      </c>
      <c r="B284" s="138">
        <f>'Assets-Liab 5-6'!N23</f>
        <v>697000</v>
      </c>
      <c r="C284" s="2" t="s">
        <v>573</v>
      </c>
      <c r="D284" s="2" t="str">
        <f t="shared" si="3"/>
        <v>Error?</v>
      </c>
    </row>
    <row r="285" spans="1:4" x14ac:dyDescent="0.2">
      <c r="A285" s="5">
        <v>224</v>
      </c>
      <c r="B285" s="138">
        <f>'Assets-Liab 5-6'!N36</f>
        <v>697000</v>
      </c>
      <c r="D285" s="2" t="str">
        <f t="shared" si="3"/>
        <v>Error?</v>
      </c>
    </row>
    <row r="286" spans="1:4" x14ac:dyDescent="0.2">
      <c r="A286" s="10">
        <v>225</v>
      </c>
      <c r="D286" s="2" t="str">
        <f t="shared" si="3"/>
        <v>OK</v>
      </c>
    </row>
    <row r="287" spans="1:4" x14ac:dyDescent="0.2">
      <c r="A287" s="5">
        <v>226</v>
      </c>
      <c r="B287" s="138">
        <f>'Assets-Liab 5-6'!N37</f>
        <v>697000</v>
      </c>
      <c r="C287" s="2" t="s">
        <v>573</v>
      </c>
      <c r="D287" s="2" t="str">
        <f t="shared" si="3"/>
        <v>Error?</v>
      </c>
    </row>
    <row r="288" spans="1:4" x14ac:dyDescent="0.2">
      <c r="A288" s="5">
        <v>227</v>
      </c>
      <c r="B288" s="138">
        <f>'Assets-Liab 5-6'!N41</f>
        <v>697000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3666</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1978856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222529</v>
      </c>
      <c r="D717" s="2" t="str">
        <f t="shared" si="10"/>
        <v>Error?</v>
      </c>
    </row>
    <row r="718" spans="1:4" x14ac:dyDescent="0.2">
      <c r="A718" s="5">
        <v>657</v>
      </c>
      <c r="B718" s="138">
        <f>'Expenditures 15-22'!C14</f>
        <v>126225</v>
      </c>
      <c r="D718" s="2" t="str">
        <f t="shared" si="10"/>
        <v>Error?</v>
      </c>
    </row>
    <row r="719" spans="1:4" x14ac:dyDescent="0.2">
      <c r="A719" s="5">
        <v>658</v>
      </c>
      <c r="B719" s="138">
        <f>'Expenditures 15-22'!C15</f>
        <v>8622</v>
      </c>
      <c r="D719" s="2" t="str">
        <f t="shared" si="10"/>
        <v>Error?</v>
      </c>
    </row>
    <row r="720" spans="1:4" x14ac:dyDescent="0.2">
      <c r="A720" s="5">
        <v>659</v>
      </c>
      <c r="B720" s="138">
        <f>'Expenditures 15-22'!C33</f>
        <v>2615903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63232</v>
      </c>
      <c r="D722" s="2" t="str">
        <f t="shared" si="10"/>
        <v>Error?</v>
      </c>
    </row>
    <row r="723" spans="1:4" x14ac:dyDescent="0.2">
      <c r="A723" s="5">
        <v>662</v>
      </c>
      <c r="B723" s="138">
        <f>'Expenditures 15-22'!C38</f>
        <v>12371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75603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44152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44152</v>
      </c>
      <c r="C731" s="2" t="s">
        <v>573</v>
      </c>
      <c r="D731" s="2" t="str">
        <f t="shared" si="10"/>
        <v>Error?</v>
      </c>
    </row>
    <row r="732" spans="1:4" x14ac:dyDescent="0.2">
      <c r="A732" s="5">
        <v>671</v>
      </c>
      <c r="B732" s="138">
        <f>'Expenditures 15-22'!C49</f>
        <v>625</v>
      </c>
      <c r="D732" s="2" t="str">
        <f t="shared" si="10"/>
        <v>Error?</v>
      </c>
    </row>
    <row r="733" spans="1:4" x14ac:dyDescent="0.2">
      <c r="A733" s="5">
        <v>672</v>
      </c>
      <c r="B733" s="138">
        <f>'Expenditures 15-22'!C50</f>
        <v>128450</v>
      </c>
      <c r="D733" s="2" t="str">
        <f t="shared" si="10"/>
        <v>Error?</v>
      </c>
    </row>
    <row r="734" spans="1:4" x14ac:dyDescent="0.2">
      <c r="A734" s="5">
        <v>673</v>
      </c>
      <c r="B734" s="138">
        <f>'Expenditures 15-22'!C53</f>
        <v>129075</v>
      </c>
      <c r="C734" s="2" t="s">
        <v>573</v>
      </c>
      <c r="D734" s="2" t="str">
        <f t="shared" si="10"/>
        <v>Error?</v>
      </c>
    </row>
    <row r="735" spans="1:4" x14ac:dyDescent="0.2">
      <c r="A735" s="5">
        <v>674</v>
      </c>
      <c r="B735" s="138">
        <f>'Expenditures 15-22'!C55</f>
        <v>259303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259303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21835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86220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108055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616188</v>
      </c>
      <c r="C755" s="2" t="s">
        <v>573</v>
      </c>
      <c r="D755" s="2" t="str">
        <f t="shared" si="10"/>
        <v>Error?</v>
      </c>
    </row>
    <row r="756" spans="1:4" x14ac:dyDescent="0.2">
      <c r="A756" s="5">
        <v>695</v>
      </c>
      <c r="B756" s="138">
        <f>'Expenditures 15-22'!C75</f>
        <v>49960</v>
      </c>
      <c r="D756" s="2" t="str">
        <f t="shared" si="10"/>
        <v>Error?</v>
      </c>
    </row>
    <row r="757" spans="1:4" x14ac:dyDescent="0.2">
      <c r="A757" s="5">
        <v>696</v>
      </c>
      <c r="B757" s="138">
        <f>'Expenditures 15-22'!C114</f>
        <v>3282051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224065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31090</v>
      </c>
      <c r="D775" s="2" t="str">
        <f t="shared" si="11"/>
        <v>Error?</v>
      </c>
    </row>
    <row r="776" spans="1:4" x14ac:dyDescent="0.2">
      <c r="A776" s="5">
        <v>715</v>
      </c>
      <c r="B776" s="138">
        <f>'Expenditures 15-22'!D14</f>
        <v>851</v>
      </c>
      <c r="D776" s="2" t="str">
        <f t="shared" si="11"/>
        <v>Error?</v>
      </c>
    </row>
    <row r="777" spans="1:4" x14ac:dyDescent="0.2">
      <c r="A777" s="5">
        <v>716</v>
      </c>
      <c r="B777" s="138">
        <f>'Expenditures 15-22'!D15</f>
        <v>264</v>
      </c>
      <c r="D777" s="2" t="str">
        <f t="shared" si="11"/>
        <v>Error?</v>
      </c>
    </row>
    <row r="778" spans="1:4" x14ac:dyDescent="0.2">
      <c r="A778" s="5">
        <v>717</v>
      </c>
      <c r="B778" s="138">
        <f>'Expenditures 15-22'!D33</f>
        <v>297624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11288</v>
      </c>
      <c r="D780" s="2" t="str">
        <f t="shared" si="11"/>
        <v>Error?</v>
      </c>
    </row>
    <row r="781" spans="1:4" x14ac:dyDescent="0.2">
      <c r="A781" s="5">
        <v>720</v>
      </c>
      <c r="B781" s="138">
        <f>'Expenditures 15-22'!D38</f>
        <v>7048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18336</v>
      </c>
      <c r="C785" s="2" t="s">
        <v>573</v>
      </c>
      <c r="D785" s="2" t="str">
        <f t="shared" si="11"/>
        <v>Error?</v>
      </c>
    </row>
    <row r="786" spans="1:4" x14ac:dyDescent="0.2">
      <c r="A786" s="5">
        <v>725</v>
      </c>
      <c r="B786" s="138">
        <f>'Expenditures 15-22'!D44</f>
        <v>2292</v>
      </c>
      <c r="D786" s="2" t="str">
        <f t="shared" si="11"/>
        <v>Error?</v>
      </c>
    </row>
    <row r="787" spans="1:4" x14ac:dyDescent="0.2">
      <c r="A787" s="5">
        <v>726</v>
      </c>
      <c r="B787" s="138">
        <f>'Expenditures 15-22'!D45</f>
        <v>10987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13279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11062</v>
      </c>
      <c r="D791" s="2" t="str">
        <f t="shared" si="11"/>
        <v>Error?</v>
      </c>
    </row>
    <row r="792" spans="1:4" x14ac:dyDescent="0.2">
      <c r="A792" s="5">
        <v>731</v>
      </c>
      <c r="B792" s="138">
        <f>'Expenditures 15-22'!D53</f>
        <v>11062</v>
      </c>
      <c r="C792" s="2" t="s">
        <v>573</v>
      </c>
      <c r="D792" s="2" t="str">
        <f t="shared" si="11"/>
        <v>Error?</v>
      </c>
    </row>
    <row r="793" spans="1:4" x14ac:dyDescent="0.2">
      <c r="A793" s="5">
        <v>732</v>
      </c>
      <c r="B793" s="138">
        <f>'Expenditures 15-22'!D55</f>
        <v>36019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36019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6504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6518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85214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382838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2351</v>
      </c>
      <c r="D833" s="2" t="str">
        <f t="shared" si="12"/>
        <v>Error?</v>
      </c>
    </row>
    <row r="834" spans="1:4" x14ac:dyDescent="0.2">
      <c r="A834" s="5">
        <v>773</v>
      </c>
      <c r="B834" s="138">
        <f>'Expenditures 15-22'!E14</f>
        <v>22111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50553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26056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6705</v>
      </c>
      <c r="D846" s="2" t="str">
        <f t="shared" si="12"/>
        <v>Error?</v>
      </c>
    </row>
    <row r="847" spans="1:4" x14ac:dyDescent="0.2">
      <c r="A847" s="5">
        <v>786</v>
      </c>
      <c r="B847" s="138">
        <f>'Expenditures 15-22'!E47</f>
        <v>32761</v>
      </c>
      <c r="C847" s="2" t="s">
        <v>573</v>
      </c>
      <c r="D847" s="2" t="str">
        <f t="shared" si="12"/>
        <v>Error?</v>
      </c>
    </row>
    <row r="848" spans="1:4" x14ac:dyDescent="0.2">
      <c r="A848" s="5">
        <v>787</v>
      </c>
      <c r="B848" s="138">
        <f>'Expenditures 15-22'!E49</f>
        <v>23779</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23779</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2594</v>
      </c>
      <c r="D858" s="2" t="str">
        <f t="shared" si="12"/>
        <v>Error?</v>
      </c>
    </row>
    <row r="859" spans="1:4" x14ac:dyDescent="0.2">
      <c r="A859" s="5">
        <v>798</v>
      </c>
      <c r="B859" s="138">
        <f>'Expenditures 15-22'!E64</f>
        <v>13863</v>
      </c>
      <c r="D859" s="2" t="str">
        <f t="shared" si="12"/>
        <v>Error?</v>
      </c>
    </row>
    <row r="860" spans="1:4" x14ac:dyDescent="0.2">
      <c r="A860" s="10">
        <v>799</v>
      </c>
      <c r="D860" s="2" t="str">
        <f t="shared" si="12"/>
        <v>OK</v>
      </c>
    </row>
    <row r="861" spans="1:4" x14ac:dyDescent="0.2">
      <c r="A861" s="5">
        <v>800</v>
      </c>
      <c r="B861" s="138">
        <f>'Expenditures 15-22'!E65</f>
        <v>16457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3182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3182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76179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126732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40512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13344</v>
      </c>
      <c r="D891" s="2" t="str">
        <f t="shared" si="12"/>
        <v>Error?</v>
      </c>
    </row>
    <row r="892" spans="1:4" x14ac:dyDescent="0.2">
      <c r="A892" s="5">
        <v>831</v>
      </c>
      <c r="B892" s="138">
        <f>'Expenditures 15-22'!F14</f>
        <v>21623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146050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494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4440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4440</v>
      </c>
      <c r="C905" s="2" t="s">
        <v>573</v>
      </c>
      <c r="D905" s="2" t="str">
        <f t="shared" si="13"/>
        <v>Error?</v>
      </c>
    </row>
    <row r="906" spans="1:4" x14ac:dyDescent="0.2">
      <c r="A906" s="5">
        <v>845</v>
      </c>
      <c r="B906" s="138">
        <f>'Expenditures 15-22'!F49</f>
        <v>2315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2315</v>
      </c>
      <c r="C908" s="2" t="s">
        <v>573</v>
      </c>
      <c r="D908" s="2" t="str">
        <f t="shared" si="13"/>
        <v>Error?</v>
      </c>
    </row>
    <row r="909" spans="1:4" x14ac:dyDescent="0.2">
      <c r="A909" s="5">
        <v>848</v>
      </c>
      <c r="B909" s="138">
        <f>'Expenditures 15-22'!F55</f>
        <v>3576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3576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75043</v>
      </c>
      <c r="D916" s="2" t="str">
        <f t="shared" si="13"/>
        <v>Error?</v>
      </c>
    </row>
    <row r="917" spans="1:4" x14ac:dyDescent="0.2">
      <c r="A917" s="5">
        <v>856</v>
      </c>
      <c r="B917" s="138">
        <f>'Expenditures 15-22'!F64</f>
        <v>14860</v>
      </c>
      <c r="D917" s="2" t="str">
        <f t="shared" si="13"/>
        <v>Error?</v>
      </c>
    </row>
    <row r="918" spans="1:4" x14ac:dyDescent="0.2">
      <c r="A918" s="10">
        <v>857</v>
      </c>
      <c r="D918" s="2" t="str">
        <f t="shared" si="13"/>
        <v>OK</v>
      </c>
    </row>
    <row r="919" spans="1:4" x14ac:dyDescent="0.2">
      <c r="A919" s="5">
        <v>858</v>
      </c>
      <c r="B919" s="138">
        <f>'Expenditures 15-22'!F65</f>
        <v>89926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100751</v>
      </c>
      <c r="C929" s="2" t="s">
        <v>573</v>
      </c>
      <c r="D929" s="2" t="str">
        <f t="shared" si="13"/>
        <v>Error?</v>
      </c>
    </row>
    <row r="930" spans="1:4" x14ac:dyDescent="0.2">
      <c r="A930" s="5">
        <v>869</v>
      </c>
      <c r="B930" s="138">
        <f>'Expenditures 15-22'!F75</f>
        <v>175</v>
      </c>
      <c r="D930" s="2" t="str">
        <f t="shared" si="13"/>
        <v>Error?</v>
      </c>
    </row>
    <row r="931" spans="1:4" x14ac:dyDescent="0.2">
      <c r="A931" s="5">
        <v>870</v>
      </c>
      <c r="B931" s="138">
        <f>'Expenditures 15-22'!F114</f>
        <v>246976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8169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8169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19820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19820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19820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27989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2023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2333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7007</v>
      </c>
      <c r="D1022" s="2" t="str">
        <f t="shared" si="14"/>
        <v>Error?</v>
      </c>
    </row>
    <row r="1023" spans="1:4" x14ac:dyDescent="0.2">
      <c r="A1023" s="5">
        <v>962</v>
      </c>
      <c r="B1023" s="138">
        <f>'Expenditures 15-22'!H50</f>
        <v>875</v>
      </c>
      <c r="D1023" s="2" t="str">
        <f t="shared" ref="D1023:D1086" si="15">IF(ISBLANK(B1023),"OK",IF(A1023-B1023=0,"OK","Error?"))</f>
        <v>Error?</v>
      </c>
    </row>
    <row r="1024" spans="1:4" x14ac:dyDescent="0.2">
      <c r="A1024" s="5">
        <v>963</v>
      </c>
      <c r="B1024" s="138">
        <f>'Expenditures 15-22'!H53</f>
        <v>7882</v>
      </c>
      <c r="C1024" s="2" t="s">
        <v>573</v>
      </c>
      <c r="D1024" s="2" t="str">
        <f t="shared" si="15"/>
        <v>Error?</v>
      </c>
    </row>
    <row r="1025" spans="1:4" x14ac:dyDescent="0.2">
      <c r="A1025" s="5">
        <v>964</v>
      </c>
      <c r="B1025" s="138">
        <f>'Expenditures 15-22'!H55</f>
        <v>343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343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8279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636876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647488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2245798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277483</v>
      </c>
      <c r="C1105" s="2" t="s">
        <v>573</v>
      </c>
      <c r="D1105" s="2" t="str">
        <f t="shared" si="16"/>
        <v>Error?</v>
      </c>
    </row>
    <row r="1106" spans="1:4" x14ac:dyDescent="0.2">
      <c r="A1106" s="5">
        <v>1045</v>
      </c>
      <c r="B1106" s="138">
        <f>'Expenditures 15-22'!K14</f>
        <v>172833</v>
      </c>
      <c r="C1106" s="2" t="s">
        <v>573</v>
      </c>
      <c r="D1106" s="2" t="str">
        <f t="shared" si="16"/>
        <v>Error?</v>
      </c>
    </row>
    <row r="1107" spans="1:4" x14ac:dyDescent="0.2">
      <c r="A1107" s="5">
        <v>1046</v>
      </c>
      <c r="B1107" s="138">
        <f>'Expenditures 15-22'!K15</f>
        <v>8886</v>
      </c>
      <c r="C1107" s="2" t="s">
        <v>573</v>
      </c>
      <c r="D1107" s="2" t="str">
        <f t="shared" si="16"/>
        <v>Error?</v>
      </c>
    </row>
    <row r="1108" spans="1:4" x14ac:dyDescent="0.2">
      <c r="A1108" s="5">
        <v>1047</v>
      </c>
      <c r="B1108" s="138">
        <f>'Expenditures 15-22'!K33</f>
        <v>3120632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74520</v>
      </c>
      <c r="C1110" s="2" t="s">
        <v>573</v>
      </c>
      <c r="D1110" s="2" t="str">
        <f t="shared" si="16"/>
        <v>Error?</v>
      </c>
    </row>
    <row r="1111" spans="1:4" x14ac:dyDescent="0.2">
      <c r="A1111" s="5">
        <v>1050</v>
      </c>
      <c r="B1111" s="138">
        <f>'Expenditures 15-22'!K38</f>
        <v>19913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94433</v>
      </c>
      <c r="C1115" s="2" t="s">
        <v>573</v>
      </c>
      <c r="D1115" s="2" t="str">
        <f t="shared" si="16"/>
        <v>Error?</v>
      </c>
    </row>
    <row r="1116" spans="1:4" x14ac:dyDescent="0.2">
      <c r="A1116" s="5">
        <v>1055</v>
      </c>
      <c r="B1116" s="138">
        <f>'Expenditures 15-22'!K44</f>
        <v>28348</v>
      </c>
      <c r="C1116" s="2" t="s">
        <v>573</v>
      </c>
      <c r="D1116" s="2" t="str">
        <f t="shared" si="16"/>
        <v>Error?</v>
      </c>
    </row>
    <row r="1117" spans="1:4" x14ac:dyDescent="0.2">
      <c r="A1117" s="5">
        <v>1056</v>
      </c>
      <c r="B1117" s="138">
        <f>'Expenditures 15-22'!K45</f>
        <v>59579</v>
      </c>
      <c r="C1117" s="2" t="s">
        <v>573</v>
      </c>
      <c r="D1117" s="2" t="str">
        <f t="shared" si="16"/>
        <v>Error?</v>
      </c>
    </row>
    <row r="1118" spans="1:4" x14ac:dyDescent="0.2">
      <c r="A1118" s="5">
        <v>1057</v>
      </c>
      <c r="B1118" s="138">
        <f>'Expenditures 15-22'!K46</f>
        <v>6705</v>
      </c>
      <c r="C1118" s="2" t="s">
        <v>573</v>
      </c>
      <c r="D1118" s="2" t="str">
        <f t="shared" si="16"/>
        <v>Error?</v>
      </c>
    </row>
    <row r="1119" spans="1:4" x14ac:dyDescent="0.2">
      <c r="A1119" s="5">
        <v>1058</v>
      </c>
      <c r="B1119" s="138">
        <f>'Expenditures 15-22'!K47</f>
        <v>94632</v>
      </c>
      <c r="C1119" s="2" t="s">
        <v>573</v>
      </c>
      <c r="D1119" s="2" t="str">
        <f t="shared" si="16"/>
        <v>Error?</v>
      </c>
    </row>
    <row r="1120" spans="1:4" x14ac:dyDescent="0.2">
      <c r="A1120" s="5">
        <v>1059</v>
      </c>
      <c r="B1120" s="138">
        <f>'Expenditures 15-22'!K49</f>
        <v>33726</v>
      </c>
      <c r="C1120" s="2" t="s">
        <v>573</v>
      </c>
      <c r="D1120" s="2" t="str">
        <f t="shared" si="16"/>
        <v>Error?</v>
      </c>
    </row>
    <row r="1121" spans="1:4" x14ac:dyDescent="0.2">
      <c r="A1121" s="5">
        <v>1060</v>
      </c>
      <c r="B1121" s="138">
        <f>'Expenditures 15-22'!K50</f>
        <v>140387</v>
      </c>
      <c r="C1121" s="2" t="s">
        <v>573</v>
      </c>
      <c r="D1121" s="2" t="str">
        <f t="shared" si="16"/>
        <v>Error?</v>
      </c>
    </row>
    <row r="1122" spans="1:4" x14ac:dyDescent="0.2">
      <c r="A1122" s="5">
        <v>1061</v>
      </c>
      <c r="B1122" s="138">
        <f>'Expenditures 15-22'!K53</f>
        <v>174113</v>
      </c>
      <c r="C1122" s="2" t="s">
        <v>573</v>
      </c>
      <c r="D1122" s="2" t="str">
        <f t="shared" si="16"/>
        <v>Error?</v>
      </c>
    </row>
    <row r="1123" spans="1:4" x14ac:dyDescent="0.2">
      <c r="A1123" s="5">
        <v>1062</v>
      </c>
      <c r="B1123" s="138">
        <f>'Expenditures 15-22'!K55</f>
        <v>299241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299241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21926</v>
      </c>
      <c r="C1127" s="2" t="s">
        <v>573</v>
      </c>
      <c r="D1127" s="2" t="str">
        <f t="shared" si="16"/>
        <v>Error?</v>
      </c>
    </row>
    <row r="1128" spans="1:4" x14ac:dyDescent="0.2">
      <c r="A1128" s="5">
        <v>1067</v>
      </c>
      <c r="B1128" s="138">
        <f>'Expenditures 15-22'!K61</f>
        <v>19820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170361</v>
      </c>
      <c r="C1130" s="2" t="s">
        <v>573</v>
      </c>
      <c r="D1130" s="2" t="str">
        <f t="shared" si="16"/>
        <v>Error?</v>
      </c>
    </row>
    <row r="1131" spans="1:4" x14ac:dyDescent="0.2">
      <c r="A1131" s="5">
        <v>1070</v>
      </c>
      <c r="B1131" s="138">
        <f>'Expenditures 15-22'!K64</f>
        <v>28723</v>
      </c>
      <c r="C1131" s="2" t="s">
        <v>573</v>
      </c>
      <c r="D1131" s="2" t="str">
        <f t="shared" si="16"/>
        <v>Error?</v>
      </c>
    </row>
    <row r="1132" spans="1:4" x14ac:dyDescent="0.2">
      <c r="A1132" s="10">
        <v>1071</v>
      </c>
      <c r="D1132" s="2" t="str">
        <f t="shared" si="16"/>
        <v>OK</v>
      </c>
    </row>
    <row r="1133" spans="1:4" x14ac:dyDescent="0.2">
      <c r="A1133" s="5">
        <v>1072</v>
      </c>
      <c r="B1133" s="138">
        <f>'Expenditures 15-22'!K65</f>
        <v>240830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3182</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3182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906431</v>
      </c>
      <c r="C1143" s="2" t="s">
        <v>573</v>
      </c>
      <c r="D1143" s="2" t="str">
        <f t="shared" si="16"/>
        <v>Error?</v>
      </c>
    </row>
    <row r="1144" spans="1:4" x14ac:dyDescent="0.2">
      <c r="A1144" s="5">
        <v>1083</v>
      </c>
      <c r="B1144" s="138">
        <f>'Expenditures 15-22'!K75</f>
        <v>50135</v>
      </c>
      <c r="C1144" s="2" t="s">
        <v>573</v>
      </c>
      <c r="D1144" s="2" t="str">
        <f t="shared" si="16"/>
        <v>Error?</v>
      </c>
    </row>
    <row r="1145" spans="1:4" x14ac:dyDescent="0.2">
      <c r="A1145" s="5">
        <v>1084</v>
      </c>
      <c r="B1145" s="138">
        <f>'Expenditures 15-22'!K102</f>
        <v>636876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4714074</v>
      </c>
      <c r="C1152" s="2" t="s">
        <v>573</v>
      </c>
      <c r="D1152" s="2" t="str">
        <f t="shared" si="17"/>
        <v>Error?</v>
      </c>
    </row>
    <row r="1153" spans="1:4" x14ac:dyDescent="0.2">
      <c r="A1153" s="5">
        <v>1092</v>
      </c>
      <c r="B1153" s="138">
        <f>'Expenditures 15-22'!K115</f>
        <v>-433400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204231</v>
      </c>
      <c r="D1221" s="2" t="str">
        <f t="shared" si="18"/>
        <v>Error?</v>
      </c>
    </row>
    <row r="1222" spans="1:4" x14ac:dyDescent="0.2">
      <c r="A1222" s="10">
        <v>1161</v>
      </c>
      <c r="D1222" s="2" t="str">
        <f t="shared" si="18"/>
        <v>OK</v>
      </c>
    </row>
    <row r="1223" spans="1:4" x14ac:dyDescent="0.2">
      <c r="A1223" s="5">
        <v>1162</v>
      </c>
      <c r="B1223" s="138">
        <f>'Expenditures 15-22'!C127</f>
        <v>204231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204231</v>
      </c>
      <c r="C1225" s="2" t="s">
        <v>573</v>
      </c>
      <c r="D1225" s="2" t="str">
        <f t="shared" si="18"/>
        <v>Error?</v>
      </c>
    </row>
    <row r="1226" spans="1:4" x14ac:dyDescent="0.2">
      <c r="A1226" s="5">
        <v>1165</v>
      </c>
      <c r="B1226" s="138">
        <f>'Expenditures 15-22'!C151</f>
        <v>204231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27555</v>
      </c>
      <c r="D1229" s="2" t="str">
        <f t="shared" si="18"/>
        <v>Error?</v>
      </c>
    </row>
    <row r="1230" spans="1:4" x14ac:dyDescent="0.2">
      <c r="A1230" s="10">
        <v>1169</v>
      </c>
      <c r="D1230" s="2" t="str">
        <f t="shared" si="18"/>
        <v>OK</v>
      </c>
    </row>
    <row r="1231" spans="1:4" x14ac:dyDescent="0.2">
      <c r="A1231" s="5">
        <v>1170</v>
      </c>
      <c r="B1231" s="138">
        <f>'Expenditures 15-22'!D127</f>
        <v>27555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27555</v>
      </c>
      <c r="C1233" s="2" t="s">
        <v>573</v>
      </c>
      <c r="D1233" s="2" t="str">
        <f t="shared" si="18"/>
        <v>Error?</v>
      </c>
    </row>
    <row r="1234" spans="1:4" x14ac:dyDescent="0.2">
      <c r="A1234" s="5">
        <v>1173</v>
      </c>
      <c r="B1234" s="138">
        <f>'Expenditures 15-22'!D151</f>
        <v>27555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64033</v>
      </c>
      <c r="D1237" s="2" t="str">
        <f t="shared" si="18"/>
        <v>Error?</v>
      </c>
    </row>
    <row r="1238" spans="1:4" x14ac:dyDescent="0.2">
      <c r="A1238" s="10">
        <v>1177</v>
      </c>
      <c r="D1238" s="2" t="str">
        <f t="shared" si="18"/>
        <v>OK</v>
      </c>
    </row>
    <row r="1239" spans="1:4" x14ac:dyDescent="0.2">
      <c r="A1239" s="5">
        <v>1178</v>
      </c>
      <c r="B1239" s="138">
        <f>'Expenditures 15-22'!E127</f>
        <v>64033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64033</v>
      </c>
      <c r="C1241" s="2" t="s">
        <v>573</v>
      </c>
      <c r="D1241" s="2" t="str">
        <f t="shared" si="18"/>
        <v>Error?</v>
      </c>
    </row>
    <row r="1242" spans="1:4" x14ac:dyDescent="0.2">
      <c r="A1242" s="5">
        <v>1181</v>
      </c>
      <c r="B1242" s="138">
        <f>'Expenditures 15-22'!E151</f>
        <v>64033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161308</v>
      </c>
      <c r="D1245" s="2" t="str">
        <f t="shared" si="18"/>
        <v>Error?</v>
      </c>
    </row>
    <row r="1246" spans="1:4" x14ac:dyDescent="0.2">
      <c r="A1246" s="10">
        <v>1185</v>
      </c>
      <c r="D1246" s="2" t="str">
        <f t="shared" si="18"/>
        <v>OK</v>
      </c>
    </row>
    <row r="1247" spans="1:4" x14ac:dyDescent="0.2">
      <c r="A1247" s="5">
        <v>1186</v>
      </c>
      <c r="B1247" s="138">
        <f>'Expenditures 15-22'!F127</f>
        <v>161308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161308</v>
      </c>
      <c r="C1249" s="2" t="s">
        <v>573</v>
      </c>
      <c r="D1249" s="2" t="str">
        <f t="shared" si="18"/>
        <v>Error?</v>
      </c>
    </row>
    <row r="1250" spans="1:4" x14ac:dyDescent="0.2">
      <c r="A1250" s="5">
        <v>1189</v>
      </c>
      <c r="B1250" s="138">
        <f>'Expenditures 15-22'!F151</f>
        <v>161308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16161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16161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16161</v>
      </c>
      <c r="C1258" s="2" t="s">
        <v>573</v>
      </c>
      <c r="D1258" s="2" t="str">
        <f t="shared" si="18"/>
        <v>Error?</v>
      </c>
    </row>
    <row r="1259" spans="1:4" x14ac:dyDescent="0.2">
      <c r="A1259" s="5">
        <v>1198</v>
      </c>
      <c r="B1259" s="138">
        <f>'Expenditures 15-22'!G151</f>
        <v>16161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473288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473288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473288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473288</v>
      </c>
      <c r="C1288" s="2" t="s">
        <v>573</v>
      </c>
      <c r="D1288" s="2" t="str">
        <f t="shared" si="19"/>
        <v>Error?</v>
      </c>
    </row>
    <row r="1289" spans="1:4" x14ac:dyDescent="0.2">
      <c r="A1289" s="5">
        <v>1228</v>
      </c>
      <c r="B1289" s="138">
        <f>'Expenditures 15-22'!K152</f>
        <v>-37737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32244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153000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185244</v>
      </c>
      <c r="C1317" s="2" t="s">
        <v>573</v>
      </c>
      <c r="D1317" s="2" t="str">
        <f t="shared" si="19"/>
        <v>Error?</v>
      </c>
    </row>
    <row r="1318" spans="1:4" x14ac:dyDescent="0.2">
      <c r="A1318" s="5">
        <v>1257</v>
      </c>
      <c r="B1318" s="138">
        <f>'Expenditures 15-22'!H174</f>
        <v>185244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32244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153000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185244</v>
      </c>
      <c r="C1331" s="2" t="s">
        <v>573</v>
      </c>
      <c r="D1331" s="2" t="str">
        <f t="shared" si="19"/>
        <v>Error?</v>
      </c>
    </row>
    <row r="1332" spans="1:4" x14ac:dyDescent="0.2">
      <c r="A1332" s="5">
        <v>1271</v>
      </c>
      <c r="B1332" s="138">
        <f>'Expenditures 15-22'!K174</f>
        <v>185244</v>
      </c>
      <c r="C1332" s="2" t="s">
        <v>573</v>
      </c>
      <c r="D1332" s="2" t="str">
        <f t="shared" si="19"/>
        <v>Error?</v>
      </c>
    </row>
    <row r="1333" spans="1:4" x14ac:dyDescent="0.2">
      <c r="A1333" s="5">
        <v>1272</v>
      </c>
      <c r="B1333" s="138">
        <f>'Expenditures 15-22'!K175</f>
        <v>-38768</v>
      </c>
      <c r="C1333" s="2" t="s">
        <v>573</v>
      </c>
      <c r="D1333" s="2" t="str">
        <f t="shared" si="19"/>
        <v>Error?</v>
      </c>
    </row>
    <row r="1334" spans="1:4" x14ac:dyDescent="0.2">
      <c r="A1334" s="10">
        <v>1273</v>
      </c>
      <c r="D1334" s="2" t="str">
        <f t="shared" si="19"/>
        <v>OK</v>
      </c>
    </row>
    <row r="1335" spans="1:4" x14ac:dyDescent="0.2">
      <c r="A1335" s="5">
        <v>1274</v>
      </c>
      <c r="B1335" s="138">
        <f>'Expenditures 15-22'!C182</f>
        <v>80163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80163</v>
      </c>
      <c r="C1339" s="2" t="s">
        <v>573</v>
      </c>
      <c r="D1339" s="2" t="str">
        <f t="shared" si="19"/>
        <v>Error?</v>
      </c>
    </row>
    <row r="1340" spans="1:4" x14ac:dyDescent="0.2">
      <c r="A1340" s="5">
        <v>1279</v>
      </c>
      <c r="B1340" s="138">
        <f>'Expenditures 15-22'!C210</f>
        <v>80163</v>
      </c>
      <c r="C1340" s="2" t="s">
        <v>573</v>
      </c>
      <c r="D1340" s="2" t="str">
        <f t="shared" si="19"/>
        <v>Error?</v>
      </c>
    </row>
    <row r="1341" spans="1:4" x14ac:dyDescent="0.2">
      <c r="A1341" s="5">
        <v>1280</v>
      </c>
      <c r="B1341" s="138">
        <f>'Expenditures 15-22'!D182</f>
        <v>8810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8810</v>
      </c>
      <c r="C1345" s="2" t="s">
        <v>573</v>
      </c>
      <c r="D1345" s="2" t="str">
        <f t="shared" si="20"/>
        <v>Error?</v>
      </c>
    </row>
    <row r="1346" spans="1:4" x14ac:dyDescent="0.2">
      <c r="A1346" s="5">
        <v>1285</v>
      </c>
      <c r="B1346" s="138">
        <f>'Expenditures 15-22'!D210</f>
        <v>8810</v>
      </c>
      <c r="C1346" s="2" t="s">
        <v>573</v>
      </c>
      <c r="D1346" s="2" t="str">
        <f t="shared" si="20"/>
        <v>Error?</v>
      </c>
    </row>
    <row r="1347" spans="1:4" x14ac:dyDescent="0.2">
      <c r="A1347" s="5">
        <v>1286</v>
      </c>
      <c r="B1347" s="138">
        <f>'Expenditures 15-22'!E182</f>
        <v>8245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8245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8245</v>
      </c>
      <c r="C1353" s="2" t="s">
        <v>573</v>
      </c>
      <c r="D1353" s="2" t="str">
        <f t="shared" si="20"/>
        <v>Error?</v>
      </c>
    </row>
    <row r="1354" spans="1:4" x14ac:dyDescent="0.2">
      <c r="A1354" s="5">
        <v>1293</v>
      </c>
      <c r="B1354" s="138">
        <f>'Expenditures 15-22'!F182</f>
        <v>21616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21616</v>
      </c>
      <c r="C1358" s="2" t="s">
        <v>573</v>
      </c>
      <c r="D1358" s="2" t="str">
        <f t="shared" si="20"/>
        <v>Error?</v>
      </c>
    </row>
    <row r="1359" spans="1:4" x14ac:dyDescent="0.2">
      <c r="A1359" s="5">
        <v>1298</v>
      </c>
      <c r="B1359" s="138">
        <f>'Expenditures 15-22'!F210</f>
        <v>21616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118834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118834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118834</v>
      </c>
      <c r="C1388" s="2" t="s">
        <v>573</v>
      </c>
      <c r="D1388" s="2" t="str">
        <f t="shared" si="20"/>
        <v>Error?</v>
      </c>
    </row>
    <row r="1389" spans="1:4" x14ac:dyDescent="0.2">
      <c r="A1389" s="5">
        <v>1328</v>
      </c>
      <c r="B1389" s="138">
        <f>'Expenditures 15-22'!K211</f>
        <v>41396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16167</v>
      </c>
      <c r="D1407" s="2" t="str">
        <f t="shared" ref="D1407:D1470" si="21">IF(ISBLANK(B1407),"OK",IF(A1407-B1407=0,"OK","Error?"))</f>
        <v>Error?</v>
      </c>
    </row>
    <row r="1408" spans="1:4" x14ac:dyDescent="0.2">
      <c r="A1408" s="5">
        <v>1347</v>
      </c>
      <c r="B1408" s="138">
        <f>'Expenditures 15-22'!D223</f>
        <v>5289</v>
      </c>
      <c r="D1408" s="2" t="str">
        <f t="shared" si="21"/>
        <v>Error?</v>
      </c>
    </row>
    <row r="1409" spans="1:4" x14ac:dyDescent="0.2">
      <c r="A1409" s="5">
        <v>1348</v>
      </c>
      <c r="B1409" s="138">
        <f>'Expenditures 15-22'!D224</f>
        <v>1378</v>
      </c>
      <c r="D1409" s="2" t="str">
        <f t="shared" si="21"/>
        <v>Error?</v>
      </c>
    </row>
    <row r="1410" spans="1:4" x14ac:dyDescent="0.2">
      <c r="A1410" s="5">
        <v>1349</v>
      </c>
      <c r="B1410" s="138">
        <f>'Expenditures 15-22'!D229</f>
        <v>132469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997</v>
      </c>
      <c r="D1412" s="2" t="str">
        <f t="shared" si="21"/>
        <v>Error?</v>
      </c>
    </row>
    <row r="1413" spans="1:4" x14ac:dyDescent="0.2">
      <c r="A1413" s="5">
        <v>1352</v>
      </c>
      <c r="B1413" s="138">
        <f>'Expenditures 15-22'!D234</f>
        <v>7765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8762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3903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3903</v>
      </c>
      <c r="C1421" s="2" t="s">
        <v>573</v>
      </c>
      <c r="D1421" s="2" t="str">
        <f t="shared" si="21"/>
        <v>Error?</v>
      </c>
    </row>
    <row r="1422" spans="1:4" x14ac:dyDescent="0.2">
      <c r="A1422" s="5">
        <v>1361</v>
      </c>
      <c r="B1422" s="138">
        <f>'Expenditures 15-22'!D245</f>
        <v>48</v>
      </c>
      <c r="D1422" s="2" t="str">
        <f t="shared" si="21"/>
        <v>Error?</v>
      </c>
    </row>
    <row r="1423" spans="1:4" x14ac:dyDescent="0.2">
      <c r="A1423" s="5">
        <v>1362</v>
      </c>
      <c r="B1423" s="138">
        <f>'Expenditures 15-22'!D246</f>
        <v>8202</v>
      </c>
      <c r="D1423" s="2" t="str">
        <f t="shared" si="21"/>
        <v>Error?</v>
      </c>
    </row>
    <row r="1424" spans="1:4" x14ac:dyDescent="0.2">
      <c r="A1424" s="5">
        <v>1363</v>
      </c>
      <c r="B1424" s="138">
        <f>'Expenditures 15-22'!D257</f>
        <v>8569</v>
      </c>
      <c r="C1424" s="2" t="s">
        <v>573</v>
      </c>
      <c r="D1424" s="2" t="str">
        <f t="shared" si="21"/>
        <v>Error?</v>
      </c>
    </row>
    <row r="1425" spans="1:4" x14ac:dyDescent="0.2">
      <c r="A1425" s="5">
        <v>1364</v>
      </c>
      <c r="B1425" s="138">
        <f>'Expenditures 15-22'!D259</f>
        <v>28140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28140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48299</v>
      </c>
      <c r="D1431" s="2" t="str">
        <f t="shared" si="21"/>
        <v>Error?</v>
      </c>
    </row>
    <row r="1432" spans="1:4" x14ac:dyDescent="0.2">
      <c r="A1432" s="5">
        <v>1371</v>
      </c>
      <c r="B1432" s="138">
        <f>'Expenditures 15-22'!D267</f>
        <v>13542</v>
      </c>
      <c r="D1432" s="2" t="str">
        <f t="shared" si="21"/>
        <v>Error?</v>
      </c>
    </row>
    <row r="1433" spans="1:4" x14ac:dyDescent="0.2">
      <c r="A1433" s="5">
        <v>1372</v>
      </c>
      <c r="B1433" s="138">
        <f>'Expenditures 15-22'!D268</f>
        <v>17604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81352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130726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263195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16167</v>
      </c>
      <c r="C1471" s="2" t="s">
        <v>573</v>
      </c>
      <c r="D1471" s="2" t="str">
        <f t="shared" ref="D1471:D1534" si="22">IF(ISBLANK(B1471),"OK",IF(A1471-B1471=0,"OK","Error?"))</f>
        <v>Error?</v>
      </c>
    </row>
    <row r="1472" spans="1:4" x14ac:dyDescent="0.2">
      <c r="A1472" s="5">
        <v>1411</v>
      </c>
      <c r="B1472" s="138">
        <f>'Expenditures 15-22'!K223</f>
        <v>5289</v>
      </c>
      <c r="C1472" s="2" t="s">
        <v>573</v>
      </c>
      <c r="D1472" s="2" t="str">
        <f t="shared" si="22"/>
        <v>Error?</v>
      </c>
    </row>
    <row r="1473" spans="1:4" x14ac:dyDescent="0.2">
      <c r="A1473" s="5">
        <v>1412</v>
      </c>
      <c r="B1473" s="138">
        <f>'Expenditures 15-22'!K224</f>
        <v>1378</v>
      </c>
      <c r="C1473" s="2" t="s">
        <v>573</v>
      </c>
      <c r="D1473" s="2" t="str">
        <f t="shared" si="22"/>
        <v>Error?</v>
      </c>
    </row>
    <row r="1474" spans="1:4" x14ac:dyDescent="0.2">
      <c r="A1474" s="5">
        <v>1413</v>
      </c>
      <c r="B1474" s="138">
        <f>'Expenditures 15-22'!K229</f>
        <v>132469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997</v>
      </c>
      <c r="C1476" s="2" t="s">
        <v>573</v>
      </c>
      <c r="D1476" s="2" t="str">
        <f t="shared" si="22"/>
        <v>Error?</v>
      </c>
    </row>
    <row r="1477" spans="1:4" x14ac:dyDescent="0.2">
      <c r="A1477" s="5">
        <v>1416</v>
      </c>
      <c r="B1477" s="138">
        <f>'Expenditures 15-22'!K234</f>
        <v>7765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8762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3903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3903</v>
      </c>
      <c r="C1485" s="2" t="s">
        <v>573</v>
      </c>
      <c r="D1485" s="2" t="str">
        <f t="shared" si="22"/>
        <v>Error?</v>
      </c>
    </row>
    <row r="1486" spans="1:4" x14ac:dyDescent="0.2">
      <c r="A1486" s="5">
        <v>1425</v>
      </c>
      <c r="B1486" s="138">
        <f>'Expenditures 15-22'!K245</f>
        <v>48</v>
      </c>
      <c r="C1486" s="2" t="s">
        <v>573</v>
      </c>
      <c r="D1486" s="2" t="str">
        <f t="shared" si="22"/>
        <v>Error?</v>
      </c>
    </row>
    <row r="1487" spans="1:4" x14ac:dyDescent="0.2">
      <c r="A1487" s="5">
        <v>1426</v>
      </c>
      <c r="B1487" s="138">
        <f>'Expenditures 15-22'!K246</f>
        <v>8202</v>
      </c>
      <c r="C1487" s="2" t="s">
        <v>573</v>
      </c>
      <c r="D1487" s="2" t="str">
        <f t="shared" si="22"/>
        <v>Error?</v>
      </c>
    </row>
    <row r="1488" spans="1:4" x14ac:dyDescent="0.2">
      <c r="A1488" s="5">
        <v>1427</v>
      </c>
      <c r="B1488" s="138">
        <f>'Expenditures 15-22'!K257</f>
        <v>8569</v>
      </c>
      <c r="C1488" s="2" t="s">
        <v>573</v>
      </c>
      <c r="D1488" s="2" t="str">
        <f t="shared" si="22"/>
        <v>Error?</v>
      </c>
    </row>
    <row r="1489" spans="1:4" x14ac:dyDescent="0.2">
      <c r="A1489" s="5">
        <v>1428</v>
      </c>
      <c r="B1489" s="138">
        <f>'Expenditures 15-22'!K259</f>
        <v>28140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28140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1907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48299</v>
      </c>
      <c r="C1495" s="2" t="s">
        <v>573</v>
      </c>
      <c r="D1495" s="2" t="str">
        <f t="shared" si="22"/>
        <v>Error?</v>
      </c>
    </row>
    <row r="1496" spans="1:4" x14ac:dyDescent="0.2">
      <c r="A1496" s="5">
        <v>1435</v>
      </c>
      <c r="B1496" s="138">
        <f>'Expenditures 15-22'!K267</f>
        <v>13542</v>
      </c>
      <c r="C1496" s="2" t="s">
        <v>573</v>
      </c>
      <c r="D1496" s="2" t="str">
        <f t="shared" si="22"/>
        <v>Error?</v>
      </c>
    </row>
    <row r="1497" spans="1:4" x14ac:dyDescent="0.2">
      <c r="A1497" s="5">
        <v>1436</v>
      </c>
      <c r="B1497" s="138">
        <f>'Expenditures 15-22'!K268</f>
        <v>17604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81352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130726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263195</v>
      </c>
      <c r="C1517" s="2" t="s">
        <v>573</v>
      </c>
      <c r="D1517" s="2" t="str">
        <f t="shared" si="22"/>
        <v>Error?</v>
      </c>
    </row>
    <row r="1518" spans="1:4" x14ac:dyDescent="0.2">
      <c r="A1518" s="5">
        <v>1457</v>
      </c>
      <c r="B1518" s="138">
        <f>'Expenditures 15-22'!K296</f>
        <v>-22216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1959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1959</v>
      </c>
      <c r="C1535" s="2" t="s">
        <v>573</v>
      </c>
      <c r="D1535" s="2" t="str">
        <f t="shared" ref="D1535:D1598" si="23">IF(ISBLANK(B1535),"OK",IF(A1535-B1535=0,"OK","Error?"))</f>
        <v>Error?</v>
      </c>
    </row>
    <row r="1536" spans="1:4" x14ac:dyDescent="0.2">
      <c r="A1536" s="5">
        <v>1475</v>
      </c>
      <c r="B1536" s="138">
        <f>'Expenditures 15-22'!E312</f>
        <v>1959</v>
      </c>
      <c r="C1536" s="2" t="s">
        <v>573</v>
      </c>
      <c r="D1536" s="2" t="str">
        <f t="shared" si="23"/>
        <v>Error?</v>
      </c>
    </row>
    <row r="1537" spans="1:4" x14ac:dyDescent="0.2">
      <c r="A1537" s="5">
        <v>1476</v>
      </c>
      <c r="B1537" s="138">
        <f>'Expenditures 15-22'!F301</f>
        <v>5093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5093</v>
      </c>
      <c r="C1541" s="2" t="s">
        <v>573</v>
      </c>
      <c r="D1541" s="2" t="str">
        <f t="shared" si="23"/>
        <v>Error?</v>
      </c>
    </row>
    <row r="1542" spans="1:4" x14ac:dyDescent="0.2">
      <c r="A1542" s="5">
        <v>1481</v>
      </c>
      <c r="B1542" s="138">
        <f>'Expenditures 15-22'!F312</f>
        <v>5093</v>
      </c>
      <c r="C1542" s="2" t="s">
        <v>573</v>
      </c>
      <c r="D1542" s="2" t="str">
        <f t="shared" si="23"/>
        <v>Error?</v>
      </c>
    </row>
    <row r="1543" spans="1:4" x14ac:dyDescent="0.2">
      <c r="A1543" s="5">
        <v>1482</v>
      </c>
      <c r="B1543" s="138">
        <f>'Expenditures 15-22'!G301</f>
        <v>8760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8760</v>
      </c>
      <c r="C1547" s="2" t="s">
        <v>573</v>
      </c>
      <c r="D1547" s="2" t="str">
        <f t="shared" si="23"/>
        <v>Error?</v>
      </c>
    </row>
    <row r="1548" spans="1:4" x14ac:dyDescent="0.2">
      <c r="A1548" s="5">
        <v>1487</v>
      </c>
      <c r="B1548" s="138">
        <f>'Expenditures 15-22'!G312</f>
        <v>8760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15812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15812</v>
      </c>
      <c r="C1559" s="2" t="s">
        <v>573</v>
      </c>
      <c r="D1559" s="2" t="str">
        <f t="shared" si="23"/>
        <v>Error?</v>
      </c>
    </row>
    <row r="1560" spans="1:4" x14ac:dyDescent="0.2">
      <c r="A1560" s="5">
        <v>1499</v>
      </c>
      <c r="B1560" s="138">
        <f>'Expenditures 15-22'!K312</f>
        <v>15812</v>
      </c>
      <c r="C1560" s="2" t="s">
        <v>573</v>
      </c>
      <c r="D1560" s="2" t="str">
        <f t="shared" si="23"/>
        <v>Error?</v>
      </c>
    </row>
    <row r="1561" spans="1:4" x14ac:dyDescent="0.2">
      <c r="A1561" s="5">
        <v>1500</v>
      </c>
      <c r="B1561" s="138">
        <f>'Expenditures 15-22'!K313</f>
        <v>-2064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3373034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2943300</v>
      </c>
      <c r="C1630" s="2" t="s">
        <v>573</v>
      </c>
      <c r="D1630" s="2" t="str">
        <f t="shared" si="24"/>
        <v>Error?</v>
      </c>
    </row>
    <row r="1631" spans="1:4" x14ac:dyDescent="0.2">
      <c r="A1631" s="5">
        <v>1570</v>
      </c>
      <c r="B1631" s="138">
        <f>'Acct Summary 7-8'!D79</f>
        <v>756790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719053</v>
      </c>
      <c r="C1644" s="2" t="s">
        <v>573</v>
      </c>
      <c r="D1644" s="2" t="str">
        <f t="shared" si="24"/>
        <v>Error?</v>
      </c>
    </row>
    <row r="1645" spans="1:4" x14ac:dyDescent="0.2">
      <c r="A1645" s="5">
        <v>1584</v>
      </c>
      <c r="B1645" s="138">
        <f>'Acct Summary 7-8'!E79</f>
        <v>82829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44061</v>
      </c>
      <c r="C1658" s="2" t="s">
        <v>573</v>
      </c>
      <c r="D1658" s="2" t="str">
        <f t="shared" si="24"/>
        <v>Error?</v>
      </c>
    </row>
    <row r="1659" spans="1:4" x14ac:dyDescent="0.2">
      <c r="A1659" s="5">
        <v>1598</v>
      </c>
      <c r="B1659" s="138">
        <f>'Acct Summary 7-8'!F79</f>
        <v>461683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503079</v>
      </c>
      <c r="C1672" s="2" t="s">
        <v>573</v>
      </c>
      <c r="D1672" s="2" t="str">
        <f t="shared" si="25"/>
        <v>Error?</v>
      </c>
    </row>
    <row r="1673" spans="1:4" x14ac:dyDescent="0.2">
      <c r="A1673" s="5">
        <v>1612</v>
      </c>
      <c r="B1673" s="138">
        <f>'Acct Summary 7-8'!G79</f>
        <v>140846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118630</v>
      </c>
      <c r="C1686" s="2" t="s">
        <v>573</v>
      </c>
      <c r="D1686" s="2" t="str">
        <f t="shared" si="25"/>
        <v>Error?</v>
      </c>
    </row>
    <row r="1687" spans="1:4" x14ac:dyDescent="0.2">
      <c r="A1687" s="5">
        <v>1626</v>
      </c>
      <c r="B1687" s="138">
        <f>'Acct Summary 7-8'!H79</f>
        <v>14412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12348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1122791</v>
      </c>
      <c r="C1744" s="2" t="s">
        <v>573</v>
      </c>
      <c r="D1744" s="2" t="str">
        <f t="shared" si="26"/>
        <v>Error?</v>
      </c>
    </row>
    <row r="1745" spans="1:5" x14ac:dyDescent="0.2">
      <c r="A1745" s="5">
        <v>1684</v>
      </c>
      <c r="B1745" s="138">
        <f>'Tax Sched 23'!B5</f>
        <v>305050</v>
      </c>
      <c r="C1745" s="2" t="s">
        <v>573</v>
      </c>
      <c r="D1745" s="2" t="str">
        <f t="shared" si="26"/>
        <v>Error?</v>
      </c>
    </row>
    <row r="1746" spans="1:5" x14ac:dyDescent="0.2">
      <c r="A1746" s="5">
        <v>1685</v>
      </c>
      <c r="B1746" s="138">
        <f>'Tax Sched 23'!B6</f>
        <v>146430</v>
      </c>
      <c r="C1746" s="2" t="s">
        <v>573</v>
      </c>
      <c r="D1746" s="2" t="str">
        <f t="shared" si="26"/>
        <v>Error?</v>
      </c>
    </row>
    <row r="1747" spans="1:5" x14ac:dyDescent="0.2">
      <c r="A1747" s="5">
        <v>1686</v>
      </c>
      <c r="B1747" s="138">
        <f>'Tax Sched 23'!B7</f>
        <v>122043</v>
      </c>
      <c r="C1747" s="2" t="s">
        <v>573</v>
      </c>
      <c r="D1747" s="2" t="str">
        <f t="shared" si="26"/>
        <v>Error?</v>
      </c>
    </row>
    <row r="1748" spans="1:5" x14ac:dyDescent="0.2">
      <c r="A1748" s="5">
        <v>1687</v>
      </c>
      <c r="B1748" s="138">
        <f>'Tax Sched 23'!B8</f>
        <v>69573</v>
      </c>
      <c r="C1748" s="2" t="s">
        <v>573</v>
      </c>
      <c r="D1748" s="2" t="str">
        <f t="shared" si="26"/>
        <v>Error?</v>
      </c>
    </row>
    <row r="1749" spans="1:5" x14ac:dyDescent="0.2">
      <c r="A1749" s="5">
        <v>1688</v>
      </c>
      <c r="B1749" s="138">
        <f>'Tax Sched 23'!B10</f>
        <v>28787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432729</v>
      </c>
      <c r="C1752" s="2" t="s">
        <v>573</v>
      </c>
      <c r="D1752" s="2" t="str">
        <f t="shared" si="26"/>
        <v>Error?</v>
      </c>
    </row>
    <row r="1753" spans="1:5" x14ac:dyDescent="0.2">
      <c r="A1753" s="5">
        <v>1692</v>
      </c>
      <c r="B1753" s="138">
        <f>'Tax Sched 23'!B12</f>
        <v>28788</v>
      </c>
      <c r="C1753" s="2" t="s">
        <v>573</v>
      </c>
      <c r="D1753" s="2" t="str">
        <f t="shared" si="26"/>
        <v>Error?</v>
      </c>
    </row>
    <row r="1754" spans="1:5" x14ac:dyDescent="0.2">
      <c r="A1754" s="5">
        <v>1693</v>
      </c>
      <c r="B1754" s="138">
        <f>'Tax Sched 23'!B14</f>
        <v>24409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2411406</v>
      </c>
      <c r="C1759" s="2" t="s">
        <v>573</v>
      </c>
      <c r="D1759" s="2" t="str">
        <f t="shared" si="26"/>
        <v>Error?</v>
      </c>
    </row>
    <row r="1760" spans="1:5" x14ac:dyDescent="0.2">
      <c r="A1760" s="5">
        <v>1699</v>
      </c>
      <c r="B1760" s="138">
        <f>'Tax Sched 23'!D4</f>
        <v>778141</v>
      </c>
      <c r="C1760" s="2" t="s">
        <v>573</v>
      </c>
      <c r="D1760" s="2" t="str">
        <f t="shared" si="26"/>
        <v>Error?</v>
      </c>
    </row>
    <row r="1761" spans="1:5" x14ac:dyDescent="0.2">
      <c r="A1761" s="5">
        <v>1700</v>
      </c>
      <c r="B1761" s="138">
        <f>'Tax Sched 23'!D5</f>
        <v>211451</v>
      </c>
      <c r="C1761" s="2" t="s">
        <v>573</v>
      </c>
      <c r="D1761" s="2" t="str">
        <f t="shared" si="26"/>
        <v>Error?</v>
      </c>
    </row>
    <row r="1762" spans="1:5" s="8" customFormat="1" x14ac:dyDescent="0.2">
      <c r="A1762" s="5">
        <v>1701</v>
      </c>
      <c r="B1762" s="138">
        <f>'Tax Sched 23'!D6</f>
        <v>102843</v>
      </c>
      <c r="C1762" s="2" t="s">
        <v>573</v>
      </c>
      <c r="D1762" s="2" t="str">
        <f t="shared" si="26"/>
        <v>Error?</v>
      </c>
      <c r="E1762" s="9"/>
    </row>
    <row r="1763" spans="1:5" x14ac:dyDescent="0.2">
      <c r="A1763" s="5">
        <v>1702</v>
      </c>
      <c r="B1763" s="138">
        <f>'Tax Sched 23'!D7</f>
        <v>84581</v>
      </c>
      <c r="C1763" s="2" t="s">
        <v>573</v>
      </c>
      <c r="D1763" s="2" t="str">
        <f t="shared" si="26"/>
        <v>Error?</v>
      </c>
    </row>
    <row r="1764" spans="1:5" x14ac:dyDescent="0.2">
      <c r="A1764" s="5">
        <v>1703</v>
      </c>
      <c r="B1764" s="138">
        <f>'Tax Sched 23'!D8</f>
        <v>55525</v>
      </c>
      <c r="C1764" s="2" t="s">
        <v>573</v>
      </c>
      <c r="D1764" s="2" t="str">
        <f t="shared" si="26"/>
        <v>Error?</v>
      </c>
    </row>
    <row r="1765" spans="1:5" x14ac:dyDescent="0.2">
      <c r="A1765" s="5">
        <v>1704</v>
      </c>
      <c r="B1765" s="138">
        <f>'Tax Sched 23'!D10</f>
        <v>21145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288688</v>
      </c>
      <c r="C1768" s="2" t="s">
        <v>573</v>
      </c>
      <c r="D1768" s="2" t="str">
        <f t="shared" si="26"/>
        <v>Error?</v>
      </c>
    </row>
    <row r="1769" spans="1:5" x14ac:dyDescent="0.2">
      <c r="A1769" s="5">
        <v>1708</v>
      </c>
      <c r="B1769" s="138">
        <f>'Tax Sched 23'!D12</f>
        <v>21146</v>
      </c>
      <c r="C1769" s="2" t="s">
        <v>573</v>
      </c>
      <c r="D1769" s="2" t="str">
        <f t="shared" si="26"/>
        <v>Error?</v>
      </c>
    </row>
    <row r="1770" spans="1:5" x14ac:dyDescent="0.2">
      <c r="A1770" s="5">
        <v>1709</v>
      </c>
      <c r="B1770" s="138">
        <f>'Tax Sched 23'!D14</f>
        <v>16916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1676533</v>
      </c>
      <c r="C1775" s="2" t="s">
        <v>573</v>
      </c>
      <c r="D1775" s="2" t="str">
        <f t="shared" si="26"/>
        <v>Error?</v>
      </c>
    </row>
    <row r="1776" spans="1:5" x14ac:dyDescent="0.2">
      <c r="A1776" s="5">
        <v>1715</v>
      </c>
      <c r="B1776" s="138">
        <f>'Tax Sched 23'!C4</f>
        <v>344650</v>
      </c>
      <c r="D1776" s="2" t="str">
        <f t="shared" si="26"/>
        <v>Error?</v>
      </c>
    </row>
    <row r="1777" spans="1:4" x14ac:dyDescent="0.2">
      <c r="A1777" s="5">
        <v>1716</v>
      </c>
      <c r="B1777" s="138">
        <f>'Tax Sched 23'!C5</f>
        <v>93599</v>
      </c>
      <c r="D1777" s="2" t="str">
        <f t="shared" si="26"/>
        <v>Error?</v>
      </c>
    </row>
    <row r="1778" spans="1:4" x14ac:dyDescent="0.2">
      <c r="A1778" s="5">
        <v>1717</v>
      </c>
      <c r="B1778" s="138">
        <f>'Tax Sched 23'!C6</f>
        <v>43587</v>
      </c>
      <c r="D1778" s="2" t="str">
        <f t="shared" si="26"/>
        <v>Error?</v>
      </c>
    </row>
    <row r="1779" spans="1:4" x14ac:dyDescent="0.2">
      <c r="A1779" s="5">
        <v>1718</v>
      </c>
      <c r="B1779" s="138">
        <f>'Tax Sched 23'!C7</f>
        <v>37462</v>
      </c>
      <c r="D1779" s="2" t="str">
        <f t="shared" si="26"/>
        <v>Error?</v>
      </c>
    </row>
    <row r="1780" spans="1:4" x14ac:dyDescent="0.2">
      <c r="A1780" s="5">
        <v>1719</v>
      </c>
      <c r="B1780" s="138">
        <f>'Tax Sched 23'!C8</f>
        <v>14048</v>
      </c>
      <c r="D1780" s="2" t="str">
        <f t="shared" si="26"/>
        <v>Error?</v>
      </c>
    </row>
    <row r="1781" spans="1:4" x14ac:dyDescent="0.2">
      <c r="A1781" s="5">
        <v>1720</v>
      </c>
      <c r="B1781" s="138">
        <f>'Tax Sched 23'!C10</f>
        <v>7642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144041</v>
      </c>
      <c r="D1784" s="2" t="str">
        <f t="shared" si="26"/>
        <v>Error?</v>
      </c>
    </row>
    <row r="1785" spans="1:4" x14ac:dyDescent="0.2">
      <c r="A1785" s="5">
        <v>1724</v>
      </c>
      <c r="B1785" s="138">
        <f>'Tax Sched 23'!C12</f>
        <v>7642</v>
      </c>
      <c r="D1785" s="2" t="str">
        <f t="shared" si="26"/>
        <v>Error?</v>
      </c>
    </row>
    <row r="1786" spans="1:4" x14ac:dyDescent="0.2">
      <c r="A1786" s="5">
        <v>1725</v>
      </c>
      <c r="B1786" s="138">
        <f>'Tax Sched 23'!C14</f>
        <v>7493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734873</v>
      </c>
      <c r="C1791" s="2" t="s">
        <v>573</v>
      </c>
      <c r="D1791" s="2" t="str">
        <f t="shared" ref="D1791:D1854" si="27">IF(ISBLANK(B1791),"OK",IF(A1791-B1791=0,"OK","Error?"))</f>
        <v>Error?</v>
      </c>
    </row>
    <row r="1792" spans="1:4" x14ac:dyDescent="0.2">
      <c r="A1792" s="5">
        <v>1731</v>
      </c>
      <c r="B1792" s="138">
        <f>'Tax Sched 23'!F4</f>
        <v>1126906</v>
      </c>
      <c r="C1792" s="2" t="s">
        <v>573</v>
      </c>
      <c r="D1792" s="2" t="str">
        <f t="shared" si="27"/>
        <v>Error?</v>
      </c>
    </row>
    <row r="1793" spans="1:4" x14ac:dyDescent="0.2">
      <c r="A1793" s="5">
        <v>1732</v>
      </c>
      <c r="B1793" s="138">
        <f>'Tax Sched 23'!F5</f>
        <v>306040</v>
      </c>
      <c r="C1793" s="2" t="s">
        <v>573</v>
      </c>
      <c r="D1793" s="2" t="str">
        <f t="shared" si="27"/>
        <v>Error?</v>
      </c>
    </row>
    <row r="1794" spans="1:4" x14ac:dyDescent="0.2">
      <c r="A1794" s="5">
        <v>1733</v>
      </c>
      <c r="B1794" s="138">
        <f>'Tax Sched 23'!F6</f>
        <v>142517</v>
      </c>
      <c r="C1794" s="2" t="s">
        <v>573</v>
      </c>
      <c r="D1794" s="2" t="str">
        <f t="shared" si="27"/>
        <v>Error?</v>
      </c>
    </row>
    <row r="1795" spans="1:4" x14ac:dyDescent="0.2">
      <c r="A1795" s="5">
        <v>1734</v>
      </c>
      <c r="B1795" s="138">
        <f>'Tax Sched 23'!F7</f>
        <v>122490</v>
      </c>
      <c r="C1795" s="2" t="s">
        <v>573</v>
      </c>
      <c r="D1795" s="2" t="str">
        <f t="shared" si="27"/>
        <v>Error?</v>
      </c>
    </row>
    <row r="1796" spans="1:4" x14ac:dyDescent="0.2">
      <c r="A1796" s="5">
        <v>1735</v>
      </c>
      <c r="B1796" s="138">
        <f>'Tax Sched 23'!F8</f>
        <v>45934</v>
      </c>
      <c r="C1796" s="2" t="s">
        <v>573</v>
      </c>
      <c r="D1796" s="2" t="str">
        <f t="shared" si="27"/>
        <v>Error?</v>
      </c>
    </row>
    <row r="1797" spans="1:4" x14ac:dyDescent="0.2">
      <c r="A1797" s="5">
        <v>1736</v>
      </c>
      <c r="B1797" s="138">
        <f>'Tax Sched 23'!F10</f>
        <v>24988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470974</v>
      </c>
      <c r="C1800" s="2" t="s">
        <v>573</v>
      </c>
      <c r="D1800" s="2" t="str">
        <f t="shared" si="27"/>
        <v>Error?</v>
      </c>
    </row>
    <row r="1801" spans="1:4" x14ac:dyDescent="0.2">
      <c r="A1801" s="5">
        <v>1740</v>
      </c>
      <c r="B1801" s="138">
        <f>'Tax Sched 23'!F12</f>
        <v>24988</v>
      </c>
      <c r="C1801" s="2" t="s">
        <v>573</v>
      </c>
      <c r="D1801" s="2" t="str">
        <f t="shared" si="27"/>
        <v>Error?</v>
      </c>
    </row>
    <row r="1802" spans="1:4" x14ac:dyDescent="0.2">
      <c r="A1802" s="5">
        <v>1741</v>
      </c>
      <c r="B1802" s="138">
        <f>'Tax Sched 23'!F14</f>
        <v>24497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2402821</v>
      </c>
      <c r="C1807" s="2" t="s">
        <v>573</v>
      </c>
      <c r="D1807" s="2" t="str">
        <f t="shared" si="27"/>
        <v>Error?</v>
      </c>
    </row>
    <row r="1808" spans="1:4" x14ac:dyDescent="0.2">
      <c r="A1808" s="5">
        <v>1747</v>
      </c>
      <c r="B1808" s="138">
        <f>'Tax Sched 23'!E4</f>
        <v>1471556</v>
      </c>
      <c r="D1808" s="2" t="str">
        <f t="shared" si="27"/>
        <v>Error?</v>
      </c>
    </row>
    <row r="1809" spans="1:4" x14ac:dyDescent="0.2">
      <c r="A1809" s="5">
        <v>1748</v>
      </c>
      <c r="B1809" s="138">
        <f>'Tax Sched 23'!E5</f>
        <v>399639</v>
      </c>
      <c r="D1809" s="2" t="str">
        <f t="shared" si="27"/>
        <v>Error?</v>
      </c>
    </row>
    <row r="1810" spans="1:4" x14ac:dyDescent="0.2">
      <c r="A1810" s="5">
        <v>1749</v>
      </c>
      <c r="B1810" s="138">
        <f>'Tax Sched 23'!E6</f>
        <v>186104</v>
      </c>
      <c r="D1810" s="2" t="str">
        <f t="shared" si="27"/>
        <v>Error?</v>
      </c>
    </row>
    <row r="1811" spans="1:4" x14ac:dyDescent="0.2">
      <c r="A1811" s="5">
        <v>1750</v>
      </c>
      <c r="B1811" s="138">
        <f>'Tax Sched 23'!E7</f>
        <v>159952</v>
      </c>
      <c r="D1811" s="2" t="str">
        <f t="shared" si="27"/>
        <v>Error?</v>
      </c>
    </row>
    <row r="1812" spans="1:4" x14ac:dyDescent="0.2">
      <c r="A1812" s="5">
        <v>1751</v>
      </c>
      <c r="B1812" s="138">
        <f>'Tax Sched 23'!E8</f>
        <v>59982</v>
      </c>
      <c r="D1812" s="2" t="str">
        <f t="shared" si="27"/>
        <v>Error?</v>
      </c>
    </row>
    <row r="1813" spans="1:4" x14ac:dyDescent="0.2">
      <c r="A1813" s="5">
        <v>1752</v>
      </c>
      <c r="B1813" s="138">
        <f>'Tax Sched 23'!E10</f>
        <v>32630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615015</v>
      </c>
      <c r="D1816" s="2" t="str">
        <f t="shared" si="27"/>
        <v>Error?</v>
      </c>
    </row>
    <row r="1817" spans="1:4" x14ac:dyDescent="0.2">
      <c r="A1817" s="5">
        <v>1756</v>
      </c>
      <c r="B1817" s="138">
        <f>'Tax Sched 23'!E12</f>
        <v>32630</v>
      </c>
      <c r="D1817" s="2" t="str">
        <f t="shared" si="27"/>
        <v>Error?</v>
      </c>
    </row>
    <row r="1818" spans="1:4" x14ac:dyDescent="0.2">
      <c r="A1818" s="5">
        <v>1757</v>
      </c>
      <c r="B1818" s="138">
        <f>'Tax Sched 23'!E14</f>
        <v>31990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3137694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850000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24409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24409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24409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68728</v>
      </c>
      <c r="D2008" s="2" t="str">
        <f t="shared" si="30"/>
        <v>Error?</v>
      </c>
    </row>
    <row r="2009" spans="1:4" x14ac:dyDescent="0.2">
      <c r="A2009" s="5">
        <v>1948</v>
      </c>
      <c r="B2009" s="138">
        <f>'Cap Outlay Deprec 26'!C8</f>
        <v>8892310</v>
      </c>
      <c r="D2009" s="2" t="str">
        <f t="shared" si="30"/>
        <v>Error?</v>
      </c>
    </row>
    <row r="2010" spans="1:4" x14ac:dyDescent="0.2">
      <c r="A2010" s="5">
        <v>1949</v>
      </c>
      <c r="B2010" s="138">
        <f>'Cap Outlay Deprec 26'!C10</f>
        <v>726464</v>
      </c>
      <c r="D2010" s="2" t="str">
        <f t="shared" si="30"/>
        <v>Error?</v>
      </c>
    </row>
    <row r="2011" spans="1:4" x14ac:dyDescent="0.2">
      <c r="A2011" s="5">
        <v>1950</v>
      </c>
      <c r="B2011" s="138">
        <f>'Cap Outlay Deprec 26'!C12</f>
        <v>412788</v>
      </c>
      <c r="D2011" s="2" t="str">
        <f t="shared" si="30"/>
        <v>Error?</v>
      </c>
    </row>
    <row r="2012" spans="1:4" x14ac:dyDescent="0.2">
      <c r="A2012" s="5">
        <v>1951</v>
      </c>
      <c r="B2012" s="138">
        <f>'Cap Outlay Deprec 26'!C13</f>
        <v>669823</v>
      </c>
      <c r="D2012" s="2" t="str">
        <f t="shared" si="30"/>
        <v>Error?</v>
      </c>
    </row>
    <row r="2013" spans="1:4" x14ac:dyDescent="0.2">
      <c r="A2013" s="5">
        <v>1952</v>
      </c>
      <c r="B2013" s="138">
        <f>'Cap Outlay Deprec 26'!C16</f>
        <v>10770113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68970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37689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115419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171392</v>
      </c>
      <c r="D2024" s="2" t="str">
        <f t="shared" si="30"/>
        <v>Error?</v>
      </c>
    </row>
    <row r="2025" spans="1:4" x14ac:dyDescent="0.2">
      <c r="A2025" s="5">
        <v>1964</v>
      </c>
      <c r="B2025" s="138">
        <f>'Cap Outlay Deprec 26'!E16</f>
        <v>171392</v>
      </c>
      <c r="C2025" s="2" t="s">
        <v>573</v>
      </c>
      <c r="D2025" s="2" t="str">
        <f t="shared" si="30"/>
        <v>Error?</v>
      </c>
    </row>
    <row r="2026" spans="1:4" x14ac:dyDescent="0.2">
      <c r="A2026" s="5">
        <v>1965</v>
      </c>
      <c r="B2026" s="138">
        <f>'Cap Outlay Deprec 26'!F5</f>
        <v>68728</v>
      </c>
      <c r="C2026" s="2" t="s">
        <v>573</v>
      </c>
      <c r="D2026" s="2" t="str">
        <f t="shared" si="30"/>
        <v>Error?</v>
      </c>
    </row>
    <row r="2027" spans="1:4" x14ac:dyDescent="0.2">
      <c r="A2027" s="5">
        <v>1966</v>
      </c>
      <c r="B2027" s="138">
        <f>'Cap Outlay Deprec 26'!F8</f>
        <v>8961280</v>
      </c>
      <c r="C2027" s="2" t="s">
        <v>573</v>
      </c>
      <c r="D2027" s="2" t="str">
        <f t="shared" si="30"/>
        <v>Error?</v>
      </c>
    </row>
    <row r="2028" spans="1:4" x14ac:dyDescent="0.2">
      <c r="A2028" s="5">
        <v>1967</v>
      </c>
      <c r="B2028" s="138">
        <f>'Cap Outlay Deprec 26'!F10</f>
        <v>726464</v>
      </c>
      <c r="C2028" s="2" t="s">
        <v>573</v>
      </c>
      <c r="D2028" s="2" t="str">
        <f t="shared" si="30"/>
        <v>Error?</v>
      </c>
    </row>
    <row r="2029" spans="1:4" x14ac:dyDescent="0.2">
      <c r="A2029" s="5">
        <v>1968</v>
      </c>
      <c r="B2029" s="138">
        <f>'Cap Outlay Deprec 26'!F12</f>
        <v>450477</v>
      </c>
      <c r="C2029" s="2" t="s">
        <v>573</v>
      </c>
      <c r="D2029" s="2" t="str">
        <f t="shared" si="30"/>
        <v>Error?</v>
      </c>
    </row>
    <row r="2030" spans="1:4" x14ac:dyDescent="0.2">
      <c r="A2030" s="5">
        <v>1969</v>
      </c>
      <c r="B2030" s="138">
        <f>'Cap Outlay Deprec 26'!F13</f>
        <v>498431</v>
      </c>
      <c r="C2030" s="2" t="s">
        <v>573</v>
      </c>
      <c r="D2030" s="2" t="str">
        <f t="shared" si="30"/>
        <v>Error?</v>
      </c>
    </row>
    <row r="2031" spans="1:4" x14ac:dyDescent="0.2">
      <c r="A2031" s="5">
        <v>1970</v>
      </c>
      <c r="B2031" s="138">
        <f>'Cap Outlay Deprec 26'!F16</f>
        <v>10714140</v>
      </c>
      <c r="C2031" s="2" t="s">
        <v>573</v>
      </c>
      <c r="D2031" s="2" t="str">
        <f t="shared" si="30"/>
        <v>Error?</v>
      </c>
    </row>
    <row r="2032" spans="1:4" x14ac:dyDescent="0.2">
      <c r="A2032" s="10">
        <v>1971</v>
      </c>
      <c r="D2032" s="2" t="str">
        <f t="shared" si="30"/>
        <v>OK</v>
      </c>
    </row>
    <row r="2033" spans="1:4" x14ac:dyDescent="0.2">
      <c r="A2033" s="5">
        <v>1972</v>
      </c>
      <c r="B2033" s="138">
        <f>'Cap Outlay Deprec 26'!H8</f>
        <v>4990474</v>
      </c>
      <c r="D2033" s="2" t="str">
        <f t="shared" si="30"/>
        <v>Error?</v>
      </c>
    </row>
    <row r="2034" spans="1:4" x14ac:dyDescent="0.2">
      <c r="A2034" s="5">
        <v>1973</v>
      </c>
      <c r="B2034" s="138">
        <f>'Cap Outlay Deprec 26'!H10</f>
        <v>449733</v>
      </c>
      <c r="D2034" s="2" t="str">
        <f t="shared" si="30"/>
        <v>Error?</v>
      </c>
    </row>
    <row r="2035" spans="1:4" x14ac:dyDescent="0.2">
      <c r="A2035" s="5">
        <v>1974</v>
      </c>
      <c r="B2035" s="138">
        <f>'Cap Outlay Deprec 26'!H12</f>
        <v>232338</v>
      </c>
      <c r="D2035" s="2" t="str">
        <f t="shared" si="30"/>
        <v>Error?</v>
      </c>
    </row>
    <row r="2036" spans="1:4" x14ac:dyDescent="0.2">
      <c r="A2036" s="5">
        <v>1975</v>
      </c>
      <c r="B2036" s="138">
        <f>'Cap Outlay Deprec 26'!H13</f>
        <v>659012</v>
      </c>
      <c r="D2036" s="2" t="str">
        <f t="shared" si="30"/>
        <v>Error?</v>
      </c>
    </row>
    <row r="2037" spans="1:4" x14ac:dyDescent="0.2">
      <c r="A2037" s="5">
        <v>1976</v>
      </c>
      <c r="B2037" s="138">
        <f>'Cap Outlay Deprec 26'!H16</f>
        <v>6331557</v>
      </c>
      <c r="C2037" s="2" t="s">
        <v>573</v>
      </c>
      <c r="D2037" s="2" t="str">
        <f t="shared" si="30"/>
        <v>Error?</v>
      </c>
    </row>
    <row r="2038" spans="1:4" x14ac:dyDescent="0.2">
      <c r="A2038" s="10">
        <v>1977</v>
      </c>
      <c r="D2038" s="2" t="str">
        <f t="shared" si="30"/>
        <v>OK</v>
      </c>
    </row>
    <row r="2039" spans="1:4" x14ac:dyDescent="0.2">
      <c r="A2039" s="5">
        <v>1978</v>
      </c>
      <c r="B2039" s="138">
        <f>'Cap Outlay Deprec 26'!I8</f>
        <v>179226</v>
      </c>
      <c r="D2039" s="2" t="str">
        <f t="shared" si="30"/>
        <v>Error?</v>
      </c>
    </row>
    <row r="2040" spans="1:4" x14ac:dyDescent="0.2">
      <c r="A2040" s="5">
        <v>1979</v>
      </c>
      <c r="B2040" s="138">
        <f>'Cap Outlay Deprec 26'!I10</f>
        <v>34965</v>
      </c>
      <c r="D2040" s="2" t="str">
        <f t="shared" si="30"/>
        <v>Error?</v>
      </c>
    </row>
    <row r="2041" spans="1:4" x14ac:dyDescent="0.2">
      <c r="A2041" s="5">
        <v>1980</v>
      </c>
      <c r="B2041" s="138">
        <f>'Cap Outlay Deprec 26'!I12</f>
        <v>38484</v>
      </c>
      <c r="D2041" s="2" t="str">
        <f t="shared" si="30"/>
        <v>Error?</v>
      </c>
    </row>
    <row r="2042" spans="1:4" x14ac:dyDescent="0.2">
      <c r="A2042" s="5">
        <v>1981</v>
      </c>
      <c r="B2042" s="138">
        <f>'Cap Outlay Deprec 26'!I13</f>
        <v>924</v>
      </c>
      <c r="D2042" s="2" t="str">
        <f t="shared" si="30"/>
        <v>Error?</v>
      </c>
    </row>
    <row r="2043" spans="1:4" x14ac:dyDescent="0.2">
      <c r="A2043" s="5">
        <v>1982</v>
      </c>
      <c r="B2043" s="138">
        <f>'Cap Outlay Deprec 26'!I16</f>
        <v>253599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171392</v>
      </c>
      <c r="D2048" s="2" t="str">
        <f t="shared" si="31"/>
        <v>Error?</v>
      </c>
    </row>
    <row r="2049" spans="1:4" x14ac:dyDescent="0.2">
      <c r="A2049" s="5">
        <v>1988</v>
      </c>
      <c r="B2049" s="138">
        <f>'Cap Outlay Deprec 26'!J16</f>
        <v>171392</v>
      </c>
      <c r="C2049" s="2" t="s">
        <v>573</v>
      </c>
      <c r="D2049" s="2" t="str">
        <f t="shared" si="31"/>
        <v>Error?</v>
      </c>
    </row>
    <row r="2050" spans="1:4" x14ac:dyDescent="0.2">
      <c r="A2050" s="10">
        <v>1989</v>
      </c>
      <c r="D2050" s="2" t="str">
        <f t="shared" si="31"/>
        <v>OK</v>
      </c>
    </row>
    <row r="2051" spans="1:4" x14ac:dyDescent="0.2">
      <c r="A2051" s="5">
        <v>1990</v>
      </c>
      <c r="B2051" s="138">
        <f>'Cap Outlay Deprec 26'!K8</f>
        <v>5169700</v>
      </c>
      <c r="C2051" s="2" t="s">
        <v>573</v>
      </c>
      <c r="D2051" s="2" t="str">
        <f t="shared" si="31"/>
        <v>Error?</v>
      </c>
    </row>
    <row r="2052" spans="1:4" x14ac:dyDescent="0.2">
      <c r="A2052" s="5">
        <v>1991</v>
      </c>
      <c r="B2052" s="138">
        <f>'Cap Outlay Deprec 26'!K10</f>
        <v>484698</v>
      </c>
      <c r="C2052" s="2" t="s">
        <v>573</v>
      </c>
      <c r="D2052" s="2" t="str">
        <f t="shared" si="31"/>
        <v>Error?</v>
      </c>
    </row>
    <row r="2053" spans="1:4" x14ac:dyDescent="0.2">
      <c r="A2053" s="5">
        <v>1992</v>
      </c>
      <c r="B2053" s="138">
        <f>'Cap Outlay Deprec 26'!K12</f>
        <v>270822</v>
      </c>
      <c r="C2053" s="2" t="s">
        <v>573</v>
      </c>
      <c r="D2053" s="2" t="str">
        <f t="shared" si="31"/>
        <v>Error?</v>
      </c>
    </row>
    <row r="2054" spans="1:4" x14ac:dyDescent="0.2">
      <c r="A2054" s="5">
        <v>1993</v>
      </c>
      <c r="B2054" s="138">
        <f>'Cap Outlay Deprec 26'!K13</f>
        <v>488544</v>
      </c>
      <c r="C2054" s="2" t="s">
        <v>573</v>
      </c>
      <c r="D2054" s="2" t="str">
        <f t="shared" si="31"/>
        <v>Error?</v>
      </c>
    </row>
    <row r="2055" spans="1:4" x14ac:dyDescent="0.2">
      <c r="A2055" s="5">
        <v>1994</v>
      </c>
      <c r="B2055" s="138">
        <f>'Cap Outlay Deprec 26'!K16</f>
        <v>6413764</v>
      </c>
      <c r="C2055" s="2" t="s">
        <v>573</v>
      </c>
      <c r="D2055" s="2" t="str">
        <f t="shared" si="31"/>
        <v>Error?</v>
      </c>
    </row>
    <row r="2056" spans="1:4" x14ac:dyDescent="0.2">
      <c r="A2056" s="5">
        <v>1995</v>
      </c>
      <c r="B2056" s="138">
        <f>'Cap Outlay Deprec 26'!L5</f>
        <v>68728</v>
      </c>
      <c r="C2056" s="2" t="s">
        <v>573</v>
      </c>
      <c r="D2056" s="2" t="str">
        <f t="shared" si="31"/>
        <v>Error?</v>
      </c>
    </row>
    <row r="2057" spans="1:4" x14ac:dyDescent="0.2">
      <c r="A2057" s="5">
        <v>1996</v>
      </c>
      <c r="B2057" s="138">
        <f>'Cap Outlay Deprec 26'!L8</f>
        <v>3791580</v>
      </c>
      <c r="C2057" s="2" t="s">
        <v>573</v>
      </c>
      <c r="D2057" s="2" t="str">
        <f t="shared" si="31"/>
        <v>Error?</v>
      </c>
    </row>
    <row r="2058" spans="1:4" x14ac:dyDescent="0.2">
      <c r="A2058" s="5">
        <v>1997</v>
      </c>
      <c r="B2058" s="138">
        <f>'Cap Outlay Deprec 26'!L10</f>
        <v>241766</v>
      </c>
      <c r="C2058" s="2" t="s">
        <v>573</v>
      </c>
      <c r="D2058" s="2" t="str">
        <f t="shared" si="31"/>
        <v>Error?</v>
      </c>
    </row>
    <row r="2059" spans="1:4" x14ac:dyDescent="0.2">
      <c r="A2059" s="5">
        <v>1998</v>
      </c>
      <c r="B2059" s="138">
        <f>'Cap Outlay Deprec 26'!L12</f>
        <v>179655</v>
      </c>
      <c r="C2059" s="2" t="s">
        <v>573</v>
      </c>
      <c r="D2059" s="2" t="str">
        <f t="shared" si="31"/>
        <v>Error?</v>
      </c>
    </row>
    <row r="2060" spans="1:4" x14ac:dyDescent="0.2">
      <c r="A2060" s="5">
        <v>1999</v>
      </c>
      <c r="B2060" s="138">
        <f>'Cap Outlay Deprec 26'!L13</f>
        <v>9887</v>
      </c>
      <c r="C2060" s="2" t="s">
        <v>573</v>
      </c>
      <c r="D2060" s="2" t="str">
        <f t="shared" si="31"/>
        <v>Error?</v>
      </c>
    </row>
    <row r="2061" spans="1:4" x14ac:dyDescent="0.2">
      <c r="A2061" s="5">
        <v>2000</v>
      </c>
      <c r="B2061" s="138">
        <f>'Cap Outlay Deprec 26'!L16</f>
        <v>4300376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636876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3666</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7878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12348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3337201</v>
      </c>
      <c r="C2551" s="2" t="s">
        <v>573</v>
      </c>
      <c r="D2551" s="2" t="str">
        <f t="shared" si="38"/>
        <v>Error?</v>
      </c>
    </row>
    <row r="2552" spans="1:4" x14ac:dyDescent="0.2">
      <c r="A2552" s="10">
        <v>2491</v>
      </c>
      <c r="D2552" s="2" t="str">
        <f t="shared" si="38"/>
        <v>OK</v>
      </c>
    </row>
    <row r="2553" spans="1:4" x14ac:dyDescent="0.2">
      <c r="A2553" s="5">
        <v>2492</v>
      </c>
      <c r="B2553" s="138">
        <f>'Acct Summary 7-8'!C6</f>
        <v>642722</v>
      </c>
      <c r="C2553" s="2" t="s">
        <v>573</v>
      </c>
      <c r="D2553" s="2" t="str">
        <f t="shared" si="38"/>
        <v>Error?</v>
      </c>
    </row>
    <row r="2554" spans="1:4" x14ac:dyDescent="0.2">
      <c r="A2554" s="5">
        <v>2493</v>
      </c>
      <c r="B2554" s="138">
        <f>'Acct Summary 7-8'!C7</f>
        <v>227097</v>
      </c>
      <c r="C2554" s="2" t="s">
        <v>573</v>
      </c>
      <c r="D2554" s="2" t="str">
        <f t="shared" si="38"/>
        <v>Error?</v>
      </c>
    </row>
    <row r="2555" spans="1:4" x14ac:dyDescent="0.2">
      <c r="A2555" s="5">
        <v>2494</v>
      </c>
      <c r="B2555" s="138">
        <f>'Acct Summary 7-8'!C8</f>
        <v>4280674</v>
      </c>
      <c r="C2555" s="2" t="s">
        <v>573</v>
      </c>
      <c r="D2555" s="2" t="str">
        <f t="shared" si="38"/>
        <v>Error?</v>
      </c>
    </row>
    <row r="2556" spans="1:4" x14ac:dyDescent="0.2">
      <c r="A2556" s="5">
        <v>2495</v>
      </c>
      <c r="B2556" s="138">
        <f>'Acct Summary 7-8'!C12</f>
        <v>3120632</v>
      </c>
      <c r="C2556" s="2" t="s">
        <v>573</v>
      </c>
      <c r="D2556" s="2" t="str">
        <f t="shared" si="38"/>
        <v>Error?</v>
      </c>
    </row>
    <row r="2557" spans="1:4" x14ac:dyDescent="0.2">
      <c r="A2557" s="5">
        <v>2496</v>
      </c>
      <c r="B2557" s="138">
        <f>'Acct Summary 7-8'!C13</f>
        <v>906431</v>
      </c>
      <c r="C2557" s="2" t="s">
        <v>573</v>
      </c>
      <c r="D2557" s="2" t="str">
        <f t="shared" si="38"/>
        <v>Error?</v>
      </c>
    </row>
    <row r="2558" spans="1:4" x14ac:dyDescent="0.2">
      <c r="A2558" s="5">
        <v>2497</v>
      </c>
      <c r="B2558" s="138">
        <f>'Acct Summary 7-8'!C14</f>
        <v>50135</v>
      </c>
      <c r="C2558" s="2" t="s">
        <v>573</v>
      </c>
      <c r="D2558" s="2" t="str">
        <f t="shared" si="38"/>
        <v>Error?</v>
      </c>
    </row>
    <row r="2559" spans="1:4" x14ac:dyDescent="0.2">
      <c r="A2559" s="5">
        <v>2498</v>
      </c>
      <c r="B2559" s="138">
        <f>'Acct Summary 7-8'!C15</f>
        <v>636876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4714074</v>
      </c>
      <c r="C2561" s="2" t="s">
        <v>573</v>
      </c>
      <c r="D2561" s="2" t="str">
        <f t="shared" si="39"/>
        <v>Error?</v>
      </c>
    </row>
    <row r="2562" spans="1:4" x14ac:dyDescent="0.2">
      <c r="A2562" s="5">
        <v>2501</v>
      </c>
      <c r="B2562" s="138">
        <f>'Acct Summary 7-8'!C20</f>
        <v>-433400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435551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435551</v>
      </c>
      <c r="C2568" s="2" t="s">
        <v>573</v>
      </c>
      <c r="D2568" s="2" t="str">
        <f t="shared" si="39"/>
        <v>Error?</v>
      </c>
    </row>
    <row r="2569" spans="1:4" x14ac:dyDescent="0.2">
      <c r="A2569" s="5">
        <v>2508</v>
      </c>
      <c r="B2569" s="138">
        <f>'Acct Summary 7-8'!D13</f>
        <v>473288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473288</v>
      </c>
      <c r="C2573" s="2" t="s">
        <v>573</v>
      </c>
      <c r="D2573" s="2" t="str">
        <f t="shared" si="39"/>
        <v>Error?</v>
      </c>
    </row>
    <row r="2574" spans="1:4" x14ac:dyDescent="0.2">
      <c r="A2574" s="5">
        <v>2513</v>
      </c>
      <c r="B2574" s="138">
        <f>'Acct Summary 7-8'!D20</f>
        <v>-37737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127154</v>
      </c>
      <c r="C2591" s="2" t="s">
        <v>573</v>
      </c>
      <c r="D2591" s="2" t="str">
        <f t="shared" si="39"/>
        <v>Error?</v>
      </c>
    </row>
    <row r="2592" spans="1:4" x14ac:dyDescent="0.2">
      <c r="A2592" s="10">
        <v>2531</v>
      </c>
      <c r="D2592" s="2" t="str">
        <f t="shared" si="39"/>
        <v>OK</v>
      </c>
    </row>
    <row r="2593" spans="1:4" x14ac:dyDescent="0.2">
      <c r="A2593" s="5">
        <v>2532</v>
      </c>
      <c r="B2593" s="138">
        <f>'Acct Summary 7-8'!F6</f>
        <v>33076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160230</v>
      </c>
      <c r="C2595" s="2" t="s">
        <v>573</v>
      </c>
      <c r="D2595" s="2" t="str">
        <f t="shared" si="39"/>
        <v>Error?</v>
      </c>
    </row>
    <row r="2596" spans="1:4" x14ac:dyDescent="0.2">
      <c r="A2596" s="5">
        <v>2535</v>
      </c>
      <c r="B2596" s="138">
        <f>'Acct Summary 7-8'!F13</f>
        <v>118834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118834</v>
      </c>
      <c r="C2600" s="2" t="s">
        <v>573</v>
      </c>
      <c r="D2600" s="2" t="str">
        <f t="shared" si="39"/>
        <v>Error?</v>
      </c>
    </row>
    <row r="2601" spans="1:4" x14ac:dyDescent="0.2">
      <c r="A2601" s="5">
        <v>2540</v>
      </c>
      <c r="B2601" s="138">
        <f>'Acct Summary 7-8'!F20</f>
        <v>41396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240979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240979</v>
      </c>
      <c r="C2606" s="2" t="s">
        <v>573</v>
      </c>
      <c r="D2606" s="2" t="str">
        <f t="shared" si="39"/>
        <v>Error?</v>
      </c>
    </row>
    <row r="2607" spans="1:4" x14ac:dyDescent="0.2">
      <c r="A2607" s="5">
        <v>2546</v>
      </c>
      <c r="B2607" s="138">
        <f>'Acct Summary 7-8'!G12</f>
        <v>132469</v>
      </c>
      <c r="C2607" s="2" t="s">
        <v>573</v>
      </c>
      <c r="D2607" s="2" t="str">
        <f t="shared" si="39"/>
        <v>Error?</v>
      </c>
    </row>
    <row r="2608" spans="1:4" x14ac:dyDescent="0.2">
      <c r="A2608" s="5">
        <v>2547</v>
      </c>
      <c r="B2608" s="138">
        <f>'Acct Summary 7-8'!G13</f>
        <v>130726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263195</v>
      </c>
      <c r="C2612" s="2" t="s">
        <v>573</v>
      </c>
      <c r="D2612" s="2" t="str">
        <f t="shared" si="39"/>
        <v>Error?</v>
      </c>
    </row>
    <row r="2613" spans="1:4" x14ac:dyDescent="0.2">
      <c r="A2613" s="5">
        <v>2552</v>
      </c>
      <c r="B2613" s="138">
        <f>'Acct Summary 7-8'!G20</f>
        <v>-22216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146476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146476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185244</v>
      </c>
      <c r="C2634" s="2" t="s">
        <v>573</v>
      </c>
      <c r="D2634" s="2" t="str">
        <f t="shared" si="40"/>
        <v>Error?</v>
      </c>
    </row>
    <row r="2635" spans="1:4" x14ac:dyDescent="0.2">
      <c r="A2635" s="5">
        <v>2574</v>
      </c>
      <c r="B2635" s="138">
        <f>'Acct Summary 7-8'!E17</f>
        <v>185244</v>
      </c>
      <c r="C2635" s="2" t="s">
        <v>573</v>
      </c>
      <c r="D2635" s="2" t="str">
        <f t="shared" si="40"/>
        <v>Error?</v>
      </c>
    </row>
    <row r="2636" spans="1:4" x14ac:dyDescent="0.2">
      <c r="A2636" s="5">
        <v>2575</v>
      </c>
      <c r="B2636" s="138">
        <f>'Acct Summary 7-8'!E20</f>
        <v>-38768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13748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13748</v>
      </c>
      <c r="C2658" s="2" t="s">
        <v>573</v>
      </c>
      <c r="D2658" s="2" t="str">
        <f t="shared" si="40"/>
        <v>Error?</v>
      </c>
    </row>
    <row r="2659" spans="1:4" x14ac:dyDescent="0.2">
      <c r="A2659" s="5">
        <v>2598</v>
      </c>
      <c r="B2659" s="138">
        <f>'Acct Summary 7-8'!H13</f>
        <v>15812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15812</v>
      </c>
      <c r="C2661" s="2" t="s">
        <v>573</v>
      </c>
      <c r="D2661" s="2" t="str">
        <f t="shared" si="40"/>
        <v>Error?</v>
      </c>
    </row>
    <row r="2662" spans="1:4" x14ac:dyDescent="0.2">
      <c r="A2662" s="5">
        <v>2601</v>
      </c>
      <c r="B2662" s="138">
        <f>'Acct Summary 7-8'!H20</f>
        <v>-2064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8760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787692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928157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708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214787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928157</v>
      </c>
      <c r="D2912" s="2" t="str">
        <f t="shared" si="44"/>
        <v>Error?</v>
      </c>
    </row>
    <row r="2913" spans="1:4" x14ac:dyDescent="0.2">
      <c r="A2913" s="5">
        <v>2852</v>
      </c>
      <c r="B2913" s="138">
        <f>'Assets-Liab 5-6'!I41</f>
        <v>928157</v>
      </c>
      <c r="C2913" s="2" t="s">
        <v>573</v>
      </c>
      <c r="D2913" s="2" t="str">
        <f t="shared" si="44"/>
        <v>Error?</v>
      </c>
    </row>
    <row r="2914" spans="1:4" x14ac:dyDescent="0.2">
      <c r="A2914" s="5">
        <v>2853</v>
      </c>
      <c r="B2914" s="138">
        <f>'Assets-Liab 5-6'!L33</f>
        <v>214787</v>
      </c>
      <c r="D2914" s="2" t="str">
        <f t="shared" si="44"/>
        <v>Error?</v>
      </c>
    </row>
    <row r="2915" spans="1:4" x14ac:dyDescent="0.2">
      <c r="A2915" s="10">
        <v>2854</v>
      </c>
      <c r="D2915" s="2" t="str">
        <f t="shared" si="44"/>
        <v>OK</v>
      </c>
    </row>
    <row r="2916" spans="1:4" x14ac:dyDescent="0.2">
      <c r="A2916" s="5">
        <v>2855</v>
      </c>
      <c r="B2916" s="138">
        <f>'Assets-Liab 5-6'!L34</f>
        <v>214787</v>
      </c>
      <c r="C2916" s="2" t="s">
        <v>573</v>
      </c>
      <c r="D2916" s="2" t="str">
        <f t="shared" si="44"/>
        <v>Error?</v>
      </c>
    </row>
    <row r="2917" spans="1:4" x14ac:dyDescent="0.2">
      <c r="A2917" s="5">
        <v>2856</v>
      </c>
      <c r="B2917" s="138">
        <f>'Assets-Liab 5-6'!L41</f>
        <v>214787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16918</v>
      </c>
      <c r="D3055" s="2" t="str">
        <f t="shared" si="46"/>
        <v>Error?</v>
      </c>
    </row>
    <row r="3056" spans="1:4" x14ac:dyDescent="0.2">
      <c r="A3056" s="5">
        <v>2995</v>
      </c>
      <c r="B3056" s="138">
        <f>'Expenditures 15-22'!D10</f>
        <v>3535</v>
      </c>
      <c r="D3056" s="2" t="str">
        <f t="shared" si="46"/>
        <v>Error?</v>
      </c>
    </row>
    <row r="3057" spans="1:4" x14ac:dyDescent="0.2">
      <c r="A3057" s="5">
        <v>2996</v>
      </c>
      <c r="B3057" s="138">
        <f>'Expenditures 15-22'!E10</f>
        <v>24036</v>
      </c>
      <c r="D3057" s="2" t="str">
        <f t="shared" si="46"/>
        <v>Error?</v>
      </c>
    </row>
    <row r="3058" spans="1:4" x14ac:dyDescent="0.2">
      <c r="A3058" s="5">
        <v>2997</v>
      </c>
      <c r="B3058" s="138">
        <f>'Expenditures 15-22'!F10</f>
        <v>64618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109107</v>
      </c>
      <c r="C3062" s="2" t="s">
        <v>573</v>
      </c>
      <c r="D3062" s="2" t="str">
        <f t="shared" si="46"/>
        <v>Error?</v>
      </c>
    </row>
    <row r="3063" spans="1:4" x14ac:dyDescent="0.2">
      <c r="A3063" s="10">
        <v>3002</v>
      </c>
      <c r="D3063" s="2" t="str">
        <f t="shared" si="46"/>
        <v>OK</v>
      </c>
    </row>
    <row r="3064" spans="1:4" x14ac:dyDescent="0.2">
      <c r="A3064" s="5">
        <v>3003</v>
      </c>
      <c r="B3064" s="138">
        <f>'Expenditures 15-22'!D219</f>
        <v>454</v>
      </c>
      <c r="D3064" s="2" t="str">
        <f t="shared" si="46"/>
        <v>Error?</v>
      </c>
    </row>
    <row r="3065" spans="1:4" x14ac:dyDescent="0.2">
      <c r="A3065" s="5">
        <v>3004</v>
      </c>
      <c r="B3065" s="138">
        <f>'Expenditures 15-22'!K219</f>
        <v>454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36817</v>
      </c>
      <c r="C3225" s="2" t="s">
        <v>573</v>
      </c>
      <c r="D3225" s="2" t="str">
        <f t="shared" si="49"/>
        <v>Error?</v>
      </c>
    </row>
    <row r="3226" spans="1:4" x14ac:dyDescent="0.2">
      <c r="A3226" s="5">
        <v>3165</v>
      </c>
      <c r="B3226" s="138">
        <f>'Acct Summary 7-8'!I8</f>
        <v>36817</v>
      </c>
      <c r="C3226" s="2" t="s">
        <v>573</v>
      </c>
      <c r="D3226" s="2" t="str">
        <f t="shared" si="49"/>
        <v>Error?</v>
      </c>
    </row>
    <row r="3227" spans="1:4" x14ac:dyDescent="0.2">
      <c r="A3227" s="5">
        <v>3166</v>
      </c>
      <c r="B3227" s="138">
        <f>'Acct Summary 7-8'!I20</f>
        <v>36817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3666</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3666</v>
      </c>
      <c r="C3232" s="2" t="s">
        <v>573</v>
      </c>
      <c r="D3232" s="2" t="str">
        <f t="shared" si="49"/>
        <v>Error?</v>
      </c>
    </row>
    <row r="3233" spans="1:4" x14ac:dyDescent="0.2">
      <c r="A3233" s="5">
        <v>3172</v>
      </c>
      <c r="B3233" s="138">
        <f>'Acct Summary 7-8'!C78</f>
        <v>-429734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-37737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41396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-22216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-38768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-2064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3666</v>
      </c>
      <c r="C3318" s="2" t="s">
        <v>573</v>
      </c>
      <c r="D3318" s="2" t="str">
        <f t="shared" si="50"/>
        <v>Error?</v>
      </c>
    </row>
    <row r="3319" spans="1:4" x14ac:dyDescent="0.2">
      <c r="A3319" s="5">
        <v>3258</v>
      </c>
      <c r="B3319" s="138">
        <f>'Acct Summary 7-8'!I77</f>
        <v>-3666</v>
      </c>
      <c r="C3319" s="2" t="s">
        <v>573</v>
      </c>
      <c r="D3319" s="2" t="str">
        <f t="shared" si="50"/>
        <v>Error?</v>
      </c>
    </row>
    <row r="3320" spans="1:4" x14ac:dyDescent="0.2">
      <c r="A3320" s="5">
        <v>3259</v>
      </c>
      <c r="B3320" s="138">
        <f>'Acct Summary 7-8'!I78</f>
        <v>33151</v>
      </c>
      <c r="C3320" s="2" t="s">
        <v>573</v>
      </c>
      <c r="D3320" s="2" t="str">
        <f t="shared" si="50"/>
        <v>Error?</v>
      </c>
    </row>
    <row r="3321" spans="1:4" x14ac:dyDescent="0.2">
      <c r="A3321" s="5">
        <v>3260</v>
      </c>
      <c r="B3321" s="138">
        <f>'Acct Summary 7-8'!I79</f>
        <v>895006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928157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197881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26650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224531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102031</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102031</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73654</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2244447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719053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44061</v>
      </c>
      <c r="D3417" s="2" t="str">
        <f t="shared" si="52"/>
        <v>Error?</v>
      </c>
    </row>
    <row r="3418" spans="1:4" x14ac:dyDescent="0.2">
      <c r="A3418" s="10">
        <v>3357</v>
      </c>
      <c r="D3418" s="2" t="str">
        <f t="shared" si="52"/>
        <v>OK</v>
      </c>
    </row>
    <row r="3419" spans="1:4" x14ac:dyDescent="0.2">
      <c r="A3419" s="5">
        <v>3358</v>
      </c>
      <c r="B3419" s="138">
        <f>'Assets-Liab 5-6'!F4</f>
        <v>289000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118630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12348</v>
      </c>
      <c r="D3425" s="2" t="str">
        <f t="shared" si="52"/>
        <v>Error?</v>
      </c>
    </row>
    <row r="3426" spans="1:4" x14ac:dyDescent="0.2">
      <c r="A3426" s="10">
        <v>3365</v>
      </c>
      <c r="D3426" s="2" t="str">
        <f t="shared" si="52"/>
        <v>OK</v>
      </c>
    </row>
    <row r="3427" spans="1:4" x14ac:dyDescent="0.2">
      <c r="A3427" s="5">
        <v>3366</v>
      </c>
      <c r="B3427" s="138">
        <f>'Assets-Liab 5-6'!I4</f>
        <v>30465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214079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107750</v>
      </c>
      <c r="C3446" s="2" t="s">
        <v>573</v>
      </c>
      <c r="D3446" s="2" t="str">
        <f t="shared" si="52"/>
        <v>Error?</v>
      </c>
    </row>
    <row r="3447" spans="1:4" x14ac:dyDescent="0.2">
      <c r="A3447" s="5">
        <v>3386</v>
      </c>
      <c r="B3447" s="138">
        <f>'Tax Sched 23'!D16</f>
        <v>74952</v>
      </c>
      <c r="C3447" s="2" t="s">
        <v>573</v>
      </c>
      <c r="D3447" s="2" t="str">
        <f t="shared" si="52"/>
        <v>Error?</v>
      </c>
    </row>
    <row r="3448" spans="1:4" x14ac:dyDescent="0.2">
      <c r="A3448" s="5">
        <v>3387</v>
      </c>
      <c r="B3448" s="138">
        <f>'Tax Sched 23'!C16</f>
        <v>32798</v>
      </c>
      <c r="D3448" s="2" t="str">
        <f t="shared" si="52"/>
        <v>Error?</v>
      </c>
    </row>
    <row r="3449" spans="1:4" x14ac:dyDescent="0.2">
      <c r="A3449" s="5">
        <v>3388</v>
      </c>
      <c r="B3449" s="138">
        <f>'Tax Sched 23'!F16</f>
        <v>107240</v>
      </c>
      <c r="C3449" s="2" t="s">
        <v>573</v>
      </c>
      <c r="D3449" s="2" t="str">
        <f t="shared" si="52"/>
        <v>Error?</v>
      </c>
    </row>
    <row r="3450" spans="1:4" x14ac:dyDescent="0.2">
      <c r="A3450" s="5">
        <v>3389</v>
      </c>
      <c r="B3450" s="138">
        <f>'Tax Sched 23'!E16</f>
        <v>140038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8760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8760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8760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210224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249984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460208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460208</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460208</v>
      </c>
      <c r="C3568" s="2" t="s">
        <v>573</v>
      </c>
      <c r="D3568" s="2" t="str">
        <f t="shared" si="54"/>
        <v>Error?</v>
      </c>
    </row>
    <row r="3569" spans="1:4" x14ac:dyDescent="0.2">
      <c r="A3569" s="5">
        <v>3508</v>
      </c>
      <c r="B3569" s="138">
        <f>'Acct Summary 7-8'!K4</f>
        <v>33680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33680</v>
      </c>
      <c r="C3571" s="2" t="s">
        <v>573</v>
      </c>
      <c r="D3571" s="2" t="str">
        <f t="shared" si="54"/>
        <v>Error?</v>
      </c>
    </row>
    <row r="3572" spans="1:4" x14ac:dyDescent="0.2">
      <c r="A3572" s="5">
        <v>3511</v>
      </c>
      <c r="B3572" s="138">
        <f>'Acct Summary 7-8'!K13</f>
        <v>79598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79598</v>
      </c>
      <c r="C3575" s="2" t="s">
        <v>573</v>
      </c>
      <c r="D3575" s="2" t="str">
        <f t="shared" si="54"/>
        <v>Error?</v>
      </c>
    </row>
    <row r="3576" spans="1:4" x14ac:dyDescent="0.2">
      <c r="A3576" s="5">
        <v>3515</v>
      </c>
      <c r="B3576" s="138">
        <f>'Acct Summary 7-8'!K20</f>
        <v>-45918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-45918</v>
      </c>
      <c r="C3588" s="2" t="s">
        <v>573</v>
      </c>
      <c r="D3588" s="2" t="str">
        <f t="shared" si="55"/>
        <v>Error?</v>
      </c>
    </row>
    <row r="3589" spans="1:4" x14ac:dyDescent="0.2">
      <c r="A3589" s="5">
        <v>3528</v>
      </c>
      <c r="B3589" s="138">
        <f>'Acct Summary 7-8'!K79</f>
        <v>506126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460208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16523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16523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16523</v>
      </c>
      <c r="C3636" s="2" t="s">
        <v>573</v>
      </c>
      <c r="D3636" s="2" t="str">
        <f t="shared" si="55"/>
        <v>Error?</v>
      </c>
    </row>
    <row r="3637" spans="1:4" x14ac:dyDescent="0.2">
      <c r="A3637" s="10">
        <v>3576</v>
      </c>
      <c r="D3637" s="2" t="str">
        <f t="shared" si="55"/>
        <v>OK</v>
      </c>
    </row>
    <row r="3638" spans="1:4" x14ac:dyDescent="0.2">
      <c r="A3638" s="5">
        <v>3577</v>
      </c>
      <c r="B3638" s="138">
        <f>'Expenditures 15-22'!F348</f>
        <v>566</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566</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566</v>
      </c>
      <c r="C3642" s="2" t="s">
        <v>573</v>
      </c>
      <c r="D3642" s="2" t="str">
        <f t="shared" si="55"/>
        <v>Error?</v>
      </c>
    </row>
    <row r="3643" spans="1:4" x14ac:dyDescent="0.2">
      <c r="A3643" s="5">
        <v>3582</v>
      </c>
      <c r="B3643" s="138">
        <f>'Expenditures 15-22'!F367</f>
        <v>566</v>
      </c>
      <c r="C3643" s="2" t="s">
        <v>573</v>
      </c>
      <c r="D3643" s="2" t="str">
        <f t="shared" si="55"/>
        <v>Error?</v>
      </c>
    </row>
    <row r="3644" spans="1:4" x14ac:dyDescent="0.2">
      <c r="A3644" s="10">
        <v>3583</v>
      </c>
      <c r="D3644" s="2" t="str">
        <f t="shared" si="55"/>
        <v>OK</v>
      </c>
    </row>
    <row r="3645" spans="1:4" x14ac:dyDescent="0.2">
      <c r="A3645" s="5">
        <v>3584</v>
      </c>
      <c r="B3645" s="138">
        <f>'Expenditures 15-22'!G348</f>
        <v>62509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62509</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62509</v>
      </c>
      <c r="C3649" s="2" t="s">
        <v>573</v>
      </c>
      <c r="D3649" s="2" t="str">
        <f t="shared" si="56"/>
        <v>Error?</v>
      </c>
    </row>
    <row r="3650" spans="1:4" x14ac:dyDescent="0.2">
      <c r="A3650" s="5">
        <v>3589</v>
      </c>
      <c r="B3650" s="138">
        <f>'Expenditures 15-22'!G367</f>
        <v>62509</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79598</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79598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79598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79598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-45918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23056</v>
      </c>
      <c r="C3725" s="2" t="s">
        <v>573</v>
      </c>
      <c r="D3725" s="2" t="str">
        <f t="shared" si="57"/>
        <v>Error?</v>
      </c>
    </row>
    <row r="3726" spans="1:4" x14ac:dyDescent="0.2">
      <c r="A3726" s="5">
        <v>3665</v>
      </c>
      <c r="B3726" s="138">
        <f>'Tax Sched 23'!D13</f>
        <v>21145</v>
      </c>
      <c r="C3726" s="2" t="s">
        <v>573</v>
      </c>
      <c r="D3726" s="2" t="str">
        <f t="shared" si="57"/>
        <v>Error?</v>
      </c>
    </row>
    <row r="3727" spans="1:4" x14ac:dyDescent="0.2">
      <c r="A3727" s="5">
        <v>3666</v>
      </c>
      <c r="B3727" s="138">
        <f>'Tax Sched 23'!C13</f>
        <v>1911</v>
      </c>
      <c r="D3727" s="2" t="str">
        <f t="shared" si="57"/>
        <v>Error?</v>
      </c>
    </row>
    <row r="3728" spans="1:4" x14ac:dyDescent="0.2">
      <c r="A3728" s="5">
        <v>3667</v>
      </c>
      <c r="B3728" s="138">
        <f>'Tax Sched 23'!F13</f>
        <v>6247</v>
      </c>
      <c r="C3728" s="2" t="s">
        <v>573</v>
      </c>
      <c r="D3728" s="2" t="str">
        <f t="shared" si="57"/>
        <v>Error?</v>
      </c>
    </row>
    <row r="3729" spans="1:4" x14ac:dyDescent="0.2">
      <c r="A3729" s="5">
        <v>3668</v>
      </c>
      <c r="B3729" s="138">
        <f>'Tax Sched 23'!E13</f>
        <v>8158</v>
      </c>
      <c r="D3729" s="2" t="str">
        <f t="shared" si="57"/>
        <v>Error?</v>
      </c>
    </row>
    <row r="3730" spans="1:4" x14ac:dyDescent="0.2">
      <c r="A3730" s="5">
        <v>3669</v>
      </c>
      <c r="B3730" s="138">
        <f>'ICR Computation 30'!E10</f>
        <v>72198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2148234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6428908</v>
      </c>
      <c r="C4122" s="2" t="s">
        <v>573</v>
      </c>
      <c r="D4122" s="2" t="str">
        <f t="shared" si="63"/>
        <v>Error?</v>
      </c>
    </row>
    <row r="4123" spans="1:4" x14ac:dyDescent="0.2">
      <c r="A4123" s="5">
        <v>4062</v>
      </c>
      <c r="B4123" s="138">
        <f>'Acct Summary 7-8'!D10</f>
        <v>435551</v>
      </c>
      <c r="C4123" s="2" t="s">
        <v>573</v>
      </c>
      <c r="D4123" s="2" t="str">
        <f t="shared" si="63"/>
        <v>Error?</v>
      </c>
    </row>
    <row r="4124" spans="1:4" x14ac:dyDescent="0.2">
      <c r="A4124" s="5">
        <v>4063</v>
      </c>
      <c r="B4124" s="138">
        <f>'Acct Summary 7-8'!E10</f>
        <v>146476</v>
      </c>
      <c r="C4124" s="2" t="s">
        <v>573</v>
      </c>
      <c r="D4124" s="2" t="str">
        <f t="shared" si="63"/>
        <v>Error?</v>
      </c>
    </row>
    <row r="4125" spans="1:4" x14ac:dyDescent="0.2">
      <c r="A4125" s="5">
        <v>4064</v>
      </c>
      <c r="B4125" s="138">
        <f>'Acct Summary 7-8'!F10</f>
        <v>160230</v>
      </c>
      <c r="C4125" s="2" t="s">
        <v>573</v>
      </c>
      <c r="D4125" s="2" t="str">
        <f t="shared" si="63"/>
        <v>Error?</v>
      </c>
    </row>
    <row r="4126" spans="1:4" x14ac:dyDescent="0.2">
      <c r="A4126" s="5">
        <v>4065</v>
      </c>
      <c r="B4126" s="138">
        <f>'Acct Summary 7-8'!G10</f>
        <v>240979</v>
      </c>
      <c r="C4126" s="2" t="s">
        <v>573</v>
      </c>
      <c r="D4126" s="2" t="str">
        <f t="shared" si="63"/>
        <v>Error?</v>
      </c>
    </row>
    <row r="4127" spans="1:4" x14ac:dyDescent="0.2">
      <c r="A4127" s="5">
        <v>4066</v>
      </c>
      <c r="B4127" s="138">
        <f>'Acct Summary 7-8'!H10</f>
        <v>13748</v>
      </c>
      <c r="C4127" s="2" t="s">
        <v>573</v>
      </c>
      <c r="D4127" s="2" t="str">
        <f t="shared" si="63"/>
        <v>Error?</v>
      </c>
    </row>
    <row r="4128" spans="1:4" x14ac:dyDescent="0.2">
      <c r="A4128" s="5">
        <v>4067</v>
      </c>
      <c r="B4128" s="138">
        <f>'Acct Summary 7-8'!I10</f>
        <v>36817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33680</v>
      </c>
      <c r="C4130" s="2" t="s">
        <v>573</v>
      </c>
      <c r="D4130" s="2" t="str">
        <f t="shared" si="63"/>
        <v>Error?</v>
      </c>
    </row>
    <row r="4131" spans="1:4" x14ac:dyDescent="0.2">
      <c r="A4131" s="5">
        <v>4070</v>
      </c>
      <c r="B4131" s="138">
        <f>'Acct Summary 7-8'!C18</f>
        <v>2148234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6862308</v>
      </c>
      <c r="C4136" s="2" t="s">
        <v>573</v>
      </c>
      <c r="D4136" s="2" t="str">
        <f t="shared" si="63"/>
        <v>Error?</v>
      </c>
    </row>
    <row r="4137" spans="1:4" x14ac:dyDescent="0.2">
      <c r="A4137" s="5">
        <v>4076</v>
      </c>
      <c r="B4137" s="138">
        <f>'Acct Summary 7-8'!D19</f>
        <v>473288</v>
      </c>
      <c r="C4137" s="2" t="s">
        <v>573</v>
      </c>
      <c r="D4137" s="2" t="str">
        <f t="shared" si="63"/>
        <v>Error?</v>
      </c>
    </row>
    <row r="4138" spans="1:4" x14ac:dyDescent="0.2">
      <c r="A4138" s="5">
        <v>4077</v>
      </c>
      <c r="B4138" s="138">
        <f>'Acct Summary 7-8'!E19</f>
        <v>185244</v>
      </c>
      <c r="C4138" s="2" t="s">
        <v>573</v>
      </c>
      <c r="D4138" s="2" t="str">
        <f t="shared" si="63"/>
        <v>Error?</v>
      </c>
    </row>
    <row r="4139" spans="1:4" x14ac:dyDescent="0.2">
      <c r="A4139" s="5">
        <v>4078</v>
      </c>
      <c r="B4139" s="138">
        <f>'Acct Summary 7-8'!F19</f>
        <v>118834</v>
      </c>
      <c r="C4139" s="2" t="s">
        <v>573</v>
      </c>
      <c r="D4139" s="2" t="str">
        <f t="shared" si="63"/>
        <v>Error?</v>
      </c>
    </row>
    <row r="4140" spans="1:4" x14ac:dyDescent="0.2">
      <c r="A4140" s="5">
        <v>4079</v>
      </c>
      <c r="B4140" s="138">
        <f>'Acct Summary 7-8'!G19</f>
        <v>263195</v>
      </c>
      <c r="C4140" s="2" t="s">
        <v>573</v>
      </c>
      <c r="D4140" s="2" t="str">
        <f t="shared" si="63"/>
        <v>Error?</v>
      </c>
    </row>
    <row r="4141" spans="1:4" x14ac:dyDescent="0.2">
      <c r="A4141" s="5">
        <v>4080</v>
      </c>
      <c r="B4141" s="138">
        <f>'Acct Summary 7-8'!H19</f>
        <v>15812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79598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697000</v>
      </c>
      <c r="C4171" s="2" t="s">
        <v>573</v>
      </c>
      <c r="D4171" s="2" t="str">
        <f t="shared" si="64"/>
        <v>Error?</v>
      </c>
    </row>
    <row r="4172" spans="1:4" x14ac:dyDescent="0.2">
      <c r="A4172" s="5">
        <v>4111</v>
      </c>
      <c r="B4172" s="138">
        <f>'Short-Term Long-Term Debt 24'!J49</f>
        <v>652939</v>
      </c>
      <c r="C4172" s="2" t="s">
        <v>573</v>
      </c>
      <c r="D4172" s="2" t="str">
        <f t="shared" si="64"/>
        <v>Error?</v>
      </c>
    </row>
    <row r="4173" spans="1:4" x14ac:dyDescent="0.2">
      <c r="A4173" s="5">
        <v>4112</v>
      </c>
      <c r="B4173" s="138">
        <f>'Short-Term Long-Term Debt 24'!H49</f>
        <v>153000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499.7</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2540</v>
      </c>
      <c r="C4268" s="2" t="s">
        <v>573</v>
      </c>
      <c r="D4268" s="2" t="str">
        <f t="shared" si="65"/>
        <v>Error?</v>
      </c>
    </row>
    <row r="4269" spans="1:5" x14ac:dyDescent="0.2">
      <c r="A4269" s="12">
        <v>4208</v>
      </c>
      <c r="B4269" s="138">
        <f>'FP Info 3'!J16</f>
        <v>5093589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12491</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8928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10151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40.799999999999997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11009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1832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79975893</v>
      </c>
      <c r="D4995" s="2" t="str">
        <f t="shared" si="77"/>
        <v>Error?</v>
      </c>
    </row>
    <row r="4996" spans="1:4" x14ac:dyDescent="0.2">
      <c r="A4996" s="12">
        <v>4935</v>
      </c>
      <c r="B4996" s="138">
        <f>'FP Info 3'!H31</f>
        <v>11036673.234000001</v>
      </c>
      <c r="D4996" s="2" t="str">
        <f t="shared" si="77"/>
        <v>Error?</v>
      </c>
    </row>
    <row r="4997" spans="1:4" x14ac:dyDescent="0.2">
      <c r="A4997" s="12">
        <v>4936</v>
      </c>
      <c r="B4997" s="138">
        <f>'FP Info 3'!H37</f>
        <v>697000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23056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1122791</v>
      </c>
      <c r="D5061" s="2" t="str">
        <f t="shared" si="78"/>
        <v>Error?</v>
      </c>
    </row>
    <row r="5062" spans="1:4" x14ac:dyDescent="0.2">
      <c r="A5062" s="10">
        <v>5001</v>
      </c>
      <c r="D5062" s="2" t="str">
        <f t="shared" si="78"/>
        <v>OK</v>
      </c>
    </row>
    <row r="5063" spans="1:4" x14ac:dyDescent="0.2">
      <c r="A5063" s="5">
        <v>5002</v>
      </c>
      <c r="B5063" s="138">
        <f>'Revenues 9-14'!C7</f>
        <v>24409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1170256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1954149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1954149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495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495</v>
      </c>
      <c r="C5087" s="2" t="s">
        <v>573</v>
      </c>
      <c r="D5087" s="2" t="str">
        <f t="shared" si="78"/>
        <v>Error?</v>
      </c>
    </row>
    <row r="5088" spans="1:4" x14ac:dyDescent="0.2">
      <c r="A5088" s="5">
        <v>5027</v>
      </c>
      <c r="B5088" s="138">
        <f>'Revenues 9-14'!C65</f>
        <v>55217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55217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3099</v>
      </c>
      <c r="D5093" s="2" t="str">
        <f t="shared" si="78"/>
        <v>Error?</v>
      </c>
    </row>
    <row r="5094" spans="1:4" x14ac:dyDescent="0.2">
      <c r="A5094" s="5">
        <v>5033</v>
      </c>
      <c r="B5094" s="138">
        <f>'Revenues 9-14'!C73</f>
        <v>1921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51232</v>
      </c>
      <c r="C5096" s="2" t="s">
        <v>573</v>
      </c>
      <c r="D5096" s="2" t="str">
        <f t="shared" si="78"/>
        <v>Error?</v>
      </c>
    </row>
    <row r="5097" spans="1:4" x14ac:dyDescent="0.2">
      <c r="A5097" s="5">
        <v>5036</v>
      </c>
      <c r="B5097" s="138">
        <f>'Revenues 9-14'!C77</f>
        <v>14008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13880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2219</v>
      </c>
      <c r="D5101" s="2" t="str">
        <f t="shared" si="78"/>
        <v>Error?</v>
      </c>
    </row>
    <row r="5102" spans="1:4" x14ac:dyDescent="0.2">
      <c r="A5102" s="5">
        <v>5041</v>
      </c>
      <c r="B5102" s="138">
        <f>'Revenues 9-14'!C82</f>
        <v>30107</v>
      </c>
      <c r="C5102" s="2" t="s">
        <v>573</v>
      </c>
      <c r="D5102" s="2" t="str">
        <f t="shared" si="78"/>
        <v>Error?</v>
      </c>
    </row>
    <row r="5103" spans="1:4" x14ac:dyDescent="0.2">
      <c r="A5103" s="5">
        <v>5042</v>
      </c>
      <c r="B5103" s="138">
        <f>'Revenues 9-14'!C84</f>
        <v>52971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52971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310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7685</v>
      </c>
      <c r="D5118" s="2" t="str">
        <f t="shared" si="78"/>
        <v>Error?</v>
      </c>
    </row>
    <row r="5119" spans="1:4" x14ac:dyDescent="0.2">
      <c r="A5119" s="5">
        <v>5058</v>
      </c>
      <c r="B5119" s="138">
        <f>'Revenues 9-14'!C107</f>
        <v>1835</v>
      </c>
      <c r="D5119" s="2" t="str">
        <f t="shared" ref="D5119:D5182" si="79">IF(ISBLANK(B5119),"OK",IF(A5119-B5119=0,"OK","Error?"))</f>
        <v>Error?</v>
      </c>
    </row>
    <row r="5120" spans="1:4" x14ac:dyDescent="0.2">
      <c r="A5120" s="5">
        <v>5059</v>
      </c>
      <c r="B5120" s="138">
        <f>'Revenues 9-14'!C108</f>
        <v>22774</v>
      </c>
      <c r="C5120" s="2" t="s">
        <v>573</v>
      </c>
      <c r="D5120" s="2" t="str">
        <f t="shared" si="79"/>
        <v>Error?</v>
      </c>
    </row>
    <row r="5121" spans="1:4" x14ac:dyDescent="0.2">
      <c r="A5121" s="5">
        <v>5060</v>
      </c>
      <c r="B5121" s="138">
        <f>'Revenues 9-14'!C109</f>
        <v>3337201</v>
      </c>
      <c r="C5121" s="2" t="s">
        <v>573</v>
      </c>
      <c r="D5121" s="2" t="str">
        <f t="shared" si="79"/>
        <v>Error?</v>
      </c>
    </row>
    <row r="5122" spans="1:4" x14ac:dyDescent="0.2">
      <c r="A5122" s="5">
        <v>5061</v>
      </c>
      <c r="B5122" s="138">
        <f>'Revenues 9-14'!C111</f>
        <v>12147</v>
      </c>
      <c r="D5122" s="2" t="str">
        <f t="shared" si="79"/>
        <v>Error?</v>
      </c>
    </row>
    <row r="5123" spans="1:4" x14ac:dyDescent="0.2">
      <c r="A5123" s="5">
        <v>5062</v>
      </c>
      <c r="B5123" s="138">
        <f>'Revenues 9-14'!C112</f>
        <v>61507</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73654</v>
      </c>
      <c r="C5125" s="2" t="s">
        <v>573</v>
      </c>
      <c r="D5125" s="2" t="str">
        <f t="shared" si="79"/>
        <v>Error?</v>
      </c>
    </row>
    <row r="5126" spans="1:4" x14ac:dyDescent="0.2">
      <c r="A5126" s="5">
        <v>5065</v>
      </c>
      <c r="B5126" s="138">
        <f>'Revenues 9-14'!C117</f>
        <v>478372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478372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15633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15633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4235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1790</v>
      </c>
      <c r="D5167" s="2" t="str">
        <f t="shared" si="79"/>
        <v>Error?</v>
      </c>
    </row>
    <row r="5168" spans="1:4" x14ac:dyDescent="0.2">
      <c r="A5168" s="5">
        <v>5107</v>
      </c>
      <c r="B5168" s="138">
        <f>'Revenues 9-14'!C148</f>
        <v>8312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132548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164350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642722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65432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19011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2619</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87062</v>
      </c>
      <c r="C5246" s="2" t="s">
        <v>573</v>
      </c>
      <c r="D5246" s="2" t="str">
        <f t="shared" si="80"/>
        <v>Error?</v>
      </c>
    </row>
    <row r="5247" spans="1:4" x14ac:dyDescent="0.2">
      <c r="A5247" s="5">
        <v>5186</v>
      </c>
      <c r="B5247" s="138">
        <f>'Revenues 9-14'!C200</f>
        <v>103465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5000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115956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227097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227097</v>
      </c>
      <c r="C5326" s="2" t="s">
        <v>573</v>
      </c>
      <c r="D5326" s="2" t="str">
        <f t="shared" si="82"/>
        <v>Error?</v>
      </c>
    </row>
    <row r="5327" spans="1:5" x14ac:dyDescent="0.2">
      <c r="A5327" s="5">
        <v>5266</v>
      </c>
      <c r="B5327" s="138">
        <f>'Revenues 9-14'!C268</f>
        <v>4280674</v>
      </c>
      <c r="C5327" s="2" t="s">
        <v>573</v>
      </c>
      <c r="D5327" s="2" t="str">
        <f t="shared" si="82"/>
        <v>Error?</v>
      </c>
    </row>
    <row r="5328" spans="1:5" x14ac:dyDescent="0.2">
      <c r="A5328" s="5">
        <v>5267</v>
      </c>
      <c r="B5328" s="138">
        <f>'Revenues 9-14'!D5</f>
        <v>305050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305050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130000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130000</v>
      </c>
      <c r="C5339" s="2" t="s">
        <v>573</v>
      </c>
      <c r="D5339" s="2" t="str">
        <f t="shared" si="82"/>
        <v>Error?</v>
      </c>
    </row>
    <row r="5340" spans="1:4" x14ac:dyDescent="0.2">
      <c r="A5340" s="5">
        <v>5279</v>
      </c>
      <c r="B5340" s="138">
        <f>'Revenues 9-14'!D65</f>
        <v>94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407</v>
      </c>
      <c r="D5354" s="2" t="str">
        <f t="shared" si="82"/>
        <v>Error?</v>
      </c>
    </row>
    <row r="5355" spans="1:4" x14ac:dyDescent="0.2">
      <c r="A5355" s="5">
        <v>5294</v>
      </c>
      <c r="B5355" s="138">
        <f>'Revenues 9-14'!D108</f>
        <v>407</v>
      </c>
      <c r="C5355" s="2" t="s">
        <v>573</v>
      </c>
      <c r="D5355" s="2" t="str">
        <f t="shared" si="82"/>
        <v>Error?</v>
      </c>
    </row>
    <row r="5356" spans="1:4" x14ac:dyDescent="0.2">
      <c r="A5356" s="5">
        <v>5295</v>
      </c>
      <c r="B5356" s="138">
        <f>'Revenues 9-14'!D109</f>
        <v>435551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435551</v>
      </c>
      <c r="C5508" s="2" t="s">
        <v>573</v>
      </c>
      <c r="D5508" s="2" t="str">
        <f t="shared" si="85"/>
        <v>Error?</v>
      </c>
    </row>
    <row r="5509" spans="1:4" x14ac:dyDescent="0.2">
      <c r="A5509" s="5">
        <v>5448</v>
      </c>
      <c r="B5509" s="138">
        <f>'Revenues 9-14'!E5</f>
        <v>146430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146430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146476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146476</v>
      </c>
      <c r="C5552" s="2" t="s">
        <v>573</v>
      </c>
      <c r="D5552" s="2" t="str">
        <f t="shared" si="85"/>
        <v>Error?</v>
      </c>
    </row>
    <row r="5553" spans="1:4" x14ac:dyDescent="0.2">
      <c r="A5553" s="5">
        <v>5492</v>
      </c>
      <c r="B5553" s="138">
        <f>'Revenues 9-14'!F5</f>
        <v>122043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122043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320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320</v>
      </c>
      <c r="C5579" s="2" t="s">
        <v>573</v>
      </c>
      <c r="D5579" s="2" t="str">
        <f t="shared" si="86"/>
        <v>Error?</v>
      </c>
    </row>
    <row r="5580" spans="1:4" x14ac:dyDescent="0.2">
      <c r="A5580" s="5">
        <v>5519</v>
      </c>
      <c r="B5580" s="138">
        <f>'Revenues 9-14'!F65</f>
        <v>4117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4117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674</v>
      </c>
      <c r="C5587" s="2" t="s">
        <v>573</v>
      </c>
      <c r="D5587" s="2" t="str">
        <f t="shared" si="86"/>
        <v>Error?</v>
      </c>
    </row>
    <row r="5588" spans="1:4" x14ac:dyDescent="0.2">
      <c r="A5588" s="5">
        <v>5527</v>
      </c>
      <c r="B5588" s="138">
        <f>'Revenues 9-14'!F109</f>
        <v>127154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7385</v>
      </c>
      <c r="D5615" s="2" t="str">
        <f t="shared" si="86"/>
        <v>Error?</v>
      </c>
    </row>
    <row r="5616" spans="1:4" x14ac:dyDescent="0.2">
      <c r="A5616" s="10">
        <v>5555</v>
      </c>
      <c r="D5616" s="2" t="str">
        <f t="shared" si="86"/>
        <v>OK</v>
      </c>
    </row>
    <row r="5617" spans="1:5" x14ac:dyDescent="0.2">
      <c r="A5617" s="5">
        <v>5556</v>
      </c>
      <c r="B5617" s="138">
        <f>'Revenues 9-14'!F153</f>
        <v>25691</v>
      </c>
      <c r="D5617" s="2" t="str">
        <f t="shared" si="86"/>
        <v>Error?</v>
      </c>
    </row>
    <row r="5618" spans="1:5" x14ac:dyDescent="0.2">
      <c r="A5618" s="5">
        <v>5557</v>
      </c>
      <c r="B5618" s="138">
        <f>'Revenues 9-14'!F155</f>
        <v>33076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33076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33076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160230</v>
      </c>
      <c r="C5720" s="2" t="s">
        <v>573</v>
      </c>
      <c r="D5720" s="2" t="str">
        <f t="shared" si="88"/>
        <v>Error?</v>
      </c>
    </row>
    <row r="5721" spans="1:4" x14ac:dyDescent="0.2">
      <c r="A5721" s="5">
        <v>5660</v>
      </c>
      <c r="B5721" s="138">
        <f>'Revenues 9-14'!G5</f>
        <v>69573</v>
      </c>
      <c r="D5721" s="2" t="str">
        <f t="shared" si="88"/>
        <v>Error?</v>
      </c>
    </row>
    <row r="5722" spans="1:4" x14ac:dyDescent="0.2">
      <c r="A5722" s="5">
        <v>5661</v>
      </c>
      <c r="B5722" s="138">
        <f>'Revenues 9-14'!G7</f>
        <v>0</v>
      </c>
      <c r="D5722" s="2" t="str">
        <f t="shared" si="88"/>
        <v>Error?</v>
      </c>
    </row>
    <row r="5723" spans="1:4" x14ac:dyDescent="0.2">
      <c r="A5723" s="5">
        <v>5662</v>
      </c>
      <c r="B5723" s="138">
        <f>'Revenues 9-14'!G8</f>
        <v>107750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177323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63600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63600</v>
      </c>
      <c r="C5730" s="2" t="s">
        <v>573</v>
      </c>
      <c r="D5730" s="2" t="str">
        <f t="shared" si="88"/>
        <v>Error?</v>
      </c>
    </row>
    <row r="5731" spans="1:4" x14ac:dyDescent="0.2">
      <c r="A5731" s="5">
        <v>5670</v>
      </c>
      <c r="B5731" s="138">
        <f>'Revenues 9-14'!G65</f>
        <v>56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240979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13748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13748</v>
      </c>
      <c r="C5915" s="2" t="s">
        <v>573</v>
      </c>
      <c r="D5915" s="2" t="str">
        <f t="shared" si="91"/>
        <v>Error?</v>
      </c>
    </row>
    <row r="5916" spans="1:4" x14ac:dyDescent="0.2">
      <c r="A5916" s="5">
        <v>5855</v>
      </c>
      <c r="B5916" s="138">
        <f>'Revenues 9-14'!I5</f>
        <v>28787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28787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8030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8030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36817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28788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28788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4892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4892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33680</v>
      </c>
      <c r="C6023" s="2" t="s">
        <v>573</v>
      </c>
      <c r="D6023" s="2" t="str">
        <f t="shared" si="93"/>
        <v>Error?</v>
      </c>
    </row>
    <row r="6024" spans="1:5" x14ac:dyDescent="0.2">
      <c r="A6024" s="5">
        <v>5963</v>
      </c>
      <c r="B6024" s="138">
        <f>'Revenues 9-14'!G109</f>
        <v>240979</v>
      </c>
      <c r="C6024" s="2" t="s">
        <v>573</v>
      </c>
      <c r="D6024" s="2" t="str">
        <f t="shared" si="93"/>
        <v>Error?</v>
      </c>
    </row>
    <row r="6025" spans="1:5" x14ac:dyDescent="0.2">
      <c r="A6025" s="5">
        <v>5964</v>
      </c>
      <c r="B6025" s="138">
        <f>'Revenues 9-14'!H109</f>
        <v>13748</v>
      </c>
      <c r="C6025" s="2" t="s">
        <v>573</v>
      </c>
      <c r="D6025" s="2" t="str">
        <f t="shared" si="93"/>
        <v>Error?</v>
      </c>
    </row>
    <row r="6026" spans="1:5" x14ac:dyDescent="0.2">
      <c r="A6026" s="5">
        <v>5965</v>
      </c>
      <c r="B6026" s="138">
        <f>'Revenues 9-14'!I109</f>
        <v>36817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33680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46212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12188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593.25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110000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36267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110000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110000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-73733</v>
      </c>
      <c r="D6215" s="2" t="str">
        <f t="shared" si="96"/>
        <v>Error?</v>
      </c>
      <c r="E6215" s="2" t="s">
        <v>190</v>
      </c>
    </row>
    <row r="6216" spans="1:5" x14ac:dyDescent="0.2">
      <c r="A6216">
        <v>6155</v>
      </c>
      <c r="B6216" s="138">
        <f>'Assets-Liab 5-6'!J41</f>
        <v>36267</v>
      </c>
      <c r="D6216" s="2" t="str">
        <f t="shared" si="96"/>
        <v>Error?</v>
      </c>
      <c r="E6216" s="2" t="s">
        <v>190</v>
      </c>
    </row>
    <row r="6217" spans="1:5" x14ac:dyDescent="0.2">
      <c r="A6217">
        <v>6156</v>
      </c>
      <c r="B6217" s="138">
        <f>'Assets-Liab 5-6'!J4</f>
        <v>36267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433376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433376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433376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628081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628081</v>
      </c>
      <c r="D6229" s="2" t="str">
        <f t="shared" si="96"/>
        <v>Error?</v>
      </c>
      <c r="E6229" s="2" t="s">
        <v>190</v>
      </c>
    </row>
    <row r="6230" spans="1:5" x14ac:dyDescent="0.2">
      <c r="A6230">
        <v>6169</v>
      </c>
      <c r="B6230" s="138">
        <f>'Acct Summary 7-8'!J20</f>
        <v>-194705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-194705</v>
      </c>
      <c r="D6263" s="2" t="str">
        <f t="shared" si="96"/>
        <v>Error?</v>
      </c>
      <c r="E6263" s="2" t="s">
        <v>190</v>
      </c>
    </row>
    <row r="6264" spans="1:5" x14ac:dyDescent="0.2">
      <c r="A6264">
        <v>6203</v>
      </c>
      <c r="B6264" s="138">
        <f>'Acct Summary 7-8'!J79</f>
        <v>120972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-73733</v>
      </c>
      <c r="D6266" s="2" t="str">
        <f t="shared" si="96"/>
        <v>Error?</v>
      </c>
      <c r="E6266" s="2" t="s">
        <v>190</v>
      </c>
    </row>
    <row r="6267" spans="1:5" x14ac:dyDescent="0.2">
      <c r="A6267">
        <v>6206</v>
      </c>
      <c r="B6267" s="138">
        <f>'Acct Summary 7-8'!C82</f>
        <v>-429734</v>
      </c>
      <c r="D6267" s="2" t="str">
        <f t="shared" si="96"/>
        <v>Error?</v>
      </c>
      <c r="E6267" s="2" t="s">
        <v>190</v>
      </c>
    </row>
    <row r="6268" spans="1:5" x14ac:dyDescent="0.2">
      <c r="A6268">
        <v>6207</v>
      </c>
      <c r="B6268" s="138">
        <f>'Acct Summary 7-8'!D82</f>
        <v>-37737</v>
      </c>
      <c r="D6268" s="2" t="str">
        <f t="shared" si="96"/>
        <v>Error?</v>
      </c>
      <c r="E6268" s="2" t="s">
        <v>190</v>
      </c>
    </row>
    <row r="6269" spans="1:5" x14ac:dyDescent="0.2">
      <c r="A6269">
        <v>6208</v>
      </c>
      <c r="B6269" s="138">
        <f>'Acct Summary 7-8'!E82</f>
        <v>-38768</v>
      </c>
      <c r="D6269" s="2" t="str">
        <f t="shared" si="96"/>
        <v>Error?</v>
      </c>
      <c r="E6269" s="2" t="s">
        <v>190</v>
      </c>
    </row>
    <row r="6270" spans="1:5" x14ac:dyDescent="0.2">
      <c r="A6270">
        <v>6209</v>
      </c>
      <c r="B6270" s="138">
        <f>'Acct Summary 7-8'!F82</f>
        <v>41396</v>
      </c>
      <c r="D6270" s="2" t="str">
        <f t="shared" si="96"/>
        <v>Error?</v>
      </c>
      <c r="E6270" s="2" t="s">
        <v>190</v>
      </c>
    </row>
    <row r="6271" spans="1:5" x14ac:dyDescent="0.2">
      <c r="A6271">
        <v>6210</v>
      </c>
      <c r="B6271" s="138">
        <f>'Acct Summary 7-8'!G82</f>
        <v>-22216</v>
      </c>
      <c r="D6271" s="2" t="str">
        <f t="shared" ref="D6271:D6334" si="97">IF(ISBLANK(B6271),"OK",IF(A6271-B6271=0,"OK","Error?"))</f>
        <v>Error?</v>
      </c>
      <c r="E6271" s="2" t="s">
        <v>190</v>
      </c>
    </row>
    <row r="6272" spans="1:5" x14ac:dyDescent="0.2">
      <c r="A6272">
        <v>6211</v>
      </c>
      <c r="B6272" s="138">
        <f>'Acct Summary 7-8'!H82</f>
        <v>-2064</v>
      </c>
      <c r="D6272" s="2" t="str">
        <f t="shared" si="97"/>
        <v>Error?</v>
      </c>
      <c r="E6272" s="2" t="s">
        <v>190</v>
      </c>
    </row>
    <row r="6273" spans="1:5" x14ac:dyDescent="0.2">
      <c r="A6273">
        <v>6212</v>
      </c>
      <c r="B6273" s="138">
        <f>'Acct Summary 7-8'!I82</f>
        <v>33151</v>
      </c>
      <c r="D6273" s="2" t="str">
        <f t="shared" si="97"/>
        <v>Error?</v>
      </c>
      <c r="E6273" s="2" t="s">
        <v>190</v>
      </c>
    </row>
    <row r="6274" spans="1:5" x14ac:dyDescent="0.2">
      <c r="A6274">
        <v>6213</v>
      </c>
      <c r="B6274" s="138">
        <f>'Acct Summary 7-8'!J82</f>
        <v>-194705</v>
      </c>
      <c r="D6274" s="2" t="str">
        <f t="shared" si="97"/>
        <v>Error?</v>
      </c>
      <c r="E6274" s="2" t="s">
        <v>190</v>
      </c>
    </row>
    <row r="6275" spans="1:5" x14ac:dyDescent="0.2">
      <c r="A6275">
        <v>6214</v>
      </c>
      <c r="B6275" s="138">
        <f>'Acct Summary 7-8'!K82</f>
        <v>-45918</v>
      </c>
      <c r="D6275" s="2" t="str">
        <f t="shared" si="97"/>
        <v>Error?</v>
      </c>
      <c r="E6275" s="2" t="s">
        <v>190</v>
      </c>
    </row>
    <row r="6276" spans="1:5" x14ac:dyDescent="0.2">
      <c r="A6276">
        <v>6215</v>
      </c>
      <c r="B6276" s="138">
        <f>'Acct Summary 7-8'!C83</f>
        <v>-0.14600414500730471</v>
      </c>
      <c r="D6276" s="2" t="str">
        <f t="shared" si="97"/>
        <v>Error?</v>
      </c>
      <c r="E6276" s="2" t="s">
        <v>190</v>
      </c>
    </row>
    <row r="6277" spans="1:5" x14ac:dyDescent="0.2">
      <c r="A6277">
        <v>6216</v>
      </c>
      <c r="B6277" s="138">
        <f>'Acct Summary 7-8'!D83</f>
        <v>-5.2481527787242389E-2</v>
      </c>
      <c r="D6277" s="2" t="str">
        <f t="shared" si="97"/>
        <v>Error?</v>
      </c>
      <c r="E6277" s="2" t="s">
        <v>190</v>
      </c>
    </row>
    <row r="6278" spans="1:5" x14ac:dyDescent="0.2">
      <c r="A6278">
        <v>6217</v>
      </c>
      <c r="B6278" s="138">
        <f>'Acct Summary 7-8'!E83</f>
        <v>-0.8798710878100815</v>
      </c>
      <c r="D6278" s="2" t="str">
        <f t="shared" si="97"/>
        <v>Error?</v>
      </c>
      <c r="E6278" s="2" t="s">
        <v>190</v>
      </c>
    </row>
    <row r="6279" spans="1:5" x14ac:dyDescent="0.2">
      <c r="A6279">
        <v>6218</v>
      </c>
      <c r="B6279" s="138">
        <f>'Acct Summary 7-8'!F83</f>
        <v>8.228528720141369E-2</v>
      </c>
      <c r="D6279" s="2" t="str">
        <f t="shared" si="97"/>
        <v>Error?</v>
      </c>
      <c r="E6279" s="2" t="s">
        <v>190</v>
      </c>
    </row>
    <row r="6280" spans="1:5" x14ac:dyDescent="0.2">
      <c r="A6280">
        <v>6219</v>
      </c>
      <c r="B6280" s="138">
        <f>'Acct Summary 7-8'!G83</f>
        <v>-0.18727134788839248</v>
      </c>
      <c r="D6280" s="2" t="str">
        <f t="shared" si="97"/>
        <v>Error?</v>
      </c>
      <c r="E6280" s="2" t="s">
        <v>190</v>
      </c>
    </row>
    <row r="6281" spans="1:5" x14ac:dyDescent="0.2">
      <c r="A6281">
        <v>6220</v>
      </c>
      <c r="B6281" s="138">
        <f>'Acct Summary 7-8'!H83</f>
        <v>-0.16715257531584063</v>
      </c>
      <c r="D6281" s="2" t="str">
        <f t="shared" si="97"/>
        <v>Error?</v>
      </c>
      <c r="E6281" s="2" t="s">
        <v>190</v>
      </c>
    </row>
    <row r="6282" spans="1:5" x14ac:dyDescent="0.2">
      <c r="A6282">
        <v>6221</v>
      </c>
      <c r="B6282" s="138">
        <f>'Acct Summary 7-8'!I83</f>
        <v>3.5717017702823983E-2</v>
      </c>
      <c r="D6282" s="2" t="str">
        <f t="shared" si="97"/>
        <v>Error?</v>
      </c>
      <c r="E6282" s="2" t="s">
        <v>190</v>
      </c>
    </row>
    <row r="6283" spans="1:5" x14ac:dyDescent="0.2">
      <c r="A6283">
        <v>6222</v>
      </c>
      <c r="B6283" s="138">
        <f>'Acct Summary 7-8'!J83</f>
        <v>2.640676494920863</v>
      </c>
      <c r="D6283" s="2" t="str">
        <f t="shared" si="97"/>
        <v>Error?</v>
      </c>
      <c r="E6283" s="2" t="s">
        <v>190</v>
      </c>
    </row>
    <row r="6284" spans="1:5" x14ac:dyDescent="0.2">
      <c r="A6284">
        <v>6223</v>
      </c>
      <c r="B6284" s="138">
        <f>'Acct Summary 7-8'!K83</f>
        <v>-9.9776622744498139E-2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432729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432729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132</v>
      </c>
      <c r="D6318" s="2" t="str">
        <f t="shared" si="97"/>
        <v>Error?</v>
      </c>
      <c r="E6318" s="2" t="s">
        <v>190</v>
      </c>
    </row>
    <row r="6319" spans="1:5" x14ac:dyDescent="0.2">
      <c r="A6319">
        <v>6258</v>
      </c>
      <c r="B6319" s="138">
        <f>'Revenues 9-14'!J96</f>
        <v>515</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1935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515</v>
      </c>
      <c r="D6351" s="2" t="str">
        <f t="shared" si="98"/>
        <v>Error?</v>
      </c>
      <c r="E6351" s="2" t="s">
        <v>190</v>
      </c>
    </row>
    <row r="6352" spans="1:5" x14ac:dyDescent="0.2">
      <c r="A6352">
        <v>6291</v>
      </c>
      <c r="B6352" s="138">
        <f>'Revenues 9-14'!J109</f>
        <v>433376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4235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64872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81994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395</v>
      </c>
      <c r="D6981" s="2" t="str">
        <f t="shared" si="108"/>
        <v>Error?</v>
      </c>
    </row>
    <row r="6982" spans="1:4" x14ac:dyDescent="0.2">
      <c r="A6982">
        <v>6921</v>
      </c>
      <c r="B6982" s="138">
        <f>'Expenditures 15-22'!K85</f>
        <v>395</v>
      </c>
      <c r="D6982" s="2" t="str">
        <f t="shared" si="108"/>
        <v>Error?</v>
      </c>
    </row>
    <row r="6983" spans="1:4" x14ac:dyDescent="0.2">
      <c r="A6983">
        <v>6922</v>
      </c>
      <c r="B6983" s="138">
        <f>'Expenditures 15-22'!H86</f>
        <v>636481</v>
      </c>
      <c r="D6983" s="2" t="str">
        <f t="shared" si="108"/>
        <v>Error?</v>
      </c>
    </row>
    <row r="6984" spans="1:4" x14ac:dyDescent="0.2">
      <c r="A6984">
        <v>6923</v>
      </c>
      <c r="B6984" s="138">
        <f>'Expenditures 15-22'!K86</f>
        <v>636481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636876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628081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674</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433376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7150</v>
      </c>
      <c r="D7073" s="2" t="str">
        <f t="shared" si="109"/>
        <v>Error?</v>
      </c>
    </row>
    <row r="7074" spans="1:4" x14ac:dyDescent="0.2">
      <c r="A7074">
        <v>7013</v>
      </c>
      <c r="B7074" s="138">
        <f>'Expenditures 15-22'!K216</f>
        <v>7150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319</v>
      </c>
      <c r="D7093" s="2" t="str">
        <f t="shared" si="109"/>
        <v>Error?</v>
      </c>
    </row>
    <row r="7094" spans="1:4" x14ac:dyDescent="0.2">
      <c r="A7094">
        <v>7033</v>
      </c>
      <c r="B7094" s="138">
        <f>'Expenditures 15-22'!K254</f>
        <v>319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270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270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178480</v>
      </c>
      <c r="D7156" s="2" t="str">
        <f t="shared" si="110"/>
        <v>Error?</v>
      </c>
    </row>
    <row r="7157" spans="1:4" x14ac:dyDescent="0.2">
      <c r="A7157">
        <v>7096</v>
      </c>
      <c r="B7157" s="138">
        <f>'Expenditures 15-22'!F323</f>
        <v>13618</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192098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346589</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346589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10024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10024</v>
      </c>
      <c r="D7198" s="2" t="str">
        <f t="shared" si="111"/>
        <v>Error?</v>
      </c>
    </row>
    <row r="7199" spans="1:4" x14ac:dyDescent="0.2">
      <c r="A7199">
        <v>7138</v>
      </c>
      <c r="B7199" s="138">
        <f>'Expenditures 15-22'!C330</f>
        <v>346859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267604</v>
      </c>
      <c r="D7201" s="2" t="str">
        <f t="shared" si="111"/>
        <v>Error?</v>
      </c>
    </row>
    <row r="7202" spans="1:4" x14ac:dyDescent="0.2">
      <c r="A7202">
        <v>7141</v>
      </c>
      <c r="B7202" s="138">
        <f>'Expenditures 15-22'!F330</f>
        <v>13618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628081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346859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267604</v>
      </c>
      <c r="D7218" s="2" t="str">
        <f t="shared" si="111"/>
        <v>Error?</v>
      </c>
    </row>
    <row r="7219" spans="1:4" x14ac:dyDescent="0.2">
      <c r="A7219">
        <v>7158</v>
      </c>
      <c r="B7219" s="138">
        <f>'Expenditures 15-22'!F342</f>
        <v>13618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628081</v>
      </c>
      <c r="D7224" s="2" t="str">
        <f t="shared" si="111"/>
        <v>Error?</v>
      </c>
    </row>
    <row r="7225" spans="1:4" x14ac:dyDescent="0.2">
      <c r="A7225">
        <v>7164</v>
      </c>
      <c r="B7225" s="138">
        <f>'Expenditures 15-22'!K343</f>
        <v>-194705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11169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5953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253599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79100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79100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14412</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1935</v>
      </c>
      <c r="D7712" s="2" t="str">
        <f t="shared" si="126"/>
        <v>Error?</v>
      </c>
      <c r="E7712" s="2" t="s">
        <v>827</v>
      </c>
    </row>
    <row r="7713" spans="1:6" x14ac:dyDescent="0.2">
      <c r="A7713">
        <v>7652</v>
      </c>
      <c r="B7713" s="138">
        <f>'Rest Tax Levies-Tort Im 25'!J8</f>
        <v>13748</v>
      </c>
      <c r="D7713" s="2" t="str">
        <f t="shared" si="126"/>
        <v>Error?</v>
      </c>
      <c r="E7713" s="2" t="s">
        <v>827</v>
      </c>
    </row>
    <row r="7714" spans="1:6" x14ac:dyDescent="0.2">
      <c r="A7714">
        <v>7653</v>
      </c>
      <c r="B7714" s="138">
        <f>'Rest Tax Levies-Tort Im 25'!K9</f>
        <v>8312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13748</v>
      </c>
      <c r="D7718" s="2" t="str">
        <f t="shared" si="126"/>
        <v>Error?</v>
      </c>
      <c r="E7718" s="2" t="s">
        <v>827</v>
      </c>
    </row>
    <row r="7719" spans="1:6" x14ac:dyDescent="0.2">
      <c r="A7719">
        <v>7658</v>
      </c>
      <c r="B7719" s="138">
        <f>'Rest Tax Levies-Tort Im 25'!K12</f>
        <v>10247</v>
      </c>
      <c r="D7719" s="2" t="str">
        <f t="shared" si="126"/>
        <v>Error?</v>
      </c>
      <c r="E7719" s="2" t="s">
        <v>827</v>
      </c>
    </row>
    <row r="7720" spans="1:6" x14ac:dyDescent="0.2">
      <c r="A7720">
        <v>7659</v>
      </c>
      <c r="B7720" s="138">
        <f>'Rest Tax Levies-Tort Im 25'!H14</f>
        <v>24409</v>
      </c>
      <c r="D7720" s="2" t="str">
        <f t="shared" si="126"/>
        <v>Error?</v>
      </c>
      <c r="E7720" s="2" t="s">
        <v>827</v>
      </c>
    </row>
    <row r="7721" spans="1:6" x14ac:dyDescent="0.2">
      <c r="A7721">
        <v>7660</v>
      </c>
      <c r="B7721" s="138">
        <f>'Rest Tax Levies-Tort Im 25'!K14</f>
        <v>10247</v>
      </c>
      <c r="D7721" s="2" t="str">
        <f t="shared" si="126"/>
        <v>Error?</v>
      </c>
      <c r="E7721" s="2" t="s">
        <v>827</v>
      </c>
    </row>
    <row r="7722" spans="1:6" x14ac:dyDescent="0.2">
      <c r="A7722">
        <v>7661</v>
      </c>
      <c r="B7722" s="138">
        <f>'Rest Tax Levies-Tort Im 25'!J15</f>
        <v>15812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15812</v>
      </c>
      <c r="D7730" s="2" t="str">
        <f t="shared" si="126"/>
        <v>Error?</v>
      </c>
      <c r="E7730" s="2" t="s">
        <v>827</v>
      </c>
    </row>
    <row r="7731" spans="1:6" x14ac:dyDescent="0.2">
      <c r="A7731">
        <v>7670</v>
      </c>
      <c r="B7731" s="138">
        <f>'Revenues 9-14'!H103</f>
        <v>13748</v>
      </c>
      <c r="D7731" s="2" t="str">
        <f t="shared" si="126"/>
        <v>Error?</v>
      </c>
      <c r="E7731" s="2" t="s">
        <v>827</v>
      </c>
    </row>
    <row r="7732" spans="1:6" x14ac:dyDescent="0.2">
      <c r="A7732">
        <v>7671</v>
      </c>
      <c r="B7732" s="138">
        <f>'Rest Tax Levies-Tort Im 25'!J24</f>
        <v>12348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12348</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133257</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83257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1989</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Pawnee CUSD 11</v>
      </c>
      <c r="B7" s="2384"/>
      <c r="C7" s="2384"/>
      <c r="D7" s="2421"/>
      <c r="E7" s="2422">
        <f>COVER!A13</f>
        <v>51084011026</v>
      </c>
      <c r="F7" s="2423"/>
      <c r="G7" s="2390" t="str">
        <f>COVER!T23</f>
        <v>060-004845</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Pehlman and Dold, P.C.</v>
      </c>
      <c r="H9" s="2397"/>
      <c r="I9" s="2397"/>
      <c r="J9" s="2397"/>
      <c r="K9" s="2397"/>
      <c r="L9" s="2398"/>
    </row>
    <row r="10" spans="1:29" ht="13.5" customHeight="1" x14ac:dyDescent="0.2">
      <c r="A10" s="2380" t="str">
        <f>COVER!A38</f>
        <v>Scott Cameron, Superintendent</v>
      </c>
      <c r="B10" s="2381"/>
      <c r="C10" s="2381"/>
      <c r="D10" s="2381"/>
      <c r="E10" s="2381"/>
      <c r="F10" s="2382"/>
      <c r="G10" s="2396" t="str">
        <f>COVER!T17</f>
        <v>100 North Amos Avenue</v>
      </c>
      <c r="H10" s="2409"/>
      <c r="I10" s="2409"/>
      <c r="J10" s="2409"/>
      <c r="K10" s="2409"/>
      <c r="L10" s="2410"/>
    </row>
    <row r="11" spans="1:29" ht="13.5" customHeight="1" x14ac:dyDescent="0.2">
      <c r="A11" s="1184" t="s">
        <v>1519</v>
      </c>
      <c r="B11" s="1185"/>
      <c r="C11" s="1186"/>
      <c r="D11" s="1191"/>
      <c r="E11" s="1186"/>
      <c r="F11" s="1190"/>
      <c r="G11" s="2396" t="str">
        <f>COVER!T19</f>
        <v>Springfield</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dfitzgerald@p-dcpas.com</v>
      </c>
      <c r="J13" s="2418"/>
      <c r="K13" s="2418"/>
      <c r="L13" s="2419"/>
    </row>
    <row r="14" spans="1:29" ht="13.5" customHeight="1" x14ac:dyDescent="0.2">
      <c r="A14" s="2396" t="str">
        <f>COVER!A19</f>
        <v>810 4th Street</v>
      </c>
      <c r="B14" s="2409"/>
      <c r="C14" s="2409"/>
      <c r="D14" s="2409"/>
      <c r="E14" s="2409"/>
      <c r="F14" s="2410"/>
      <c r="G14" s="1195" t="s">
        <v>1185</v>
      </c>
      <c r="H14" s="1193"/>
      <c r="I14" s="1193"/>
      <c r="J14" s="1193"/>
      <c r="K14" s="1193"/>
      <c r="L14" s="1194"/>
    </row>
    <row r="15" spans="1:29" ht="13.5" customHeight="1" x14ac:dyDescent="0.2">
      <c r="A15" s="2396" t="str">
        <f>COVER!A21</f>
        <v>Pawnee, IL</v>
      </c>
      <c r="B15" s="2409"/>
      <c r="C15" s="2409"/>
      <c r="D15" s="2409"/>
      <c r="E15" s="2409"/>
      <c r="F15" s="2410"/>
      <c r="G15" s="2406" t="str">
        <f>COVER!T15</f>
        <v>Dorinda L Fitzgerald</v>
      </c>
      <c r="H15" s="2407"/>
      <c r="I15" s="2407"/>
      <c r="J15" s="2407"/>
      <c r="K15" s="2407"/>
      <c r="L15" s="2408"/>
    </row>
    <row r="16" spans="1:29" ht="12.2" customHeight="1" x14ac:dyDescent="0.2">
      <c r="A16" s="2386" t="str">
        <f>COVER!A25</f>
        <v>62558-9680</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t="str">
        <f>COVER!T21</f>
        <v>(217) 787-0563</v>
      </c>
      <c r="H18" s="2384"/>
      <c r="I18" s="2384"/>
      <c r="J18" s="2384"/>
      <c r="K18" s="2383" t="str">
        <f>COVER!X21</f>
        <v>(217) 787-9266</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Pawnee CUSD 11</v>
      </c>
      <c r="B1" s="2420"/>
      <c r="C1" s="2420"/>
      <c r="D1" s="2420"/>
    </row>
    <row r="2" spans="1:11" s="1212" customFormat="1" ht="12.75" x14ac:dyDescent="0.2">
      <c r="A2" s="2425">
        <f>'Single Audit Cover'!E7</f>
        <v>51084011026</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Pawnee CUSD 11</v>
      </c>
      <c r="B1" s="2428"/>
      <c r="C1" s="2428"/>
      <c r="D1" s="2428"/>
      <c r="E1" s="2428"/>
    </row>
    <row r="2" spans="1:5" x14ac:dyDescent="0.2">
      <c r="A2" s="2429">
        <f>'Single Audit Cover'!E7</f>
        <v>51084011026</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227097</v>
      </c>
    </row>
    <row r="11" spans="1:5" ht="18" customHeight="1" x14ac:dyDescent="0.2">
      <c r="A11" s="1258" t="s">
        <v>1240</v>
      </c>
      <c r="B11" s="1259"/>
      <c r="C11" s="1259"/>
    </row>
    <row r="12" spans="1:5" x14ac:dyDescent="0.2">
      <c r="A12" s="1258" t="s">
        <v>1239</v>
      </c>
      <c r="B12" s="1259" t="s">
        <v>1238</v>
      </c>
      <c r="C12" s="1259"/>
      <c r="D12" s="1261">
        <f>SUM('Revenues 9-14'!C112:D112,'Revenues 9-14'!F112:G112)</f>
        <v>61507</v>
      </c>
    </row>
    <row r="13" spans="1:5" x14ac:dyDescent="0.2">
      <c r="A13" s="1258" t="s">
        <v>1237</v>
      </c>
      <c r="B13" s="1259"/>
      <c r="C13" s="1259"/>
    </row>
    <row r="14" spans="1:5" x14ac:dyDescent="0.2">
      <c r="A14" s="1258" t="s">
        <v>1727</v>
      </c>
      <c r="B14" s="1259"/>
      <c r="C14" s="1259"/>
      <c r="D14" s="1261">
        <f>'ICR Computation 30'!E11</f>
        <v>12188</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300792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300792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300792</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Pawnee CUSD 11</v>
      </c>
      <c r="C1" s="2432"/>
      <c r="D1" s="2432"/>
      <c r="E1" s="2432"/>
      <c r="F1" s="2432"/>
      <c r="G1" s="2432"/>
      <c r="H1" s="2432"/>
      <c r="I1" s="2432"/>
      <c r="J1" s="2432"/>
      <c r="K1" s="2432"/>
      <c r="L1" s="2432"/>
      <c r="M1" s="2432"/>
    </row>
    <row r="2" spans="2:14" ht="15" x14ac:dyDescent="0.2">
      <c r="B2" s="2433">
        <f>'Single Audit Cover'!E7</f>
        <v>51084011026</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Pawnee CUSD 11</v>
      </c>
      <c r="B1" s="2437"/>
      <c r="C1" s="2437"/>
      <c r="D1" s="2437"/>
      <c r="E1" s="2437"/>
      <c r="F1" s="2437"/>
    </row>
    <row r="2" spans="1:7" ht="13.5" customHeight="1" x14ac:dyDescent="0.2">
      <c r="A2" s="2433">
        <f>'Single Audit Cover'!E7</f>
        <v>51084011026</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1729</v>
      </c>
      <c r="B7" s="2436"/>
      <c r="C7" s="2436"/>
      <c r="D7" s="2436"/>
      <c r="E7" s="2436"/>
      <c r="F7" s="243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6" t="s">
        <v>1731</v>
      </c>
      <c r="B13" s="2436"/>
      <c r="C13" s="2436"/>
      <c r="D13" s="2436"/>
      <c r="E13" s="2436"/>
      <c r="F13" s="2436"/>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4" t="s">
        <v>1732</v>
      </c>
      <c r="B32" s="2444"/>
      <c r="C32" s="2444"/>
      <c r="D32" s="2444"/>
      <c r="E32" s="2444"/>
      <c r="F32" s="2444"/>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5">
        <f>+C33+C34</f>
        <v>0</v>
      </c>
      <c r="F34" s="244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Pawnee CUSD 11</v>
      </c>
      <c r="C1" s="2453"/>
      <c r="D1" s="2453"/>
      <c r="E1" s="2453"/>
      <c r="F1" s="2453"/>
      <c r="G1" s="2453"/>
      <c r="H1" s="2453"/>
      <c r="I1" s="2453"/>
      <c r="J1" s="1406"/>
    </row>
    <row r="2" spans="2:10" s="317" customFormat="1" ht="12.75" customHeight="1" x14ac:dyDescent="0.2">
      <c r="B2" s="2454">
        <f>'Single Audit Cover'!E7</f>
        <v>51084011026</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c r="E29" s="2459"/>
      <c r="F29" s="2459"/>
      <c r="G29" s="2459"/>
      <c r="H29" s="2459"/>
      <c r="I29" s="245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0" t="s">
        <v>1751</v>
      </c>
      <c r="D37" s="2461"/>
      <c r="E37" s="2461"/>
      <c r="F37" s="2462"/>
      <c r="G37" s="2460" t="s">
        <v>1592</v>
      </c>
      <c r="H37" s="2461"/>
      <c r="I37" s="2462"/>
    </row>
    <row r="38" spans="2:9" ht="16.5" customHeight="1" x14ac:dyDescent="0.2">
      <c r="B38" s="1428"/>
      <c r="C38" s="2448"/>
      <c r="D38" s="2449"/>
      <c r="E38" s="2449"/>
      <c r="F38" s="2450"/>
      <c r="G38" s="2463"/>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0</v>
      </c>
      <c r="H43" s="2469"/>
      <c r="I43" s="2469"/>
    </row>
    <row r="44" spans="2:9" ht="12.75" customHeight="1" x14ac:dyDescent="0.2"/>
    <row r="45" spans="2:9" ht="12.75" customHeight="1" x14ac:dyDescent="0.2">
      <c r="B45" s="1419" t="s">
        <v>1841</v>
      </c>
      <c r="D45" s="2470">
        <v>0</v>
      </c>
      <c r="E45" s="247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2"/>
      <c r="F49" s="2472"/>
      <c r="G49" s="247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Pawnee CUSD 11</v>
      </c>
      <c r="C1" s="2452"/>
      <c r="D1" s="2452"/>
      <c r="E1" s="2452"/>
      <c r="F1" s="2452"/>
      <c r="G1" s="2452"/>
      <c r="H1" s="2452"/>
      <c r="I1" s="2452"/>
      <c r="J1" s="2452"/>
      <c r="K1" s="2452"/>
      <c r="L1" s="1371"/>
      <c r="M1" s="1371"/>
    </row>
    <row r="2" spans="1:13" ht="12" customHeight="1" x14ac:dyDescent="0.2">
      <c r="B2" s="2454">
        <f>'Single Audit Cover'!E7</f>
        <v>51084011026</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Pawnee CUSD 11</v>
      </c>
      <c r="C1" s="2479"/>
      <c r="D1" s="2479"/>
      <c r="E1" s="2479"/>
      <c r="F1" s="2479"/>
      <c r="G1" s="2479"/>
      <c r="H1" s="2479"/>
      <c r="I1" s="2479"/>
      <c r="J1" s="2479"/>
      <c r="K1" s="2479"/>
      <c r="L1" s="1449"/>
    </row>
    <row r="2" spans="1:12" ht="12.75" customHeight="1" x14ac:dyDescent="0.2">
      <c r="B2" s="2480">
        <f>'Single Audit Cover'!E7</f>
        <v>51084011026</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Pawnee CUSD 11</v>
      </c>
      <c r="C1" s="2452"/>
      <c r="D1" s="2452"/>
      <c r="E1" s="1469"/>
    </row>
    <row r="2" spans="2:5" s="1279" customFormat="1" ht="12.75" customHeight="1" x14ac:dyDescent="0.2">
      <c r="B2" s="2454">
        <f>'Single Audit Cover'!E7</f>
        <v>51084011026</v>
      </c>
      <c r="C2" s="2454"/>
      <c r="D2" s="2454"/>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4d435f69-8686-490b-bd6d-b153bf22ab50"/>
    <ds:schemaRef ds:uri="d21dc803-237d-4c68-8692-8d731fd29118"/>
    <ds:schemaRef ds:uri="http://schemas.microsoft.com/office/infopath/2007/PartnerControls"/>
    <ds:schemaRef ds:uri="http://purl.org/dc/terms/"/>
    <ds:schemaRef ds:uri="http://www.w3.org/XML/1998/namespace"/>
    <ds:schemaRef ds:uri="http://schemas.microsoft.com/office/2006/metadata/properties"/>
    <ds:schemaRef ds:uri="http://schemas.openxmlformats.org/package/2006/metadata/core-properties"/>
    <ds:schemaRef ds:uri="http://purl.org/dc/dcmitype/"/>
    <ds:schemaRef ds:uri="6ce3111e-7420-4802-b50a-75d4e9a0b980"/>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2019-09-27T14:34:53Z</cp:lastPrinted>
  <dcterms:created xsi:type="dcterms:W3CDTF">2003-10-29T19:06:34Z</dcterms:created>
  <dcterms:modified xsi:type="dcterms:W3CDTF">2019-12-02T21:17:49Z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