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1486584-F77F-4CEE-A984-4696A1DF45E2}" xr6:coauthVersionLast="36" xr6:coauthVersionMax="36" xr10:uidLastSave="{00000000-0000-0000-0000-000000000000}"/>
  <bookViews>
    <workbookView xWindow="4215" yWindow="1965" windowWidth="22080" windowHeight="127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B2805" i="106" s="1"/>
  <c r="D2805" i="106"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K93" i="29"/>
  <c r="K94" i="29"/>
  <c r="K95" i="29"/>
  <c r="K96" i="29"/>
  <c r="K97" i="29"/>
  <c r="K98" i="29"/>
  <c r="K99" i="29"/>
  <c r="B7010" i="106" s="1"/>
  <c r="D7010" i="106" s="1"/>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B7088" i="106" s="1"/>
  <c r="D7088" i="106" s="1"/>
  <c r="K252" i="29"/>
  <c r="K253" i="29"/>
  <c r="B7092" i="106" s="1"/>
  <c r="D7092" i="106" s="1"/>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9" i="106"/>
  <c r="D7089" i="106" s="1"/>
  <c r="B7090" i="106"/>
  <c r="D7090" i="106" s="1"/>
  <c r="B7091" i="106"/>
  <c r="D7091"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5" i="127"/>
  <c r="B66" i="127"/>
  <c r="D26" i="108"/>
  <c r="F26" i="108"/>
  <c r="E27" i="108"/>
  <c r="G27" i="108"/>
  <c r="E28" i="108"/>
  <c r="F28" i="108"/>
  <c r="F31" i="108"/>
  <c r="F36" i="108"/>
  <c r="F37" i="108"/>
  <c r="G28" i="108"/>
  <c r="E30" i="108"/>
  <c r="G30" i="108"/>
  <c r="D31" i="108"/>
  <c r="D36" i="108"/>
  <c r="E31" i="108"/>
  <c r="G31" i="108"/>
  <c r="E33" i="108"/>
  <c r="G33" i="108"/>
  <c r="E34" i="108"/>
  <c r="G34" i="108"/>
  <c r="E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C57" i="34"/>
  <c r="D57" i="34"/>
  <c r="C61" i="34"/>
  <c r="C62" i="34"/>
  <c r="F62" i="34"/>
  <c r="C63" i="34"/>
  <c r="D63" i="34"/>
  <c r="C64" i="34"/>
  <c r="F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F14" i="4"/>
  <c r="B2597" i="106" s="1"/>
  <c r="D2597" i="106" s="1"/>
  <c r="B2633" i="106"/>
  <c r="D2633" i="106" s="1"/>
  <c r="N22" i="3"/>
  <c r="B283" i="106" s="1"/>
  <c r="D283" i="106" s="1"/>
  <c r="D7" i="118"/>
  <c r="D8" i="118"/>
  <c r="D9" i="118"/>
  <c r="H14" i="118"/>
  <c r="H19" i="118"/>
  <c r="H24" i="118"/>
  <c r="H29" i="118"/>
  <c r="D11" i="37"/>
  <c r="D22" i="37"/>
  <c r="J22" i="37"/>
  <c r="D24" i="37"/>
  <c r="B4270" i="106" s="1"/>
  <c r="D4270" i="106" s="1"/>
  <c r="L5" i="11"/>
  <c r="B2056" i="106" s="1"/>
  <c r="D2056" i="106" s="1"/>
  <c r="D9" i="7"/>
  <c r="B1767" i="106" s="1"/>
  <c r="D1767" i="106" s="1"/>
  <c r="J77" i="4" l="1"/>
  <c r="B6262" i="106" s="1"/>
  <c r="D6262" i="106" s="1"/>
  <c r="D17" i="7"/>
  <c r="B4104" i="106" s="1"/>
  <c r="D4104" i="106" s="1"/>
  <c r="L22" i="37"/>
  <c r="H33" i="118"/>
  <c r="D14" i="4"/>
  <c r="B2570" i="106" s="1"/>
  <c r="D2570" i="106" s="1"/>
  <c r="G14" i="4"/>
  <c r="B2609" i="106" s="1"/>
  <c r="D2609" i="106" s="1"/>
  <c r="B7727" i="106"/>
  <c r="D7727" i="106" s="1"/>
  <c r="F72" i="34"/>
  <c r="F71" i="34"/>
  <c r="F69" i="34"/>
  <c r="F67" i="34"/>
  <c r="F56" i="34"/>
  <c r="F50" i="34"/>
  <c r="F46" i="34"/>
  <c r="F42" i="34"/>
  <c r="F37" i="34"/>
  <c r="G38" i="108"/>
  <c r="G35" i="108"/>
  <c r="G26" i="108"/>
  <c r="E26" i="108"/>
  <c r="D31" i="36"/>
  <c r="B6238" i="106"/>
  <c r="D6238" i="106" s="1"/>
  <c r="D6103" i="106"/>
  <c r="K76" i="4"/>
  <c r="B3586" i="106" s="1"/>
  <c r="D3586" i="106" s="1"/>
  <c r="I24" i="12"/>
  <c r="B1274" i="106"/>
  <c r="D1274" i="106" s="1"/>
  <c r="G15" i="145"/>
  <c r="F36" i="34"/>
  <c r="B3647" i="106"/>
  <c r="D3647" i="106" s="1"/>
  <c r="B281" i="106"/>
  <c r="D281" i="106" s="1"/>
  <c r="D37" i="108"/>
  <c r="F27" i="108"/>
  <c r="F41" i="108" s="1"/>
  <c r="G43" i="108" s="1"/>
  <c r="F19" i="7"/>
  <c r="B1807" i="106" s="1"/>
  <c r="D1807" i="106" s="1"/>
  <c r="B1802" i="106"/>
  <c r="D1802" i="106" s="1"/>
  <c r="C342" i="29"/>
  <c r="B7216" i="106" s="1"/>
  <c r="D7216" i="106" s="1"/>
  <c r="G29" i="108"/>
  <c r="E29" i="108"/>
  <c r="D68" i="36"/>
  <c r="L13" i="11"/>
  <c r="B2060" i="106" s="1"/>
  <c r="D2060" i="106" s="1"/>
  <c r="B1996" i="106"/>
  <c r="D1996" i="106" s="1"/>
  <c r="I26" i="12"/>
  <c r="B7741" i="106" s="1"/>
  <c r="D7741" i="106" s="1"/>
  <c r="J41" i="3"/>
  <c r="D51" i="36" s="1"/>
  <c r="K184" i="29"/>
  <c r="F13" i="4" s="1"/>
  <c r="B2596" i="106" s="1"/>
  <c r="D2596" i="106" s="1"/>
  <c r="G210" i="29"/>
  <c r="K41" i="3"/>
  <c r="L15" i="11"/>
  <c r="B3459" i="106" s="1"/>
  <c r="D3459" i="106" s="1"/>
  <c r="B1990" i="106"/>
  <c r="D1990" i="106" s="1"/>
  <c r="C129" i="29"/>
  <c r="B1225" i="106" s="1"/>
  <c r="D1225" i="106" s="1"/>
  <c r="L367" i="29"/>
  <c r="D7245" i="106"/>
  <c r="C352" i="29"/>
  <c r="B1308" i="106"/>
  <c r="D1308" i="106" s="1"/>
  <c r="E174" i="29"/>
  <c r="B1309" i="106" s="1"/>
  <c r="D1309" i="106" s="1"/>
  <c r="K28" i="118"/>
  <c r="O27" i="118" s="1"/>
  <c r="O29" i="118" s="1"/>
  <c r="L342" i="29"/>
  <c r="B3254" i="106"/>
  <c r="D3254" i="106" s="1"/>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5" i="106" l="1"/>
  <c r="D7250" i="106"/>
  <c r="L114" i="29"/>
  <c r="G170" i="5"/>
  <c r="D7256" i="106"/>
  <c r="D7251" i="106"/>
  <c r="C114" i="29"/>
  <c r="B757" i="106" s="1"/>
  <c r="D757" i="106" s="1"/>
  <c r="B1381" i="106"/>
  <c r="D1381" i="106" s="1"/>
  <c r="C151" i="29"/>
  <c r="B1226" i="106" s="1"/>
  <c r="D1226" i="106" s="1"/>
  <c r="B5527" i="106"/>
  <c r="D5527" i="106" s="1"/>
  <c r="F174" i="34"/>
  <c r="D44" i="36"/>
  <c r="L16" i="11"/>
  <c r="B2061" i="106" s="1"/>
  <c r="D2061" i="106" s="1"/>
  <c r="B2031" i="106"/>
  <c r="D2031" i="106" s="1"/>
  <c r="D7253" i="106"/>
  <c r="K342" i="29"/>
  <c r="F13" i="34" s="1"/>
  <c r="B3568" i="106"/>
  <c r="D3568" i="106" s="1"/>
  <c r="D52" i="36"/>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5778" i="106" l="1"/>
  <c r="D5778" i="106" s="1"/>
  <c r="G6" i="4"/>
  <c r="B2604" i="106" s="1"/>
  <c r="D260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K20" i="4" s="1"/>
  <c r="J19" i="4"/>
  <c r="B6229" i="106" s="1"/>
  <c r="D6229" i="106" s="1"/>
  <c r="J20" i="4"/>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<sst xmlns="http://schemas.openxmlformats.org/spreadsheetml/2006/main" count="5082" uniqueCount="2110">
  <si>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</si>
  <si>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</si>
  <si>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</si>
  <si>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</si>
  <si>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</si>
  <si>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</si>
  <si>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</si>
  <si>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</si>
  <si>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</si>
  <si>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</si>
  <si>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</si>
  <si>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</si>
  <si>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</si>
  <si>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</si>
  <si>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</si>
  <si>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</si>
  <si>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</si>
  <si>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</si>
  <si>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</si>
  <si>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</si>
  <si>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</si>
  <si>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</si>
  <si>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</si>
  <si>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</si>
  <si>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</si>
  <si>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</si>
  <si>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</si>
  <si>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</si>
  <si>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</si>
  <si>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</si>
  <si>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</si>
  <si>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</si>
  <si>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</si>
  <si>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</si>
  <si>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</si>
  <si>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</si>
  <si>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</si>
  <si>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</si>
  <si>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</si>
  <si>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</si>
  <si>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</si>
  <si>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</si>
  <si>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</si>
  <si>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</si>
  <si>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</si>
  <si>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</si>
  <si>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</si>
  <si>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</si>
  <si>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</si>
  <si>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</si>
  <si>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</si>
  <si>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</si>
  <si>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</si>
  <si>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</si>
  <si>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</si>
  <si>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</si>
  <si>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</si>
  <si>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</si>
  <si>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</si>
  <si>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</si>
  <si>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</si>
  <si>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</si>
  <si>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</si>
  <si>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</si>
  <si>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</si>
  <si>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</si>
  <si>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</si>
  <si>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</si>
  <si>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</si>
  <si>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</si>
  <si>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</si>
  <si>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</si>
  <si>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</si>
  <si>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</si>
  <si>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</si>
  <si>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</si>
  <si>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</si>
  <si>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</si>
  <si>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</si>
  <si>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</si>
  <si>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</si>
  <si>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</si>
  <si>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</si>
  <si>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</si>
  <si>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</si>
  <si>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</si>
  <si>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</si>
  <si>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</si>
  <si>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</si>
  <si>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</si>
  <si>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</si>
  <si>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</si>
  <si>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</si>
  <si>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</si>
  <si>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</si>
  <si>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</si>
  <si>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</si>
  <si>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</si>
  <si>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</si>
  <si>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</si>
  <si>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</si>
  <si>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</si>
  <si>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</si>
  <si>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</si>
  <si>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</si>
  <si>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</si>
  <si>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</si>
  <si>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</si>
  <si>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</si>
  <si>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</si>
  <si>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</si>
  <si>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</si>
  <si>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</si>
  <si>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</si>
  <si>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</si>
  <si>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</si>
  <si>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</si>
  <si>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</si>
  <si>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</si>
  <si>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</si>
  <si>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</si>
  <si>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</si>
  <si>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</si>
  <si>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</si>
  <si>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</si>
  <si>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</si>
  <si>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</si>
  <si>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</si>
  <si>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</si>
  <si>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</si>
  <si>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</si>
  <si>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</si>
  <si>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</si>
  <si>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</si>
  <si>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</si>
  <si>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</si>
  <si>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</si>
  <si>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</si>
  <si>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</si>
  <si>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</si>
  <si>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</si>
  <si>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</si>
  <si>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</si>
  <si>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</si>
  <si>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</si>
  <si>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</si>
  <si>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</si>
  <si>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</si>
  <si>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</si>
  <si>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</si>
  <si>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</si>
  <si>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</si>
  <si>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</si>
  <si>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</si>
  <si>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</si>
  <si>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</si>
  <si>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</si>
  <si>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</si>
  <si>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</si>
  <si>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</si>
  <si>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</si>
  <si>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</si>
  <si>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</si>
  <si>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</si>
  <si>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</si>
  <si>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</si>
  <si>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</si>
  <si>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</si>
  <si>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</si>
  <si>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</si>
  <si>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</si>
  <si>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</si>
  <si>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</si>
  <si>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</si>
  <si>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</si>
  <si>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</si>
  <si>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</si>
  <si>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</si>
  <si>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</si>
  <si>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</si>
  <si>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</si>
  <si>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</si>
  <si>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</si>
  <si>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</si>
  <si>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</si>
  <si>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</si>
  <si>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</si>
  <si>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</si>
  <si>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</si>
  <si>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</si>
  <si>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</si>
  <si>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</si>
  <si>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</si>
  <si>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</si>
  <si>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</si>
  <si>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</si>
  <si>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</si>
  <si>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</si>
  <si>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</si>
  <si>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</si>
  <si>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</si>
  <si>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</si>
  <si>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</si>
  <si>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</si>
  <si>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</si>
  <si>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</si>
  <si>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</si>
  <si>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</si>
  <si>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</si>
  <si>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</si>
  <si>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</si>
  <si>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</si>
  <si>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</si>
  <si>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</si>
  <si>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</si>
  <si>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</si>
  <si>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</si>
  <si>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</si>
  <si>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</si>
  <si>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</si>
  <si>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</si>
  <si>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</si>
  <si>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</si>
  <si>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</si>
  <si>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</si>
  <si>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</si>
  <si>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</si>
  <si>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</si>
  <si>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</si>
  <si>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</si>
  <si>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</si>
  <si>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</si>
  <si>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</si>
  <si>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</si>
  <si>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</si>
  <si>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</si>
  <si>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</si>
  <si>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</si>
  <si>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</si>
  <si>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</si>
  <si>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</si>
  <si>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</si>
  <si>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</si>
  <si>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</si>
  <si>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</si>
  <si>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</si>
  <si>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</si>
  <si>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</si>
  <si>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</si>
  <si>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</si>
  <si>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</si>
  <si>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</si>
  <si>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</si>
  <si>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</si>
  <si>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</si>
  <si>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</si>
  <si>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</si>
  <si>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</si>
  <si>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</si>
  <si>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</si>
  <si>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</si>
  <si>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</si>
  <si>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</si>
  <si>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</si>
  <si>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</si>
  <si>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</si>
  <si>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</si>
  <si>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</si>
  <si>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</si>
  <si>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</si>
  <si>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</si>
  <si>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</si>
  <si>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</si>
  <si>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</si>
  <si>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</si>
  <si>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</si>
  <si>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</si>
  <si>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</si>
  <si>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</si>
  <si>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</si>
  <si>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</si>
  <si>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</si>
  <si>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</si>
  <si>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</si>
  <si>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</si>
  <si>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</si>
  <si>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</si>
  <si>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</si>
  <si>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</si>
  <si>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</si>
  <si>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</si>
  <si>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</si>
  <si>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</si>
  <si>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</si>
  <si>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</si>
  <si>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</si>
  <si>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</si>
  <si>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</si>
  <si>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</si>
  <si>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</si>
  <si>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</si>
  <si>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</si>
  <si>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</si>
  <si>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</si>
  <si>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</si>
  <si>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</si>
  <si>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</si>
  <si>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</si>
  <si>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</si>
  <si>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</si>
  <si>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</si>
  <si>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</si>
  <si>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</si>
  <si>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</si>
  <si>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</si>
  <si>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</si>
  <si>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</si>
  <si>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</si>
  <si>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</si>
  <si>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</si>
  <si>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</si>
  <si>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</si>
  <si>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</si>
  <si>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</si>
  <si>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</si>
  <si>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</si>
  <si>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</si>
  <si>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</si>
  <si>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</si>
  <si>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</si>
  <si>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</si>
  <si>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</si>
  <si>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</si>
  <si>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</si>
  <si>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</si>
  <si>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</si>
  <si>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</si>
  <si>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</si>
  <si>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</si>
  <si>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</si>
  <si>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</si>
  <si>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</si>
  <si>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</si>
  <si>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</si>
  <si>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</si>
  <si>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</si>
  <si>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</si>
  <si>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</si>
  <si>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</si>
  <si>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</si>
  <si>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</si>
  <si>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</si>
  <si>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</si>
  <si>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</si>
  <si>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</si>
  <si>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</si>
  <si>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</si>
  <si>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</si>
  <si>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</si>
  <si>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</si>
  <si>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</si>
  <si>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</si>
  <si>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</si>
  <si>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</si>
  <si>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</si>
  <si>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</si>
  <si>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</si>
  <si>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</si>
  <si>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</si>
  <si>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</si>
  <si>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</si>
  <si>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</si>
  <si>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</si>
  <si>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</si>
  <si>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</si>
  <si>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</si>
  <si>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</si>
  <si>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</si>
  <si>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</si>
  <si>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</si>
  <si>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</si>
  <si>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</si>
  <si>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</si>
  <si>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</si>
  <si>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</si>
  <si>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</si>
  <si>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</si>
  <si>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</si>
  <si>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</si>
  <si>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</si>
  <si>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</si>
  <si>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</si>
  <si>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</si>
  <si>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</si>
  <si>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</si>
  <si>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</si>
  <si>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</si>
  <si>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</si>
  <si>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</si>
  <si>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</si>
  <si>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</si>
  <si>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</si>
  <si>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</si>
  <si>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</si>
  <si>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</si>
  <si>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</si>
  <si>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</si>
  <si>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</si>
  <si>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</si>
  <si>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</si>
  <si>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</si>
  <si>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</si>
  <si>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</si>
  <si>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</si>
  <si>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</si>
  <si>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</si>
  <si>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</si>
  <si>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</si>
  <si>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</si>
  <si>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</si>
  <si>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</si>
  <si>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</si>
  <si>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</si>
  <si>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</si>
  <si>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</si>
  <si>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</si>
  <si>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</si>
  <si>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</si>
  <si>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</si>
  <si>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</si>
  <si>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</si>
  <si>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</si>
  <si>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</si>
  <si>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</si>
  <si>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</si>
  <si>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</si>
  <si>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</si>
  <si>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</si>
  <si>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</si>
  <si>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</si>
  <si>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</si>
  <si>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</si>
  <si>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</si>
  <si>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</si>
  <si>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</si>
  <si>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</si>
  <si>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</si>
  <si>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</si>
  <si>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</si>
  <si>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</si>
  <si>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</si>
  <si>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</si>
  <si>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</si>
  <si>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</si>
  <si>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</si>
  <si>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</si>
  <si>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</si>
  <si>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</si>
  <si>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</si>
  <si>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</si>
  <si>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</si>
  <si>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</si>
  <si>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</si>
  <si>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</si>
  <si>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</si>
  <si>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</si>
  <si>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</si>
  <si>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</si>
  <si>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</si>
  <si>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</si>
  <si>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</si>
  <si>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</si>
  <si>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</si>
  <si>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</si>
  <si>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</si>
  <si>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</si>
  <si>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</si>
  <si>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</si>
  <si>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</si>
  <si>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</si>
  <si>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</si>
  <si>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</si>
  <si>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</si>
  <si>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</si>
  <si>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</si>
  <si>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</si>
  <si>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</si>
  <si>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</si>
  <si>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</si>
  <si>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</si>
  <si>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</si>
  <si>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</si>
  <si>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</si>
  <si>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</si>
  <si>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</si>
  <si>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</si>
  <si>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</si>
  <si>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</si>
  <si>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</si>
  <si>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</si>
  <si>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</si>
  <si>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</si>
  <si>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</si>
  <si>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</si>
  <si>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</si>
  <si>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</si>
  <si>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</si>
  <si>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</si>
  <si>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</si>
  <si>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</si>
  <si>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</si>
  <si>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</si>
  <si>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</si>
  <si>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</si>
  <si>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</si>
  <si>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</si>
  <si>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</si>
  <si>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</si>
  <si>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</si>
  <si>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</si>
  <si>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</si>
  <si>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</si>
  <si>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</si>
  <si>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</si>
  <si>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</si>
  <si>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</si>
  <si>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</si>
  <si>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</si>
  <si>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</si>
  <si>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</si>
  <si>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</si>
  <si>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</si>
  <si>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</si>
  <si>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</si>
  <si>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</si>
  <si>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</si>
  <si>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</si>
  <si>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</si>
  <si>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</si>
  <si>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</si>
  <si>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</si>
  <si>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</si>
  <si>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</si>
  <si>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</si>
  <si>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</si>
  <si>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</si>
  <si>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</si>
  <si>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</si>
  <si>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</si>
  <si>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</si>
  <si>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</si>
  <si>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</si>
  <si>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</si>
  <si>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</si>
  <si>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</si>
  <si>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</si>
  <si>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</si>
  <si>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</si>
  <si>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</si>
  <si>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</si>
  <si>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</si>
  <si>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</si>
  <si>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</si>
  <si>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</si>
  <si>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</si>
  <si>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</si>
  <si>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</si>
  <si>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</si>
  <si>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</si>
  <si>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</si>
  <si>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</si>
  <si>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</si>
  <si>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</si>
  <si>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</si>
  <si>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</si>
  <si>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</si>
  <si>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</si>
  <si>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</si>
  <si>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</si>
  <si>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</si>
  <si>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</si>
  <si>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</si>
  <si>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</si>
  <si>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</si>
  <si>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</si>
  <si>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</si>
  <si>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</si>
  <si>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</si>
  <si>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</si>
  <si>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</si>
  <si>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</si>
  <si>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</si>
  <si>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</si>
  <si>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</si>
  <si>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</si>
  <si>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</si>
  <si>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</si>
  <si>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</si>
  <si>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</si>
  <si>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</si>
  <si>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</si>
  <si>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</si>
  <si>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</si>
  <si>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</si>
  <si>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</si>
  <si>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</si>
  <si>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</si>
  <si>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</si>
  <si>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</si>
  <si>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</si>
  <si>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</si>
  <si>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</si>
  <si>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</si>
  <si>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</si>
  <si>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</si>
  <si>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</si>
  <si>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</si>
  <si>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</si>
  <si>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</si>
  <si>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</si>
  <si>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</si>
  <si>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</si>
  <si>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</si>
  <si>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</si>
  <si>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</si>
  <si>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</si>
  <si>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</si>
  <si>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</si>
  <si>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</si>
  <si>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</si>
  <si>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</si>
  <si>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</si>
  <si>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</si>
  <si>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</si>
  <si>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</si>
  <si>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</si>
  <si>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</si>
  <si>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</si>
  <si>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</si>
  <si>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</si>
  <si>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</si>
  <si>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</si>
  <si>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</si>
  <si>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</si>
  <si>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</si>
  <si>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</si>
  <si>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</si>
  <si>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</si>
  <si>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</si>
  <si>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</si>
  <si>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</si>
  <si>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</si>
  <si>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</si>
  <si>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</si>
  <si>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</si>
  <si>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</si>
  <si>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</si>
  <si>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</si>
  <si>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</si>
  <si>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</si>
  <si>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</si>
  <si>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</si>
  <si>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</si>
  <si>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</si>
  <si>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</si>
  <si>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</si>
  <si>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</si>
  <si>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</si>
  <si>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</si>
  <si>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</si>
  <si>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</si>
  <si>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</si>
  <si>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</si>
  <si>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</si>
  <si>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</si>
  <si>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</si>
  <si>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</si>
  <si>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</si>
  <si>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</si>
  <si>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</si>
  <si>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</si>
  <si>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</si>
  <si>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</si>
  <si>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</si>
  <si>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</si>
  <si>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</si>
  <si>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</si>
  <si>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</si>
  <si>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</si>
  <si>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</si>
  <si>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</si>
  <si>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</si>
  <si>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</si>
  <si>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</si>
  <si>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</si>
  <si>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</si>
  <si>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</si>
  <si>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</si>
  <si>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</si>
  <si>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</si>
  <si>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</si>
  <si>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</si>
  <si>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</si>
  <si>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</si>
  <si>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</si>
  <si>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</si>
  <si>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</si>
  <si>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</si>
  <si>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</si>
  <si>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</si>
  <si>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</si>
  <si>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</si>
  <si>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</si>
  <si>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</si>
  <si>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</si>
  <si>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</si>
  <si>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</si>
  <si>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</si>
  <si>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</si>
  <si>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</si>
  <si>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</si>
  <si>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</si>
  <si>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</si>
  <si>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</si>
  <si>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</si>
  <si>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</si>
  <si>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</si>
  <si>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</si>
  <si>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</si>
  <si>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</si>
  <si>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</si>
  <si>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</si>
  <si>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</si>
  <si>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</si>
  <si>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</si>
  <si>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</si>
  <si>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</si>
  <si>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</si>
  <si>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</si>
  <si>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</si>
  <si>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</si>
  <si>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</si>
  <si>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</si>
  <si>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</si>
  <si>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</si>
  <si>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</si>
  <si>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</si>
  <si>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</si>
  <si>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</si>
  <si>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</si>
  <si>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</si>
  <si>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</si>
  <si>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</si>
  <si>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</si>
  <si>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</si>
  <si>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</si>
  <si>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</si>
  <si>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</si>
  <si>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</si>
  <si>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</si>
  <si>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</si>
  <si>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</si>
  <si>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</si>
  <si>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</si>
  <si>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</si>
  <si>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</si>
  <si>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</si>
  <si>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</si>
  <si>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</si>
  <si>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</si>
  <si>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</si>
  <si>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</si>
  <si>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</si>
  <si>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</si>
  <si>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</si>
  <si>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</si>
  <si>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</si>
  <si>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</si>
  <si>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</si>
  <si>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</si>
  <si>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</si>
  <si>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</si>
  <si>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</si>
  <si>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</si>
  <si>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</si>
  <si>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</si>
  <si>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</si>
  <si>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</si>
  <si>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</si>
  <si>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</si>
  <si>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</si>
  <si>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</si>
  <si>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</si>
  <si>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</si>
  <si>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</si>
  <si>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</si>
  <si>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</si>
  <si>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</si>
  <si>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</si>
  <si>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</si>
  <si>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</si>
  <si>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</si>
  <si>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</si>
  <si>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</si>
  <si>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</si>
  <si>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</si>
  <si>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</si>
  <si>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</si>
  <si>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</si>
  <si>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</si>
  <si>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</si>
  <si>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</si>
  <si>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</si>
  <si>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</si>
  <si>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</si>
  <si>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</si>
  <si>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</si>
  <si>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</si>
  <si>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</si>
  <si>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</si>
  <si>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</si>
  <si>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</si>
  <si>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</si>
  <si>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</si>
  <si>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</si>
  <si>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</si>
  <si>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</si>
  <si>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</si>
  <si>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</si>
  <si>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</si>
  <si>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</si>
  <si>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</si>
  <si>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</si>
  <si>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</si>
  <si>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</si>
  <si>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</si>
  <si>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</si>
  <si>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</si>
  <si>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</si>
  <si>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</si>
  <si>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</si>
  <si>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</si>
  <si>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</si>
  <si>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</si>
  <si>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</si>
  <si>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</si>
  <si>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</si>
  <si>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</si>
  <si>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</si>
  <si>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</si>
  <si>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</si>
  <si>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</si>
  <si>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</si>
  <si>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</si>
  <si>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</si>
  <si>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</si>
  <si>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</si>
  <si>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</si>
  <si>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</si>
  <si>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</si>
  <si>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</si>
  <si>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</si>
  <si>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</si>
  <si>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</si>
  <si>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</si>
  <si>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</si>
  <si>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</si>
  <si>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</si>
  <si>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</si>
  <si>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</si>
  <si>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</si>
  <si>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</si>
  <si>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</si>
  <si>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</si>
  <si>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</si>
  <si>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</si>
  <si>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</si>
  <si>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</si>
  <si>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</si>
  <si>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</si>
  <si>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</si>
  <si>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</si>
  <si>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</si>
  <si>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</si>
  <si>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</si>
  <si>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</si>
  <si>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</si>
  <si>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</si>
  <si>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</si>
  <si>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</si>
  <si>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</si>
  <si>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</si>
  <si>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</si>
  <si>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</si>
  <si>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</si>
  <si>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</si>
  <si>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</si>
  <si>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</si>
  <si>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</si>
  <si>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</si>
  <si>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</si>
  <si>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</si>
  <si>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</si>
  <si>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</si>
  <si>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</si>
  <si>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</si>
  <si>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</si>
  <si>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</si>
  <si>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</si>
  <si>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</si>
  <si>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</si>
  <si>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</si>
  <si>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</si>
  <si>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</si>
  <si>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</si>
  <si>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</si>
  <si>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</si>
  <si>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</si>
  <si>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</si>
  <si>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</si>
  <si>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</si>
  <si>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</si>
  <si>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</si>
  <si>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</si>
  <si>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</si>
  <si>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</si>
  <si>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</si>
  <si>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</si>
  <si>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</si>
  <si>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</si>
  <si>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</si>
  <si>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</si>
  <si>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</si>
  <si>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</si>
  <si>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</si>
  <si>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</si>
  <si>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</si>
  <si>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</si>
  <si>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</si>
  <si>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</si>
  <si>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</si>
  <si>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</si>
  <si>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</si>
  <si>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</si>
  <si>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</si>
  <si>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</si>
  <si>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</si>
  <si>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</si>
  <si>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</si>
  <si>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</si>
  <si>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</si>
  <si>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</si>
  <si>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</si>
  <si>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</si>
  <si>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</si>
  <si>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</si>
  <si>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</si>
  <si>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</si>
  <si>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</si>
  <si>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</si>
  <si>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</si>
  <si>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</si>
  <si>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</si>
  <si>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</si>
  <si>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</si>
  <si>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</si>
  <si>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</si>
  <si>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</si>
  <si>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</si>
  <si>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</si>
  <si>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</si>
  <si>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</si>
  <si>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</si>
  <si>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</si>
  <si>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</si>
  <si>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</si>
  <si>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</si>
  <si>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</si>
  <si>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</si>
  <si>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</si>
  <si>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</si>
  <si>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</si>
  <si>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</si>
  <si>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</si>
  <si>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</si>
  <si>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</si>
  <si>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</si>
  <si>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</si>
  <si>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</si>
  <si>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</si>
  <si>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</si>
  <si>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</si>
  <si>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</si>
  <si>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</si>
  <si>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</si>
  <si>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</si>
  <si>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</si>
  <si>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</si>
  <si>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</si>
  <si>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</si>
  <si>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</si>
  <si>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</si>
  <si>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</si>
  <si>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</si>
  <si>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</si>
  <si>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</si>
  <si>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</si>
  <si>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</si>
  <si>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</si>
  <si>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</si>
  <si>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</si>
  <si>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</si>
  <si>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</si>
  <si>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</si>
  <si>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</si>
  <si>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</si>
  <si>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</si>
  <si>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</si>
  <si>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</si>
  <si>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</si>
  <si>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</si>
  <si>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</si>
  <si>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</si>
  <si>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</si>
  <si>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</si>
  <si>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</si>
  <si>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</si>
  <si>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</si>
  <si>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</si>
  <si>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</si>
  <si>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</si>
  <si>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</si>
  <si>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</si>
  <si>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</si>
  <si>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</si>
  <si>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</si>
  <si>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</si>
  <si>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</si>
  <si>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</si>
  <si>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</si>
  <si>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</si>
  <si>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</si>
  <si>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</si>
  <si>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</si>
  <si>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</si>
  <si>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</si>
  <si>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</si>
  <si>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</si>
  <si>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</si>
  <si>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</si>
  <si>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</si>
  <si>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</si>
  <si>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</si>
  <si>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</si>
  <si>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</si>
  <si>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</si>
  <si>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</si>
  <si>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</si>
  <si>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</si>
  <si>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</si>
  <si>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</si>
  <si>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</si>
  <si>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</si>
  <si>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</si>
  <si>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</si>
  <si>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</si>
  <si>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</si>
  <si>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</si>
  <si>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</si>
  <si>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</si>
  <si>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</si>
  <si>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</si>
  <si>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</si>
  <si>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</si>
  <si>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</si>
  <si>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</si>
  <si>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</si>
  <si>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</si>
  <si>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</si>
  <si>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</si>
  <si>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</si>
  <si>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</si>
  <si>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</si>
  <si>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</si>
  <si>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</si>
  <si>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</si>
  <si>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</si>
  <si>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</si>
  <si>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</si>
  <si>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</si>
  <si>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</si>
  <si>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</si>
  <si>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</si>
  <si>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</si>
  <si>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</si>
  <si>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</si>
  <si>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</si>
  <si>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</si>
  <si>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</si>
  <si>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</si>
  <si>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</si>
  <si>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</si>
  <si>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</si>
  <si>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</si>
  <si>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</si>
  <si>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</si>
  <si>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</si>
  <si>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</si>
  <si>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</si>
  <si>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</si>
  <si>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</si>
  <si>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</si>
  <si>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</si>
  <si>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</si>
  <si>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</si>
  <si>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</si>
  <si>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</si>
  <si>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</si>
  <si>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</si>
  <si>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</si>
  <si>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</si>
  <si>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</si>
  <si>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</si>
  <si>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</si>
  <si>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</si>
  <si>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</si>
  <si>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</si>
  <si>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</si>
  <si>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</si>
  <si>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</si>
  <si>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</si>
  <si>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</si>
  <si>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</si>
  <si>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</si>
  <si>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</si>
  <si>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</si>
  <si>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</si>
  <si>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</si>
  <si>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</si>
  <si>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</si>
  <si>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</si>
  <si>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</si>
  <si>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</si>
  <si>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</si>
  <si>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</si>
  <si>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</si>
  <si>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</si>
  <si>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</si>
  <si>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</si>
  <si>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</si>
  <si>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</si>
  <si>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</si>
  <si>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</si>
  <si>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</si>
  <si>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</si>
  <si>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</si>
  <si>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</si>
  <si>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</si>
  <si>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</si>
  <si>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</si>
  <si>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</si>
  <si>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</si>
  <si>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</si>
  <si>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</si>
  <si>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</si>
  <si>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</si>
  <si>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</si>
  <si>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</si>
  <si>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</si>
  <si>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</si>
  <si>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</si>
  <si>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</si>
  <si>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</si>
  <si>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</si>
  <si>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</si>
  <si>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</si>
  <si>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</si>
  <si>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</si>
  <si>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</si>
  <si>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</si>
  <si>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</si>
  <si>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</si>
  <si>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</si>
  <si>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</si>
  <si>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</si>
  <si>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</si>
  <si>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</si>
  <si>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</si>
  <si>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</si>
  <si>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</si>
  <si>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</si>
  <si>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</si>
  <si>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</si>
  <si>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</si>
  <si>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</si>
  <si>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</si>
  <si>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</si>
  <si>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</si>
  <si>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</si>
  <si>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</si>
  <si>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</si>
  <si>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</si>
  <si>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</si>
  <si>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</si>
  <si>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</si>
  <si>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</si>
  <si>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</si>
  <si>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</si>
  <si>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</si>
  <si>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</si>
  <si>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</si>
  <si>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</si>
  <si>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</si>
  <si>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</si>
  <si>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</si>
  <si>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</si>
  <si>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</si>
  <si>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</si>
  <si>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</si>
  <si>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</si>
  <si>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</si>
  <si>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</si>
  <si>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</si>
  <si>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</si>
  <si>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</si>
  <si>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</si>
  <si>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</si>
  <si>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</si>
  <si>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</si>
  <si>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</si>
  <si>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</si>
  <si>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</si>
  <si>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</si>
  <si>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</si>
  <si>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</si>
  <si>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</si>
  <si>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</si>
  <si>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</si>
  <si>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</si>
  <si>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</si>
  <si>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</si>
  <si>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</si>
  <si>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</si>
  <si>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</si>
  <si>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</si>
  <si>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</si>
  <si>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</si>
  <si>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</si>
  <si>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</si>
  <si>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</si>
  <si>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</si>
  <si>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</si>
  <si>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</si>
  <si>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</si>
  <si>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</si>
  <si>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</si>
  <si>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</si>
  <si>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</si>
  <si>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</si>
  <si>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</si>
  <si>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</si>
  <si>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</si>
  <si>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</si>
  <si>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</si>
  <si>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</si>
  <si>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</si>
  <si>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</si>
  <si>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</si>
  <si>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</si>
  <si>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</si>
  <si>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</si>
  <si>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</si>
  <si>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</si>
  <si>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</si>
  <si>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</si>
  <si>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</si>
  <si>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</si>
  <si>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</si>
  <si>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</si>
  <si>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</si>
  <si>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</si>
  <si>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</si>
  <si>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</si>
  <si>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</si>
  <si>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</si>
  <si>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</si>
  <si>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</si>
  <si>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</si>
  <si>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</si>
  <si>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</si>
  <si>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</si>
  <si>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</si>
  <si>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</si>
  <si>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</si>
  <si>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</si>
  <si>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</si>
  <si>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</si>
  <si>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</si>
  <si>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</si>
  <si>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</si>
  <si>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</si>
  <si>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</si>
  <si>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</si>
  <si>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</si>
  <si>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</si>
  <si>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</si>
  <si>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</si>
  <si>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</si>
  <si>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</si>
  <si>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</si>
  <si>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</si>
  <si>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</si>
  <si>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</si>
  <si>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</si>
  <si>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</si>
  <si>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</si>
  <si>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</si>
  <si>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</si>
  <si>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</si>
  <si>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</si>
  <si>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</si>
  <si>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</si>
  <si>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</si>
  <si>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</si>
  <si>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</si>
  <si>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</si>
  <si>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</si>
  <si>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</si>
  <si>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</si>
  <si>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</si>
  <si>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</si>
  <si>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</si>
  <si>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</si>
  <si>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</si>
  <si>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</si>
  <si>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</si>
  <si>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</si>
  <si>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</si>
  <si>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</si>
  <si>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</si>
  <si>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</si>
  <si>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</si>
  <si>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</si>
  <si>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</si>
  <si>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</si>
  <si>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</si>
  <si>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</si>
  <si>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</si>
  <si>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</si>
  <si>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</si>
  <si>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</si>
  <si>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</si>
  <si>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</si>
  <si>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</si>
  <si>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</si>
  <si>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</si>
  <si>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</si>
  <si>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</si>
  <si>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</si>
  <si>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</si>
  <si>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</si>
  <si>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</si>
  <si>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</si>
  <si>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</si>
  <si>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</si>
  <si>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</si>
  <si>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</si>
  <si>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</si>
  <si>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</si>
  <si>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</si>
  <si>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</si>
  <si>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</si>
  <si>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</si>
  <si>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</si>
  <si>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</si>
  <si>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</si>
  <si>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</si>
  <si>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</si>
  <si>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</si>
  <si>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</si>
  <si>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</si>
  <si>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</si>
  <si>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</si>
  <si>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</si>
  <si>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</si>
  <si>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</si>
  <si>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</si>
  <si>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</si>
  <si>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</si>
  <si>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</si>
  <si>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</si>
  <si>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</si>
  <si>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</si>
  <si>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</si>
  <si>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</si>
  <si>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</si>
  <si>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</si>
  <si>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</si>
  <si>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</si>
  <si>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</si>
  <si>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</si>
  <si>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</si>
  <si>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</si>
  <si>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</si>
  <si>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</si>
  <si>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</si>
  <si>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</si>
  <si>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</si>
  <si>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</si>
  <si>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</si>
  <si>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</si>
  <si>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</si>
  <si>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</si>
  <si>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</si>
  <si>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</si>
  <si>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</si>
  <si>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</si>
  <si>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</si>
  <si>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</si>
  <si>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</si>
  <si>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</si>
  <si>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</si>
  <si>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</si>
  <si>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</si>
  <si>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</si>
  <si>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</si>
  <si>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</si>
  <si>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</si>
  <si>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</si>
  <si>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</si>
  <si>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</si>
  <si>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</si>
  <si>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</si>
  <si>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</si>
  <si>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</si>
  <si>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</si>
  <si>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</si>
  <si>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</si>
  <si>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</si>
  <si>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</si>
  <si>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</si>
  <si>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</si>
  <si>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</si>
  <si>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</si>
  <si>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</si>
  <si>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</si>
  <si>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</si>
  <si>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</si>
  <si>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</si>
  <si>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</si>
  <si>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</si>
  <si>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</si>
  <si>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</si>
  <si>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</si>
  <si>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</si>
  <si>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</si>
  <si>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</si>
  <si>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</si>
  <si>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</si>
  <si>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</si>
  <si>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</si>
  <si>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</si>
  <si>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</si>
  <si>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</si>
  <si>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</si>
  <si>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</si>
  <si>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</si>
  <si>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</si>
  <si>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</si>
  <si>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</si>
  <si>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</si>
  <si>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</si>
  <si>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</si>
  <si>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</si>
  <si>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</si>
  <si>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</si>
  <si>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</si>
  <si>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</si>
  <si>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</si>
  <si>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</si>
  <si>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</si>
  <si>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</si>
  <si>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</si>
  <si>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</si>
  <si>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</si>
  <si>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</si>
  <si>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</si>
  <si>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</si>
  <si>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</si>
  <si>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</si>
  <si>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</si>
  <si>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</si>
  <si>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</si>
  <si>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</si>
  <si>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</si>
  <si>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</si>
  <si>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</si>
  <si>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</si>
  <si>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</si>
  <si>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</si>
  <si>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</si>
  <si>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</si>
  <si>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</si>
  <si>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</si>
  <si>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</si>
  <si>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</si>
  <si>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</si>
  <si>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</si>
  <si>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</si>
  <si>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</si>
  <si>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</si>
  <si>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</si>
  <si>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</si>
  <si>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</si>
  <si>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</si>
  <si>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</si>
  <si>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</si>
  <si>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</si>
  <si>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</si>
  <si>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</si>
  <si>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</si>
  <si>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</si>
  <si>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</si>
  <si>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</si>
  <si>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</si>
  <si>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</si>
  <si>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</si>
  <si>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</si>
  <si>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</si>
  <si>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</si>
  <si>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</si>
  <si>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</si>
  <si>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</si>
  <si>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</si>
  <si>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</si>
  <si>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</si>
  <si>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</si>
  <si>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</si>
  <si>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</si>
  <si>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</si>
  <si>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</si>
  <si>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</si>
  <si>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</si>
  <si>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</si>
  <si>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</si>
  <si>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</si>
  <si>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</si>
  <si>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</si>
  <si>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</si>
  <si>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</si>
  <si>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</si>
  <si>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</si>
  <si>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</si>
  <si>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</si>
  <si>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</si>
  <si>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</si>
  <si>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</si>
  <si>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</si>
  <si>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</si>
  <si>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</si>
  <si>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</si>
  <si>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</si>
  <si>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</si>
  <si>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</si>
  <si>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</si>
  <si>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</si>
  <si>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</si>
  <si>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</si>
  <si>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</si>
  <si>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</si>
  <si>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</si>
  <si>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</si>
  <si>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</si>
  <si>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</si>
  <si>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</si>
  <si>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</si>
  <si>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</si>
  <si>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</si>
  <si>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</si>
  <si>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</si>
  <si>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</si>
  <si>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</si>
  <si>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</si>
  <si>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</si>
  <si>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</si>
  <si>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</si>
  <si>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</si>
  <si>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</si>
  <si>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</si>
  <si>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</si>
  <si>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</si>
  <si>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</si>
  <si>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</si>
  <si>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</si>
  <si>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</si>
  <si>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</si>
  <si>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</si>
  <si>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</si>
  <si>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</si>
  <si>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</si>
  <si>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</si>
  <si>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</si>
  <si>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</si>
  <si>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</si>
  <si>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</si>
  <si>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</si>
  <si>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</si>
  <si>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</si>
  <si>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</si>
  <si>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</si>
  <si>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</si>
  <si>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</si>
  <si>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</si>
  <si>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</si>
  <si>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</si>
  <si>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</si>
  <si>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</si>
  <si>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</si>
  <si>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</si>
  <si>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</si>
  <si>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</si>
  <si>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</si>
  <si>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</si>
  <si>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</si>
  <si>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</si>
  <si>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</si>
  <si>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</si>
  <si>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</si>
  <si>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</si>
  <si>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</si>
  <si>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</si>
  <si>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</si>
  <si>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</si>
  <si>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</si>
  <si>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</si>
  <si>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</si>
  <si>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</si>
  <si>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</si>
  <si>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</si>
  <si>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</si>
  <si>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</si>
  <si>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</si>
  <si>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</si>
  <si>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</si>
  <si>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</si>
  <si>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</si>
  <si>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</si>
  <si>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</si>
  <si>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</si>
  <si>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</si>
  <si>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</si>
  <si>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</si>
  <si>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</si>
  <si>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</si>
  <si>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</si>
  <si>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</si>
  <si>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</si>
  <si>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</si>
  <si>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</si>
  <si>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</si>
  <si>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</si>
  <si>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</si>
  <si>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</si>
  <si>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</si>
  <si>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</si>
  <si>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</si>
  <si>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</si>
  <si>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</si>
  <si>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</si>
  <si>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</si>
  <si>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</si>
  <si>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</si>
  <si>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</si>
  <si>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</si>
  <si>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</si>
  <si>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</si>
  <si>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</si>
  <si>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</si>
  <si>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</si>
  <si>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</si>
  <si>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</si>
  <si>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</si>
  <si>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</si>
  <si>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</si>
  <si>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</si>
  <si>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</si>
  <si>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</si>
  <si>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</si>
  <si>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</si>
  <si>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</si>
  <si>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</si>
  <si>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</si>
  <si>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</si>
  <si>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</si>
  <si>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</si>
  <si>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</si>
  <si>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</si>
  <si>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</si>
  <si>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</si>
  <si>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</si>
  <si>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</si>
  <si>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</si>
  <si>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</si>
  <si>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</si>
  <si>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</si>
  <si>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</si>
  <si>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</si>
  <si>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</si>
  <si>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</si>
  <si>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</si>
  <si>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</si>
  <si>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</si>
  <si>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</si>
  <si>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</si>
  <si>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</si>
  <si>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</si>
  <si>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</si>
  <si>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</si>
  <si>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</si>
  <si>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</si>
  <si>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</si>
  <si>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</si>
  <si>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</si>
  <si>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</si>
  <si>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</si>
  <si>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</si>
  <si>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</si>
  <si>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</si>
  <si>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</si>
  <si>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</si>
  <si>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</si>
  <si>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</si>
  <si>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</si>
  <si>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</si>
  <si>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</si>
  <si>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</si>
  <si>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</si>
  <si>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</si>
  <si>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</si>
  <si>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</si>
  <si>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</si>
  <si>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</si>
  <si>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</si>
  <si>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</si>
  <si>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</si>
  <si>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</si>
  <si>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</si>
  <si>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</si>
  <si>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</si>
  <si>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</si>
  <si>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</si>
  <si>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</si>
  <si>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</si>
  <si>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</si>
  <si>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</si>
  <si>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</si>
  <si>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</si>
  <si>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</si>
  <si>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</si>
  <si>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</si>
  <si>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</si>
  <si>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</si>
  <si>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</si>
  <si>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</si>
  <si>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</si>
  <si>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</si>
  <si>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</si>
  <si>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</si>
  <si>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</si>
  <si>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</si>
  <si>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</si>
  <si>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</si>
  <si>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</si>
  <si>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</si>
  <si>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</si>
  <si>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</si>
  <si>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</si>
  <si>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</si>
  <si>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</si>
  <si>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</si>
  <si>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</si>
  <si>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</si>
  <si>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</si>
  <si>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</si>
  <si>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</si>
  <si>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</si>
  <si>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</si>
  <si>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</si>
  <si>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</si>
  <si>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</si>
  <si>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</si>
  <si>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</si>
  <si>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</si>
  <si>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</si>
  <si>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</si>
  <si>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</si>
  <si>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</si>
  <si>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</si>
  <si>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</si>
  <si>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</si>
  <si>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</si>
  <si>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</si>
  <si>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</si>
  <si>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</si>
  <si>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</si>
  <si>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</si>
  <si>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</si>
  <si>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</si>
  <si>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</si>
  <si>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</si>
  <si>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</si>
  <si>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</si>
  <si>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</si>
  <si>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</si>
  <si>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</si>
  <si>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</si>
  <si>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</si>
  <si>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</si>
  <si>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</si>
  <si>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</si>
  <si>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</si>
  <si>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</si>
  <si>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</si>
  <si>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</si>
  <si>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</si>
  <si>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</si>
  <si>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</si>
  <si>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</si>
  <si>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</si>
  <si>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</si>
  <si>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</si>
  <si>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</si>
  <si>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</si>
  <si>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</si>
  <si>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</si>
  <si>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</si>
  <si>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</si>
  <si>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</si>
  <si>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</si>
  <si>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</si>
  <si>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</si>
  <si>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</si>
  <si>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</si>
  <si>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</si>
  <si>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</si>
  <si>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</si>
  <si>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</si>
  <si>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</si>
  <si>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</si>
  <si>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</si>
  <si>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</si>
  <si>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</si>
  <si>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</si>
  <si>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</si>
  <si>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</si>
  <si>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</si>
  <si>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</si>
  <si>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</si>
  <si>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</si>
  <si>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</si>
  <si>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</si>
  <si>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</si>
  <si>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</si>
  <si>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</si>
  <si>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</si>
  <si>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</si>
  <si>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</si>
  <si>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</si>
  <si>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</si>
  <si>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</si>
  <si>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</si>
  <si>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</si>
  <si>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</si>
  <si>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</si>
  <si>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</si>
  <si>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</si>
  <si>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</si>
  <si>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</si>
  <si>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</si>
  <si>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</si>
  <si>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</si>
  <si>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</si>
  <si>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</si>
  <si>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</si>
  <si>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</si>
  <si>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</si>
  <si>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</si>
  <si>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</si>
  <si>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</si>
  <si>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</si>
  <si>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</si>
  <si>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</si>
  <si>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</si>
  <si>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</si>
  <si>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</si>
  <si>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</si>
  <si>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</si>
  <si>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</si>
  <si>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</si>
  <si>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</si>
  <si>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</si>
  <si>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</si>
  <si>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</si>
  <si>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</si>
  <si>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</si>
  <si>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</si>
  <si>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</si>
  <si>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</si>
  <si>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</si>
  <si>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</si>
  <si>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</si>
  <si>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</si>
  <si>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</si>
  <si>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</si>
  <si>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</si>
  <si>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</si>
  <si>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</si>
  <si>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</si>
  <si>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</si>
  <si>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</si>
  <si>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</si>
  <si>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</si>
  <si>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</si>
  <si>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</si>
  <si>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</si>
  <si>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</si>
  <si>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</si>
  <si>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</si>
  <si>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</si>
  <si>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</si>
  <si>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</si>
  <si>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</si>
  <si>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</si>
  <si>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</si>
  <si>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</si>
  <si>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</si>
  <si>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</si>
  <si>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</si>
  <si>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</si>
  <si>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</si>
  <si>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</si>
  <si>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</si>
  <si>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</si>
  <si>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</si>
  <si>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</si>
  <si>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</si>
  <si>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</si>
  <si>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</si>
  <si>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</si>
  <si>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</si>
  <si>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</si>
  <si>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</si>
  <si>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</si>
  <si>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</si>
  <si>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</si>
  <si>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</si>
  <si>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</si>
  <si>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</si>
  <si>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</si>
  <si>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</si>
  <si>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</si>
  <si>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</si>
  <si>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</si>
  <si>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</si>
  <si>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</si>
  <si>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</si>
  <si>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</si>
  <si>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</si>
  <si>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</si>
  <si>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</si>
  <si>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</si>
  <si>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</si>
  <si>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</si>
  <si>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</si>
  <si>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</si>
  <si>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</si>
  <si>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</si>
  <si>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</si>
  <si>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</si>
  <si>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</si>
  <si>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</si>
  <si>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</si>
  <si>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</si>
  <si>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</si>
  <si>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</si>
  <si>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</si>
  <si>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</si>
  <si>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</si>
  <si>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</si>
  <si>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</si>
  <si>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</si>
  <si>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</si>
  <si>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</si>
  <si>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</si>
  <si>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</si>
  <si>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</si>
  <si>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</si>
  <si>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</si>
  <si>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</si>
  <si>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</si>
  <si>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</si>
  <si>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</si>
  <si>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</si>
  <si>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</si>
  <si>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</si>
  <si>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</si>
  <si>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</si>
  <si>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</si>
  <si>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</si>
  <si>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</si>
  <si>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</si>
  <si>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</si>
  <si>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</si>
  <si>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</si>
  <si>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</si>
  <si>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</si>
  <si>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</si>
  <si>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</si>
  <si>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</si>
  <si>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</si>
  <si>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</si>
  <si>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</si>
  <si>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</si>
  <si>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</si>
  <si>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</si>
  <si>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</si>
  <si>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</si>
  <si>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</si>
  <si>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</si>
  <si>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</si>
  <si>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</si>
  <si>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</si>
  <si>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</si>
  <si>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</si>
  <si>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</si>
  <si>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</si>
  <si>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</si>
  <si>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</si>
  <si>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</si>
  <si>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</si>
  <si>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</si>
  <si>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</si>
  <si>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</si>
  <si>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</si>
  <si>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</si>
  <si>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</si>
  <si>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</si>
  <si>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</si>
  <si>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</si>
  <si>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</si>
  <si>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</si>
  <si>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</si>
  <si>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</si>
  <si>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</si>
  <si>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</si>
  <si>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</si>
  <si>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</si>
  <si>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</si>
  <si>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</si>
  <si>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</si>
  <si>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</si>
  <si>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</si>
  <si>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</si>
  <si>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</si>
  <si>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100 North Amos Avenue</t>
  </si>
  <si>
    <t>Springfield</t>
  </si>
  <si>
    <t>IL</t>
  </si>
  <si>
    <t>(217) 787-0563</t>
  </si>
  <si>
    <t>(217) 787-9266</t>
  </si>
  <si>
    <t>060-004845</t>
  </si>
  <si>
    <t>x</t>
  </si>
  <si>
    <t>Sangamon</t>
  </si>
  <si>
    <t>315 West Church Street</t>
  </si>
  <si>
    <t>Pleasant Plains</t>
  </si>
  <si>
    <t>dfitzgerald@p-dcpas.com</t>
  </si>
  <si>
    <t>Matt Runge, Superintendent</t>
  </si>
  <si>
    <t>mrunge@ppcusd8.org</t>
  </si>
  <si>
    <t>(217) 626-1041</t>
  </si>
  <si>
    <t>(217) 626-1082</t>
  </si>
  <si>
    <t>Dorinda L Fitzgerald</t>
  </si>
  <si>
    <t>Series 2012</t>
  </si>
  <si>
    <t>2011 Debt Cerificates</t>
  </si>
  <si>
    <t>Sangamon Area Special Education District</t>
  </si>
  <si>
    <t>Capital Area Career Center</t>
  </si>
  <si>
    <t>Series 2019A</t>
  </si>
  <si>
    <t>Series 2019B</t>
  </si>
  <si>
    <t>Education Fund - Acct 190 - Due from Employees</t>
  </si>
  <si>
    <t>Education Fund - Acct 1690 - Vendor/Catering Receipts</t>
  </si>
  <si>
    <t>Education Fund - Acct 1829 - Student Parking Fees</t>
  </si>
  <si>
    <t xml:space="preserve">Education Fund - Acct 1993 - Daycare Fees </t>
  </si>
  <si>
    <t>Education Fund - Acct 1999 - Misc Rebates/Refunds</t>
  </si>
  <si>
    <t>Transportation Fund - Acct 1999 - Insurance Claim Proceeds</t>
  </si>
  <si>
    <t>Education Fund - Acct 3999 - State Library Per Capita Grant $924,  Dept of Human Services Daycare Program $6,127</t>
  </si>
  <si>
    <t>Operations &amp; Maintenance Fund - Function 4190, Object 600 - Refund 1% Sales Tax Paid to District in Error $8,128, RE Taxes $1,187</t>
  </si>
  <si>
    <t>Long-Term Debt - Other Difference Series 2012 - Defeased Bond Amount $1,285,000 Recorded in Acct 8990.  Balance in Acct 8990 are Bond Costs</t>
  </si>
  <si>
    <t>Restricted Tax Levies/Selected Revenues - Other Restricted Drivers Education Receipts - Behind the Wheel Services Provided to Other Districts</t>
  </si>
  <si>
    <t>Operations &amp; Maintenance Fund - Acct 1999 - Insurance Claim Proceeds $14,656,  Misc Refunds $38</t>
  </si>
  <si>
    <t>Debt Service Fund - Function 5400, Object 600 - Bank Service Fees on Bond Payments</t>
  </si>
  <si>
    <t>Education Fund - Acct 4190, Object 600 - Refund Early Childhood Block Grant funds back to ISBE</t>
  </si>
  <si>
    <t>Part C, 23 - Other than cash, the Auditor's Report is qualified due to the District not maintaining a formal record system to track fixed assets accounted for in the General Fixed Asset Account Group.</t>
  </si>
  <si>
    <t>Other Changes to Fund Balances - Prior period adjustment to correct cost basis of investments - See Note #20</t>
  </si>
  <si>
    <t>ED - Food Service - Supplies</t>
  </si>
  <si>
    <t>10-2560-400</t>
  </si>
  <si>
    <t>Gordon Food Service</t>
  </si>
  <si>
    <t>Springfield Pepsi Bottling</t>
  </si>
  <si>
    <t>Prairie Farms Dairy, Inc</t>
  </si>
  <si>
    <t xml:space="preserve">Pehlman and Dold, P.C.                 </t>
  </si>
  <si>
    <t>Pehlman and Dold, P.C.</t>
  </si>
  <si>
    <t>PDF in Opinion Page with Signature</t>
  </si>
  <si>
    <t xml:space="preserve">Pleasant Plains CUSD 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</si>
</sst>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1981200</xdr:colOff>
          <xdr:row>4</xdr:row>
          <xdr:rowOff>38100</xdr:rowOff>
        </xdr:from>
        <xdr:to>
          <xdr:col>1</xdr:col>
          <xdr:colOff>2895600</xdr:colOff>
          <xdr:row>8</xdr:row>
          <xdr:rowOff>76200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2" t="s">
        <v>405</v>
      </c>
      <c r="J1" s="1983"/>
      <c r="K1" s="1983"/>
      <c r="L1" s="1983"/>
      <c r="M1" s="1983"/>
      <c r="N1" s="1983"/>
      <c r="O1" s="1983"/>
      <c r="P1" s="1983"/>
      <c r="Q1" s="1983"/>
      <c r="R1" s="1983"/>
      <c r="S1" s="1983"/>
    </row>
    <row r="2" spans="1:28" ht="12" customHeight="1" x14ac:dyDescent="0.2">
      <c r="A2" s="47" t="s">
        <v>1993</v>
      </c>
      <c r="D2" s="48"/>
      <c r="I2" s="1984" t="s">
        <v>979</v>
      </c>
      <c r="J2" s="1983"/>
      <c r="K2" s="1983"/>
      <c r="L2" s="1983"/>
      <c r="M2" s="1983"/>
      <c r="N2" s="1983"/>
      <c r="O2" s="1983"/>
      <c r="P2" s="1983"/>
      <c r="Q2" s="1983"/>
      <c r="R2" s="1983"/>
      <c r="S2" s="1983"/>
    </row>
    <row r="3" spans="1:28" ht="12" customHeight="1" x14ac:dyDescent="0.2">
      <c r="A3" s="155" t="s">
        <v>1945</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2070</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2070</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51084008026</v>
      </c>
      <c r="B13" s="2018"/>
      <c r="C13" s="2018"/>
      <c r="D13" s="2018"/>
      <c r="E13" s="2018"/>
      <c r="F13" s="2018"/>
      <c r="G13" s="2018"/>
      <c r="H13" s="2019"/>
      <c r="I13" s="31"/>
      <c r="J13" s="30"/>
      <c r="K13" s="28"/>
      <c r="L13" s="30"/>
      <c r="M13" s="30"/>
      <c r="N13" s="30"/>
      <c r="O13" s="30"/>
      <c r="P13" s="30"/>
      <c r="Q13" s="30"/>
      <c r="R13" s="30"/>
      <c r="S13" s="30"/>
      <c r="T13" s="2022" t="s">
        <v>2106</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2071</v>
      </c>
      <c r="B15" s="2020"/>
      <c r="C15" s="2020"/>
      <c r="D15" s="2020"/>
      <c r="E15" s="2020"/>
      <c r="F15" s="2020"/>
      <c r="G15" s="2020"/>
      <c r="H15" s="2021"/>
      <c r="T15" s="2026" t="s">
        <v>2079</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2109</v>
      </c>
      <c r="B17" s="1977"/>
      <c r="C17" s="1977"/>
      <c r="D17" s="1977"/>
      <c r="E17" s="1977"/>
      <c r="F17" s="1977"/>
      <c r="G17" s="1977"/>
      <c r="H17" s="2002"/>
      <c r="T17" s="2033" t="s">
        <v>2064</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2072</v>
      </c>
      <c r="B19" s="1962"/>
      <c r="C19" s="1962"/>
      <c r="D19" s="1962"/>
      <c r="E19" s="1962"/>
      <c r="F19" s="1962"/>
      <c r="G19" s="1962"/>
      <c r="H19" s="1942"/>
      <c r="I19" s="30"/>
      <c r="J19" s="99"/>
      <c r="K19" s="40"/>
      <c r="L19" s="38"/>
      <c r="M19" s="112" t="s">
        <v>315</v>
      </c>
      <c r="P19" s="27"/>
      <c r="Q19" s="27"/>
      <c r="R19" s="27"/>
      <c r="S19" s="31"/>
      <c r="T19" s="2016" t="s">
        <v>2065</v>
      </c>
      <c r="U19" s="1941"/>
      <c r="V19" s="1941"/>
      <c r="W19" s="1942"/>
      <c r="X19" s="2031" t="s">
        <v>2066</v>
      </c>
      <c r="Y19" s="2032"/>
      <c r="Z19" s="2029">
        <v>62702</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2073</v>
      </c>
      <c r="B21" s="1941"/>
      <c r="C21" s="1941"/>
      <c r="D21" s="1941"/>
      <c r="E21" s="1941"/>
      <c r="F21" s="1941"/>
      <c r="G21" s="1941"/>
      <c r="H21" s="1942"/>
      <c r="I21" s="1996" t="s">
        <v>678</v>
      </c>
      <c r="J21" s="1991"/>
      <c r="K21" s="1991"/>
      <c r="L21" s="1991"/>
      <c r="M21" s="1991"/>
      <c r="N21" s="1991"/>
      <c r="O21" s="1991"/>
      <c r="P21" s="1991"/>
      <c r="Q21" s="1991"/>
      <c r="R21" s="1991"/>
      <c r="S21" s="1997"/>
      <c r="T21" s="2040" t="s">
        <v>2067</v>
      </c>
      <c r="U21" s="2041"/>
      <c r="V21" s="2041"/>
      <c r="W21" s="2041"/>
      <c r="X21" s="2046" t="s">
        <v>2068</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c r="B23" s="1994"/>
      <c r="C23" s="1994"/>
      <c r="D23" s="1994"/>
      <c r="E23" s="1994"/>
      <c r="F23" s="1994"/>
      <c r="G23" s="1994"/>
      <c r="H23" s="1995"/>
      <c r="T23" s="1976" t="s">
        <v>2069</v>
      </c>
      <c r="U23" s="2039"/>
      <c r="V23" s="2039"/>
      <c r="W23" s="2039"/>
      <c r="X23" s="2043">
        <v>43831</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62677</v>
      </c>
      <c r="B25" s="1941"/>
      <c r="C25" s="1941"/>
      <c r="D25" s="1941"/>
      <c r="E25" s="1941"/>
      <c r="F25" s="1941"/>
      <c r="G25" s="1941"/>
      <c r="H25" s="1942"/>
      <c r="I25" s="113"/>
      <c r="J25" s="1965"/>
      <c r="K25" s="1965"/>
      <c r="L25" s="1965"/>
      <c r="M25" s="1965"/>
      <c r="N25" s="1965"/>
      <c r="O25" s="1965"/>
      <c r="P25" s="1965"/>
      <c r="Q25" s="1965"/>
      <c r="R25" s="1965"/>
      <c r="S25" s="1966"/>
      <c r="T25" s="2036" t="s">
        <v>2074</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2070</v>
      </c>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2075</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2076</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2077</v>
      </c>
      <c r="B42" s="1960"/>
      <c r="C42" s="1961"/>
      <c r="D42" s="1959" t="s">
        <v>2078</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18" sqref="A1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1951</v>
      </c>
      <c r="C2" s="714" t="s">
        <v>1952</v>
      </c>
      <c r="D2" s="714" t="s">
        <v>1953</v>
      </c>
      <c r="E2" s="714" t="s">
        <v>1954</v>
      </c>
      <c r="F2" s="714" t="s">
        <v>1955</v>
      </c>
    </row>
    <row r="3" spans="1:6" ht="12" customHeight="1" x14ac:dyDescent="0.2">
      <c r="A3" s="2183"/>
      <c r="B3" s="1525"/>
      <c r="C3" s="1526"/>
      <c r="D3" s="1527" t="s">
        <v>256</v>
      </c>
      <c r="E3" s="1526"/>
      <c r="F3" s="1527" t="s">
        <v>257</v>
      </c>
    </row>
    <row r="4" spans="1:6" ht="13.7" customHeight="1" x14ac:dyDescent="0.2">
      <c r="A4" s="715" t="s">
        <v>1155</v>
      </c>
      <c r="B4" s="1749">
        <f>'Revenues 9-14'!C5</f>
        <v>5986422</v>
      </c>
      <c r="C4" s="1524">
        <v>2648971</v>
      </c>
      <c r="D4" s="1752">
        <f>B4-C4</f>
        <v>3337451</v>
      </c>
      <c r="E4" s="1524">
        <v>7455303</v>
      </c>
      <c r="F4" s="1752">
        <f>E4-C4</f>
        <v>4806332</v>
      </c>
    </row>
    <row r="5" spans="1:6" ht="13.7" customHeight="1" x14ac:dyDescent="0.2">
      <c r="A5" s="715" t="s">
        <v>870</v>
      </c>
      <c r="B5" s="1750">
        <f>'Revenues 9-14'!D5</f>
        <v>1198905</v>
      </c>
      <c r="C5" s="585">
        <v>500826</v>
      </c>
      <c r="D5" s="1753">
        <f t="shared" ref="D5:D18" si="0">B5-C5</f>
        <v>698079</v>
      </c>
      <c r="E5" s="585">
        <v>1409531</v>
      </c>
      <c r="F5" s="1753">
        <f>E5-C5</f>
        <v>908705</v>
      </c>
    </row>
    <row r="6" spans="1:6" ht="13.7" customHeight="1" x14ac:dyDescent="0.2">
      <c r="A6" s="715" t="s">
        <v>411</v>
      </c>
      <c r="B6" s="1750">
        <f>'Revenues 9-14'!E5</f>
        <v>670869</v>
      </c>
      <c r="C6" s="585">
        <v>291860</v>
      </c>
      <c r="D6" s="1753">
        <f t="shared" si="0"/>
        <v>379009</v>
      </c>
      <c r="E6" s="585">
        <v>921414</v>
      </c>
      <c r="F6" s="1753">
        <f t="shared" ref="F6:F18" si="1">E6-C6</f>
        <v>629554</v>
      </c>
    </row>
    <row r="7" spans="1:6" ht="13.7" customHeight="1" x14ac:dyDescent="0.2">
      <c r="A7" s="715" t="s">
        <v>155</v>
      </c>
      <c r="B7" s="1750">
        <f>'Revenues 9-14'!F5</f>
        <v>424352</v>
      </c>
      <c r="C7" s="585">
        <v>177710</v>
      </c>
      <c r="D7" s="1753">
        <f t="shared" si="0"/>
        <v>246642</v>
      </c>
      <c r="E7" s="585">
        <v>500149</v>
      </c>
      <c r="F7" s="1753">
        <f t="shared" si="1"/>
        <v>322439</v>
      </c>
    </row>
    <row r="8" spans="1:6" ht="13.7" customHeight="1" x14ac:dyDescent="0.2">
      <c r="A8" s="715" t="s">
        <v>1179</v>
      </c>
      <c r="B8" s="1750">
        <f>'Revenues 9-14'!G5</f>
        <v>44017</v>
      </c>
      <c r="C8" s="585">
        <v>17803</v>
      </c>
      <c r="D8" s="1753">
        <f t="shared" si="0"/>
        <v>26214</v>
      </c>
      <c r="E8" s="585">
        <v>50106</v>
      </c>
      <c r="F8" s="1753">
        <f t="shared" si="1"/>
        <v>32303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45628</v>
      </c>
      <c r="C10" s="585">
        <v>19414</v>
      </c>
      <c r="D10" s="1753">
        <f t="shared" si="0"/>
        <v>26214</v>
      </c>
      <c r="E10" s="585">
        <v>54640</v>
      </c>
      <c r="F10" s="1753">
        <f t="shared" si="1"/>
        <v>35226</v>
      </c>
    </row>
    <row r="11" spans="1:6" x14ac:dyDescent="0.2">
      <c r="A11" s="715" t="s">
        <v>409</v>
      </c>
      <c r="B11" s="1750">
        <f>'Revenues 9-14'!J5</f>
        <v>713054</v>
      </c>
      <c r="C11" s="585">
        <v>287590</v>
      </c>
      <c r="D11" s="1753">
        <f t="shared" si="0"/>
        <v>425464</v>
      </c>
      <c r="E11" s="585">
        <v>809398</v>
      </c>
      <c r="F11" s="1753">
        <f t="shared" si="1"/>
        <v>521808</v>
      </c>
    </row>
    <row r="12" spans="1:6" ht="13.7" customHeight="1" x14ac:dyDescent="0.2">
      <c r="A12" s="715" t="s">
        <v>157</v>
      </c>
      <c r="B12" s="1750">
        <f>'Revenues 9-14'!K5</f>
        <v>117758</v>
      </c>
      <c r="C12" s="585">
        <v>50107</v>
      </c>
      <c r="D12" s="1753">
        <f t="shared" si="0"/>
        <v>67651</v>
      </c>
      <c r="E12" s="585">
        <v>141021</v>
      </c>
      <c r="F12" s="1753">
        <f t="shared" si="1"/>
        <v>90914</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83516</v>
      </c>
      <c r="C14" s="585">
        <v>35526</v>
      </c>
      <c r="D14" s="1753">
        <f t="shared" si="0"/>
        <v>47990</v>
      </c>
      <c r="E14" s="585">
        <v>99984</v>
      </c>
      <c r="F14" s="1753">
        <f t="shared" si="1"/>
        <v>64458</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222941</v>
      </c>
      <c r="C16" s="585">
        <v>92077</v>
      </c>
      <c r="D16" s="1753">
        <f t="shared" si="0"/>
        <v>130864</v>
      </c>
      <c r="E16" s="585">
        <v>259143</v>
      </c>
      <c r="F16" s="1753">
        <f t="shared" si="1"/>
        <v>167066</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9507462</v>
      </c>
      <c r="C19" s="1751">
        <f>SUM(C4:C18)</f>
        <v>4121884</v>
      </c>
      <c r="D19" s="1751">
        <f>SUM(D4:D18)</f>
        <v>5385578</v>
      </c>
      <c r="E19" s="1751">
        <f>SUM(E4:E18)</f>
        <v>11700689</v>
      </c>
      <c r="F19" s="1751">
        <f>SUM(F4:F18)</f>
        <v>7578805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A18" sqref="A1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1956</v>
      </c>
      <c r="D2" s="723" t="s">
        <v>1957</v>
      </c>
      <c r="E2" s="723" t="s">
        <v>1958</v>
      </c>
      <c r="F2" s="1884" t="s">
        <v>1959</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2080</v>
      </c>
      <c r="B31" s="733">
        <v>40983</v>
      </c>
      <c r="C31" s="734">
        <v>3465000</v>
      </c>
      <c r="D31" s="735">
        <v>3</v>
      </c>
      <c r="E31" s="734">
        <v>3165000</v>
      </c>
      <c r="F31" s="734"/>
      <c r="G31" s="734">
        <v>-1285000</v>
      </c>
      <c r="H31" s="734">
        <v>725000</v>
      </c>
      <c r="I31" s="1756">
        <f>((E31+F31)-H31)+G31</f>
        <v>1155000</v>
      </c>
      <c r="J31" s="734">
        <v>1155000</v>
      </c>
      <c r="K31" s="736"/>
    </row>
    <row r="32" spans="1:11" ht="12" customHeight="1" x14ac:dyDescent="0.2">
      <c r="A32" s="732" t="s">
        <v>2081</v>
      </c>
      <c r="B32" s="733">
        <v>40598</v>
      </c>
      <c r="C32" s="734">
        <v>2000000</v>
      </c>
      <c r="D32" s="735">
        <v>6</v>
      </c>
      <c r="E32" s="734">
        <v>835000</v>
      </c>
      <c r="F32" s="734"/>
      <c r="G32" s="734"/>
      <c r="H32" s="734">
        <v>195000</v>
      </c>
      <c r="I32" s="1756">
        <f>((E32+F32)-H32)+G32</f>
        <v>640000</v>
      </c>
      <c r="J32" s="734">
        <v>640000</v>
      </c>
      <c r="K32" s="736"/>
    </row>
    <row r="33" spans="1:11" ht="12" customHeight="1" x14ac:dyDescent="0.2">
      <c r="A33" s="732" t="s">
        <v>2084</v>
      </c>
      <c r="B33" s="733">
        <v>43522</v>
      </c>
      <c r="C33" s="734">
        <v>3000000</v>
      </c>
      <c r="D33" s="735">
        <v>1</v>
      </c>
      <c r="E33" s="734"/>
      <c r="F33" s="734">
        <v>3000000</v>
      </c>
      <c r="G33" s="734"/>
      <c r="H33" s="734"/>
      <c r="I33" s="1756">
        <f t="shared" ref="I33:I48" si="1">((E33+F33)-H33)+G33</f>
        <v>3000000</v>
      </c>
      <c r="J33" s="734">
        <v>3000000</v>
      </c>
      <c r="K33" s="736"/>
    </row>
    <row r="34" spans="1:11" ht="12" customHeight="1" x14ac:dyDescent="0.2">
      <c r="A34" s="732" t="s">
        <v>2085</v>
      </c>
      <c r="B34" s="733">
        <v>43522</v>
      </c>
      <c r="C34" s="734">
        <v>1170000</v>
      </c>
      <c r="D34" s="735">
        <v>3</v>
      </c>
      <c r="E34" s="734"/>
      <c r="F34" s="734">
        <v>1170000</v>
      </c>
      <c r="G34" s="734"/>
      <c r="H34" s="734"/>
      <c r="I34" s="1756">
        <f t="shared" si="1"/>
        <v>1170000</v>
      </c>
      <c r="J34" s="734">
        <v>1170000</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9635000</v>
      </c>
      <c r="D49" s="745"/>
      <c r="E49" s="1756">
        <f t="shared" ref="E49:J49" si="2">SUM(E31:E48)</f>
        <v>4000000</v>
      </c>
      <c r="F49" s="1756">
        <f t="shared" si="2"/>
        <v>4170000</v>
      </c>
      <c r="G49" s="1756">
        <f t="shared" si="2"/>
        <v>-1285000</v>
      </c>
      <c r="H49" s="1756">
        <f t="shared" si="2"/>
        <v>920000</v>
      </c>
      <c r="I49" s="1756">
        <f t="shared" si="2"/>
        <v>5965000</v>
      </c>
      <c r="J49" s="1756">
        <f t="shared" si="2"/>
        <v>5965000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7" colorId="8" zoomScale="110" zoomScaleNormal="110" workbookViewId="0">
      <selection activeCell="A18" sqref="A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1964</v>
      </c>
      <c r="B3" s="2236"/>
      <c r="C3" s="2236"/>
      <c r="D3" s="2236"/>
      <c r="E3" s="2237"/>
      <c r="F3" s="763"/>
      <c r="G3" s="764"/>
      <c r="H3" s="764">
        <v>0</v>
      </c>
      <c r="I3" s="764"/>
      <c r="J3" s="765">
        <v>-1378</v>
      </c>
      <c r="K3" s="765">
        <v>0</v>
      </c>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83516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1378</v>
      </c>
      <c r="K8" s="769"/>
    </row>
    <row r="9" spans="1:11" x14ac:dyDescent="0.2">
      <c r="A9" s="778" t="s">
        <v>138</v>
      </c>
      <c r="B9" s="779"/>
      <c r="C9" s="779"/>
      <c r="D9" s="779"/>
      <c r="E9" s="780"/>
      <c r="F9" s="777" t="s">
        <v>853</v>
      </c>
      <c r="G9" s="782"/>
      <c r="H9" s="771"/>
      <c r="I9" s="771"/>
      <c r="J9" s="781"/>
      <c r="K9" s="765">
        <v>25458</v>
      </c>
    </row>
    <row r="10" spans="1:11" x14ac:dyDescent="0.2">
      <c r="A10" s="2216" t="s">
        <v>1813</v>
      </c>
      <c r="B10" s="2217"/>
      <c r="C10" s="2217"/>
      <c r="D10" s="2217"/>
      <c r="E10" s="2219"/>
      <c r="F10" s="783" t="s">
        <v>862</v>
      </c>
      <c r="G10" s="782"/>
      <c r="H10" s="784"/>
      <c r="I10" s="764"/>
      <c r="J10" s="765"/>
      <c r="K10" s="765">
        <v>1750</v>
      </c>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83516</v>
      </c>
      <c r="I12" s="1758">
        <f>SUM(I5:I11)</f>
        <v>0</v>
      </c>
      <c r="J12" s="1758">
        <f>SUM(J5:J11)</f>
        <v>1378</v>
      </c>
      <c r="K12" s="1758">
        <f>SUM(K5:K11)</f>
        <v>27208</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83516</v>
      </c>
      <c r="I14" s="771"/>
      <c r="J14" s="773"/>
      <c r="K14" s="765">
        <v>27832</v>
      </c>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83516</v>
      </c>
      <c r="I23" s="1758">
        <f>SUM(I14:I16,I21,I22)</f>
        <v>0</v>
      </c>
      <c r="J23" s="1758">
        <f>SUM(J14:J16,J21,J22)</f>
        <v>0</v>
      </c>
      <c r="K23" s="1758">
        <f>SUM(K14:K16,K21,K22)</f>
        <v>27832</v>
      </c>
    </row>
    <row r="24" spans="1:11" ht="14.25" thickTop="1" thickBot="1" x14ac:dyDescent="0.25">
      <c r="A24" s="2247" t="s">
        <v>1965</v>
      </c>
      <c r="B24" s="2246"/>
      <c r="C24" s="2246"/>
      <c r="D24" s="2246"/>
      <c r="E24" s="2246"/>
      <c r="F24" s="1762"/>
      <c r="G24" s="1763">
        <f>SUM(G3,G12)-G23</f>
        <v>0</v>
      </c>
      <c r="H24" s="1763">
        <f>SUM(H3,H12)-H23</f>
        <v>0</v>
      </c>
      <c r="I24" s="1763">
        <f>SUM(I3,I12)-I23</f>
        <v>0</v>
      </c>
      <c r="J24" s="1763">
        <f>SUM(J3,J12)-J23</f>
        <v>0</v>
      </c>
      <c r="K24" s="1763">
        <f>SUM(K3,K12)-K23</f>
        <v>-624</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-624</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8" sqref="A1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6"/>
      <c r="E1" s="827"/>
      <c r="F1" s="827"/>
      <c r="G1" s="828"/>
      <c r="H1" s="829"/>
      <c r="I1" s="830"/>
      <c r="J1" s="2250"/>
      <c r="K1" s="2251"/>
      <c r="L1" s="225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767974</v>
      </c>
      <c r="D5" s="841"/>
      <c r="E5" s="841"/>
      <c r="F5" s="1760">
        <f>(C5+D5)-E5</f>
        <v>767974</v>
      </c>
      <c r="G5" s="837"/>
      <c r="H5" s="842"/>
      <c r="I5" s="842"/>
      <c r="J5" s="842"/>
      <c r="K5" s="793"/>
      <c r="L5" s="1769">
        <f>F5-K5</f>
        <v>767974</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37986782</v>
      </c>
      <c r="D8" s="844">
        <v>127338</v>
      </c>
      <c r="E8" s="844"/>
      <c r="F8" s="1760">
        <f>(C8+D8)-E8</f>
        <v>38114120</v>
      </c>
      <c r="G8" s="843">
        <v>50</v>
      </c>
      <c r="H8" s="765">
        <v>11085878</v>
      </c>
      <c r="I8" s="765">
        <v>752726</v>
      </c>
      <c r="J8" s="765"/>
      <c r="K8" s="1769">
        <f>(H8+I8)-J8</f>
        <v>11838604</v>
      </c>
      <c r="L8" s="1769">
        <f>F8-K8</f>
        <v>26275516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835659</v>
      </c>
      <c r="D10" s="846"/>
      <c r="E10" s="846"/>
      <c r="F10" s="1764">
        <f>(C10+D10)-E10</f>
        <v>835659</v>
      </c>
      <c r="G10" s="843">
        <v>20</v>
      </c>
      <c r="H10" s="847">
        <v>527501</v>
      </c>
      <c r="I10" s="847">
        <v>38391</v>
      </c>
      <c r="J10" s="847"/>
      <c r="K10" s="1769">
        <f>(H10+I10)-J10</f>
        <v>565892</v>
      </c>
      <c r="L10" s="1769">
        <f>F10-K10</f>
        <v>269767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1289103</v>
      </c>
      <c r="D12" s="844">
        <v>170668</v>
      </c>
      <c r="E12" s="844">
        <v>94418</v>
      </c>
      <c r="F12" s="1760">
        <f>(C12+D12)-E12</f>
        <v>1365353</v>
      </c>
      <c r="G12" s="843">
        <v>10</v>
      </c>
      <c r="H12" s="765">
        <v>829247</v>
      </c>
      <c r="I12" s="765">
        <v>110214</v>
      </c>
      <c r="J12" s="765">
        <v>94418</v>
      </c>
      <c r="K12" s="1769">
        <f>(H12+I12)-J12</f>
        <v>845043</v>
      </c>
      <c r="L12" s="1769">
        <f>F12-K12</f>
        <v>520310</v>
      </c>
    </row>
    <row r="13" spans="1:14" ht="14.25" thickTop="1" thickBot="1" x14ac:dyDescent="0.25">
      <c r="A13" s="848" t="s">
        <v>1122</v>
      </c>
      <c r="B13" s="840">
        <v>252</v>
      </c>
      <c r="C13" s="844">
        <v>1918974</v>
      </c>
      <c r="D13" s="844">
        <v>396820</v>
      </c>
      <c r="E13" s="844">
        <v>554891</v>
      </c>
      <c r="F13" s="1760">
        <f>(C13+D13)-E13</f>
        <v>1760903</v>
      </c>
      <c r="G13" s="843">
        <v>5</v>
      </c>
      <c r="H13" s="765">
        <v>1498259</v>
      </c>
      <c r="I13" s="765">
        <v>265302</v>
      </c>
      <c r="J13" s="765">
        <v>554891</v>
      </c>
      <c r="K13" s="1769">
        <f>(H13+I13)-J13</f>
        <v>1208670</v>
      </c>
      <c r="L13" s="1769">
        <f>F13-K13</f>
        <v>552233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27664</v>
      </c>
      <c r="E15" s="844"/>
      <c r="F15" s="1760">
        <f>(C15+D15)-E15</f>
        <v>27664</v>
      </c>
      <c r="G15" s="849" t="s">
        <v>862</v>
      </c>
      <c r="H15" s="781"/>
      <c r="I15" s="781"/>
      <c r="J15" s="781"/>
      <c r="K15" s="781"/>
      <c r="L15" s="1769">
        <f>F15-K15</f>
        <v>27664</v>
      </c>
    </row>
    <row r="16" spans="1:14" ht="15" customHeight="1" thickTop="1" thickBot="1" x14ac:dyDescent="0.25">
      <c r="A16" s="1765" t="s">
        <v>643</v>
      </c>
      <c r="B16" s="1766">
        <v>200</v>
      </c>
      <c r="C16" s="1760">
        <f>SUM(C3,C5:C6,C8:C10,C12:C15)</f>
        <v>42798492</v>
      </c>
      <c r="D16" s="1760">
        <f>SUM(D3,D5:D6,D8:D10,D12:D15)</f>
        <v>722490</v>
      </c>
      <c r="E16" s="1760">
        <f>SUM(E3,E5:E6,E8:E10,E12:E15)</f>
        <v>649309</v>
      </c>
      <c r="F16" s="1760">
        <f>SUM(F3,F5:F6,F8:F10,F12:F15)</f>
        <v>42871673</v>
      </c>
      <c r="G16" s="843"/>
      <c r="H16" s="1760">
        <f>SUM(H3,H6,H8:H10,H12:H14,)</f>
        <v>13940885</v>
      </c>
      <c r="I16" s="1760">
        <f>SUM(I3,I6,I8:I10,I12:I14,)</f>
        <v>1166633</v>
      </c>
      <c r="J16" s="1760">
        <f>SUM(J3,J6,J8:J10,J12:J14,)</f>
        <v>649309</v>
      </c>
      <c r="K16" s="1760">
        <f>(H16+I16)-J16</f>
        <v>14458209</v>
      </c>
      <c r="L16" s="1760">
        <f>F16-K16</f>
        <v>28413464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1166633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0" activePane="bottomLeft" state="frozen"/>
      <selection activeCell="A18" sqref="A18"/>
      <selection pane="bottomLeft" activeCell="A18" sqref="A1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1975</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11041613</v>
      </c>
      <c r="G8" s="865"/>
    </row>
    <row r="9" spans="1:7" x14ac:dyDescent="0.2">
      <c r="A9" s="869" t="s">
        <v>460</v>
      </c>
      <c r="B9" s="870" t="s">
        <v>1877</v>
      </c>
      <c r="C9" s="871"/>
      <c r="D9" s="869" t="s">
        <v>501</v>
      </c>
      <c r="E9" s="868"/>
      <c r="F9" s="1909">
        <f>'Expenditures 15-22'!K151</f>
        <v>1388350</v>
      </c>
      <c r="G9" s="872"/>
    </row>
    <row r="10" spans="1:7" x14ac:dyDescent="0.2">
      <c r="A10" s="869" t="s">
        <v>499</v>
      </c>
      <c r="B10" s="870" t="s">
        <v>1878</v>
      </c>
      <c r="C10" s="871"/>
      <c r="D10" s="869" t="s">
        <v>501</v>
      </c>
      <c r="E10" s="868"/>
      <c r="F10" s="1909">
        <f>'Expenditures 15-22'!K174</f>
        <v>998381</v>
      </c>
      <c r="G10" s="872"/>
    </row>
    <row r="11" spans="1:7" x14ac:dyDescent="0.2">
      <c r="A11" s="869" t="s">
        <v>461</v>
      </c>
      <c r="B11" s="870" t="s">
        <v>1879</v>
      </c>
      <c r="C11" s="871"/>
      <c r="D11" s="869" t="s">
        <v>501</v>
      </c>
      <c r="E11" s="868"/>
      <c r="F11" s="1909">
        <f>'Expenditures 15-22'!K210</f>
        <v>1076689</v>
      </c>
      <c r="G11" s="872"/>
    </row>
    <row r="12" spans="1:7" x14ac:dyDescent="0.2">
      <c r="A12" s="869" t="s">
        <v>462</v>
      </c>
      <c r="B12" s="870" t="s">
        <v>1880</v>
      </c>
      <c r="C12" s="871"/>
      <c r="D12" s="869" t="s">
        <v>501</v>
      </c>
      <c r="E12" s="868"/>
      <c r="F12" s="1909">
        <f>'Expenditures 15-22'!K295</f>
        <v>427942</v>
      </c>
      <c r="G12" s="872"/>
    </row>
    <row r="13" spans="1:7" x14ac:dyDescent="0.2">
      <c r="A13" s="869" t="s">
        <v>106</v>
      </c>
      <c r="B13" s="870" t="s">
        <v>1881</v>
      </c>
      <c r="C13" s="871"/>
      <c r="D13" s="869" t="s">
        <v>501</v>
      </c>
      <c r="E13" s="868"/>
      <c r="F13" s="1909">
        <f>'Expenditures 15-22'!K342</f>
        <v>773832</v>
      </c>
      <c r="G13" s="873"/>
    </row>
    <row r="14" spans="1:7" ht="12" customHeight="1" thickBot="1" x14ac:dyDescent="0.25">
      <c r="A14" s="1770"/>
      <c r="B14" s="1771"/>
      <c r="C14" s="1772"/>
      <c r="D14" s="1773" t="s">
        <v>501</v>
      </c>
      <c r="E14" s="1774" t="s">
        <v>958</v>
      </c>
      <c r="F14" s="1775">
        <f>SUM(F8:F13)</f>
        <v>15706807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47065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353937</v>
      </c>
      <c r="G52" s="865"/>
    </row>
    <row r="53" spans="1:7" x14ac:dyDescent="0.2">
      <c r="A53" s="869" t="s">
        <v>459</v>
      </c>
      <c r="B53" s="869" t="s">
        <v>1475</v>
      </c>
      <c r="C53" s="889">
        <f>'Expenditures 15-22'!B102</f>
        <v>4000</v>
      </c>
      <c r="D53" s="888" t="str">
        <f>'Expenditures 15-22'!A102</f>
        <v>Total Payments to Other Govt Units</v>
      </c>
      <c r="E53" s="868"/>
      <c r="F53" s="1913">
        <f>'Expenditures 15-22'!K102</f>
        <v>650740</v>
      </c>
      <c r="G53" s="865"/>
    </row>
    <row r="54" spans="1:7" x14ac:dyDescent="0.2">
      <c r="A54" s="869" t="s">
        <v>459</v>
      </c>
      <c r="B54" s="869" t="s">
        <v>1476</v>
      </c>
      <c r="C54" s="889" t="s">
        <v>982</v>
      </c>
      <c r="D54" s="885" t="s">
        <v>1095</v>
      </c>
      <c r="E54" s="868"/>
      <c r="F54" s="1913">
        <f>'Expenditures 15-22'!G114</f>
        <v>62509</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9315</v>
      </c>
      <c r="G57" s="865"/>
    </row>
    <row r="58" spans="1:7" x14ac:dyDescent="0.2">
      <c r="A58" s="869" t="s">
        <v>460</v>
      </c>
      <c r="B58" s="869" t="s">
        <v>1883</v>
      </c>
      <c r="C58" s="886" t="s">
        <v>982</v>
      </c>
      <c r="D58" s="885" t="s">
        <v>1095</v>
      </c>
      <c r="E58" s="868"/>
      <c r="F58" s="1915">
        <f>'Expenditures 15-22'!G151</f>
        <v>254841</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920000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405140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528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19057</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2723132</v>
      </c>
      <c r="G76" s="865"/>
    </row>
    <row r="77" spans="1:8" s="893" customFormat="1" ht="12" customHeight="1" thickTop="1" thickBot="1" x14ac:dyDescent="0.25">
      <c r="A77" s="1779"/>
      <c r="B77" s="1776"/>
      <c r="C77" s="1772"/>
      <c r="D77" s="1777" t="s">
        <v>1900</v>
      </c>
      <c r="E77" s="1774"/>
      <c r="F77" s="1780">
        <f>(F14-F76)</f>
        <v>12983675</v>
      </c>
      <c r="G77" s="869"/>
    </row>
    <row r="78" spans="1:8" s="893" customFormat="1" ht="12" customHeight="1" thickTop="1" x14ac:dyDescent="0.2">
      <c r="A78" s="1781"/>
      <c r="B78" s="1776"/>
      <c r="C78" s="1772"/>
      <c r="D78" s="1777" t="s">
        <v>2062</v>
      </c>
      <c r="E78" s="1774"/>
      <c r="F78" s="898">
        <v>1272.53</v>
      </c>
      <c r="G78" s="899"/>
      <c r="H78" s="869"/>
    </row>
    <row r="79" spans="1:8" s="893" customFormat="1" ht="12" customHeight="1" thickBot="1" x14ac:dyDescent="0.25">
      <c r="A79" s="1782"/>
      <c r="B79" s="1776"/>
      <c r="C79" s="1772"/>
      <c r="D79" s="1777" t="s">
        <v>1901</v>
      </c>
      <c r="E79" s="1774" t="s">
        <v>958</v>
      </c>
      <c r="F79" s="1783">
        <f>IF(F78&gt;0,F77/F78," Complete Line 78")</f>
        <v>10203.040399833402</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45000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394485</v>
      </c>
      <c r="G94" s="912"/>
    </row>
    <row r="95" spans="1:7" x14ac:dyDescent="0.2">
      <c r="A95" s="908" t="s">
        <v>140</v>
      </c>
      <c r="B95" s="908" t="s">
        <v>175</v>
      </c>
      <c r="C95" s="910">
        <v>1700</v>
      </c>
      <c r="D95" s="918" t="str">
        <f>'Revenues 9-14'!A82</f>
        <v>Total District/School Activity Income</v>
      </c>
      <c r="E95" s="906"/>
      <c r="F95" s="1789">
        <f>SUM('Revenues 9-14'!C82,'Revenues 9-14'!D82)</f>
        <v>80093</v>
      </c>
      <c r="G95" s="912"/>
    </row>
    <row r="96" spans="1:7" x14ac:dyDescent="0.2">
      <c r="A96" s="908" t="s">
        <v>459</v>
      </c>
      <c r="B96" s="908" t="s">
        <v>176</v>
      </c>
      <c r="C96" s="910">
        <f>'Revenues 9-14'!B84</f>
        <v>1811</v>
      </c>
      <c r="D96" s="911" t="str">
        <f>'Revenues 9-14'!A84</f>
        <v>Rentals - Regular Textbooks</v>
      </c>
      <c r="E96" s="906"/>
      <c r="F96" s="1789">
        <f>'Revenues 9-14'!C84</f>
        <v>96617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6018</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76853</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1750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242231</v>
      </c>
      <c r="G104" s="912"/>
    </row>
    <row r="105" spans="1:7" x14ac:dyDescent="0.2">
      <c r="A105" s="908" t="s">
        <v>503</v>
      </c>
      <c r="B105" s="908" t="s">
        <v>2003</v>
      </c>
      <c r="C105" s="913">
        <v>3100</v>
      </c>
      <c r="D105" s="919" t="str">
        <f>'Revenues 9-14'!A132</f>
        <v>Total Special Education</v>
      </c>
      <c r="E105" s="906"/>
      <c r="F105" s="1789">
        <f>SUM('Revenues 9-14'!C132:D132,'Revenues 9-14'!F132)</f>
        <v>13802</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47188</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1262</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25458</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475114</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7051</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87302</v>
      </c>
      <c r="G125" s="930"/>
    </row>
    <row r="126" spans="1:7" x14ac:dyDescent="0.2">
      <c r="A126" s="927" t="s">
        <v>668</v>
      </c>
      <c r="B126" s="927" t="s">
        <v>2024</v>
      </c>
      <c r="C126" s="932">
        <v>4300</v>
      </c>
      <c r="D126" s="933" t="str">
        <f>'Revenues 9-14'!A204</f>
        <v>Total Title I</v>
      </c>
      <c r="E126" s="906"/>
      <c r="F126" s="1789">
        <f>SUM('Revenues 9-14'!C204,'Revenues 9-14'!D204,'Revenues 9-14'!F204,'Revenues 9-14'!G204)</f>
        <v>223982</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10135</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63593</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39053</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7305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28700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1972992</v>
      </c>
    </row>
    <row r="175" spans="1:7" ht="12" customHeight="1" x14ac:dyDescent="0.2">
      <c r="A175" s="1770"/>
      <c r="B175" s="1784"/>
      <c r="C175" s="1785"/>
      <c r="D175" s="1786" t="s">
        <v>2057</v>
      </c>
      <c r="E175" s="1787"/>
      <c r="F175" s="1789">
        <f>'PCTC-OEPP 27-28'!F77-F174</f>
        <v>11010683</v>
      </c>
    </row>
    <row r="176" spans="1:7" ht="12" customHeight="1" x14ac:dyDescent="0.2">
      <c r="A176" s="1770"/>
      <c r="B176" s="1784"/>
      <c r="C176" s="1785"/>
      <c r="D176" s="1786" t="s">
        <v>1817</v>
      </c>
      <c r="E176" s="1787"/>
      <c r="F176" s="1789">
        <f>'Cap Outlay Deprec 26'!I18</f>
        <v>1166633</v>
      </c>
    </row>
    <row r="177" spans="1:7" ht="12" customHeight="1" x14ac:dyDescent="0.2">
      <c r="A177" s="1770"/>
      <c r="B177" s="1784"/>
      <c r="C177" s="1785"/>
      <c r="D177" s="1786" t="s">
        <v>2058</v>
      </c>
      <c r="E177" s="1787"/>
      <c r="F177" s="1789">
        <f>F175+F176</f>
        <v>12177316</v>
      </c>
    </row>
    <row r="178" spans="1:7" ht="12" customHeight="1" x14ac:dyDescent="0.2">
      <c r="A178" s="1770"/>
      <c r="B178" s="1790"/>
      <c r="C178" s="1785"/>
      <c r="D178" s="1786" t="str">
        <f>D78</f>
        <v>9 Month ADA from District Average Daily Attendance/Prior General State Aid Inquiry 2018-2019</v>
      </c>
      <c r="E178" s="1787"/>
      <c r="F178" s="1791">
        <f>'PCTC-OEPP 27-28'!F78</f>
        <v>1272.53</v>
      </c>
      <c r="G178" s="930"/>
    </row>
    <row r="179" spans="1:7" ht="12" customHeight="1" thickBot="1" x14ac:dyDescent="0.25">
      <c r="A179" s="1770"/>
      <c r="B179" s="1790"/>
      <c r="C179" s="1785"/>
      <c r="D179" s="1786" t="s">
        <v>2059</v>
      </c>
      <c r="E179" s="1787" t="s">
        <v>1545</v>
      </c>
      <c r="F179" s="1792">
        <f>F177/F178</f>
        <v>9569.3743958885061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2"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1934</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1976</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2101</v>
      </c>
      <c r="B17" s="1938" t="s">
        <v>2102</v>
      </c>
      <c r="C17" s="1939" t="s">
        <v>2103</v>
      </c>
      <c r="D17" s="1844">
        <v>225496</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200496</v>
      </c>
      <c r="H17" s="1647"/>
    </row>
    <row r="18" spans="1:8" x14ac:dyDescent="0.25">
      <c r="A18" s="1937" t="s">
        <v>2101</v>
      </c>
      <c r="B18" s="1938" t="s">
        <v>2102</v>
      </c>
      <c r="C18" s="1939" t="s">
        <v>2104</v>
      </c>
      <c r="D18" s="1844">
        <v>32613</v>
      </c>
      <c r="E18" s="1540">
        <f t="shared" ref="E18:E140" si="2">IF(D18&lt;=25000,D18,IF(D18&gt;25000,25000,0))</f>
        <v>25000</v>
      </c>
      <c r="F18" s="1932">
        <f t="shared" si="1"/>
        <v>25000</v>
      </c>
      <c r="G18" s="1793">
        <f t="shared" ref="G18:G140" si="3">IF(F18=0,0,D18-F18)</f>
        <v>7613</v>
      </c>
    </row>
    <row r="19" spans="1:8" x14ac:dyDescent="0.25">
      <c r="A19" s="1937" t="s">
        <v>2101</v>
      </c>
      <c r="B19" s="1938" t="s">
        <v>2102</v>
      </c>
      <c r="C19" s="1939" t="s">
        <v>2105</v>
      </c>
      <c r="D19" s="1844">
        <v>36229</v>
      </c>
      <c r="E19" s="1540">
        <f t="shared" si="2"/>
        <v>25000</v>
      </c>
      <c r="F19" s="1932">
        <f t="shared" si="1"/>
        <v>25000</v>
      </c>
      <c r="G19" s="1793">
        <f t="shared" si="3"/>
        <v>11229</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294338</v>
      </c>
      <c r="E141" s="1541">
        <f t="shared" si="0"/>
        <v>25000</v>
      </c>
      <c r="F141" s="1933">
        <f>SUM(F17:F140)</f>
        <v>75000</v>
      </c>
      <c r="G141" s="1795">
        <f>SUM(G17:G140)</f>
        <v>219338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A18" sqref="A1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296522</v>
      </c>
      <c r="F10" s="974"/>
      <c r="G10" s="975"/>
      <c r="H10" s="162"/>
      <c r="I10" s="162"/>
    </row>
    <row r="11" spans="1:9" s="668" customFormat="1" ht="22.5" customHeight="1" x14ac:dyDescent="0.2">
      <c r="A11" s="2286" t="s">
        <v>1977</v>
      </c>
      <c r="B11" s="2287"/>
      <c r="C11" s="2287"/>
      <c r="D11" s="2288"/>
      <c r="E11" s="977">
        <v>33253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7669680</v>
      </c>
      <c r="F19" s="1799"/>
      <c r="G19" s="1801">
        <f>'Expenditures 15-22'!K33-SUM('Expenditures 15-22'!G33,'Expenditures 15-22'!I33)+'Expenditures 15-22'!D229</f>
        <v>7669680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316096</v>
      </c>
      <c r="F21" s="1802"/>
      <c r="G21" s="1805">
        <f>'Expenditures 15-22'!K42-SUM('Expenditures 15-22'!G42,'Expenditures 15-22'!I42)+'Expenditures 15-22'!K120-SUM('Expenditures 15-22'!G120,'Expenditures 15-22'!I120)+'Expenditures 15-22'!K180-SUM('Expenditures 15-22'!G180,'Expenditures 15-22'!I180)+'Expenditures 15-22'!D238</f>
        <v>316096</v>
      </c>
      <c r="H21" s="987"/>
      <c r="I21" s="162"/>
    </row>
    <row r="22" spans="1:9" s="668" customFormat="1" ht="12" customHeight="1" x14ac:dyDescent="0.2">
      <c r="A22" s="994" t="s">
        <v>564</v>
      </c>
      <c r="B22" s="995"/>
      <c r="C22" s="993">
        <v>2200</v>
      </c>
      <c r="D22" s="1802"/>
      <c r="E22" s="1804">
        <f>'Expenditures 15-22'!K47-SUM('Expenditures 15-22'!G47,'Expenditures 15-22'!I47)+'Expenditures 15-22'!D243</f>
        <v>192845</v>
      </c>
      <c r="F22" s="1802"/>
      <c r="G22" s="1805">
        <f>'Expenditures 15-22'!K47-SUM('Expenditures 15-22'!G47,'Expenditures 15-22'!I47)+'Expenditures 15-22'!D243</f>
        <v>192845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1039095</v>
      </c>
      <c r="F23" s="1802"/>
      <c r="G23" s="1804">
        <f>'Expenditures 15-22'!K53-SUM('Expenditures 15-22'!G53,'Expenditures 15-22'!I53)+'Expenditures 15-22'!D257+'Expenditures 15-22'!K330-SUM('Expenditures 15-22'!G330,'Expenditures 15-22'!I330)</f>
        <v>1039095</v>
      </c>
      <c r="H23" s="987"/>
      <c r="I23" s="162"/>
    </row>
    <row r="24" spans="1:9" s="668" customFormat="1" ht="12" customHeight="1" x14ac:dyDescent="0.2">
      <c r="A24" s="994" t="s">
        <v>566</v>
      </c>
      <c r="B24" s="995"/>
      <c r="C24" s="993">
        <v>2400</v>
      </c>
      <c r="D24" s="1802"/>
      <c r="E24" s="1804">
        <f>'Expenditures 15-22'!K57-SUM('Expenditures 15-22'!G57,'Expenditures 15-22'!I57)+'Expenditures 15-22'!D261</f>
        <v>682500</v>
      </c>
      <c r="F24" s="1802"/>
      <c r="G24" s="1805">
        <f>'Expenditures 15-22'!K57-SUM('Expenditures 15-22'!G57,'Expenditures 15-22'!I57)+'Expenditures 15-22'!D261</f>
        <v>682500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47059</v>
      </c>
      <c r="E26" s="1804">
        <f>'Expenditures 15-22'!K122-SUM('Expenditures 15-22'!G122,'Expenditures 15-22'!I122)+E7</f>
        <v>0</v>
      </c>
      <c r="F26" s="1804">
        <f>'Expenditures 15-22'!K59-SUM('Expenditures 15-22'!G59,'Expenditures 15-22'!I59)+'Expenditures 15-22'!D263-E7</f>
        <v>47059</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176958</v>
      </c>
      <c r="E27" s="1804">
        <f>E8</f>
        <v>0</v>
      </c>
      <c r="F27" s="1804">
        <f>'Expenditures 15-22'!K60-SUM('Expenditures 15-22'!G60,'Expenditures 15-22'!I60)+'Expenditures 15-22'!D264-E8</f>
        <v>176958</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1190515</v>
      </c>
      <c r="F28" s="1806">
        <f>'Expenditures 15-22'!K61-SUM('Expenditures 15-22'!G61,'Expenditures 15-22'!I61)+'Expenditures 15-22'!K124-SUM('Expenditures 15-22'!G124,'Expenditures 15-22'!I124)+'Expenditures 15-22'!D266-E9</f>
        <v>1190515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741277</v>
      </c>
      <c r="F29" s="1802"/>
      <c r="G29" s="1805">
        <f>'Expenditures 15-22'!K62-SUM('Expenditures 15-22'!G62,'Expenditures 15-22'!I62)+'Expenditures 15-22'!K125-SUM('Expenditures 15-22'!G125,'Expenditures 15-22'!I125)+'Expenditures 15-22'!K182-SUM('Expenditures 15-22'!G182,'Expenditures 15-22'!I182)+'Expenditures 15-22'!D267</f>
        <v>741277</v>
      </c>
      <c r="H29" s="985"/>
    </row>
    <row r="30" spans="1:9" ht="12" customHeight="1" x14ac:dyDescent="0.2">
      <c r="A30" s="994" t="s">
        <v>100</v>
      </c>
      <c r="B30" s="997"/>
      <c r="C30" s="993">
        <v>2560</v>
      </c>
      <c r="D30" s="1802"/>
      <c r="E30" s="1804">
        <f>'Expenditures 15-22'!K63-SUM('Expenditures 15-22'!G63,'Expenditures 15-22'!I63)+'Expenditures 15-22'!D268-E10</f>
        <v>281600</v>
      </c>
      <c r="F30" s="1802"/>
      <c r="G30" s="1804">
        <f>'Expenditures 15-22'!K63-SUM('Expenditures 15-22'!G63,'Expenditures 15-22'!I63)+'Expenditures 15-22'!D268-E10</f>
        <v>281600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318740</v>
      </c>
      <c r="E37" s="1804">
        <f>E14</f>
        <v>0</v>
      </c>
      <c r="F37" s="1804">
        <f>'Expenditures 15-22'!K71-SUM('Expenditures 15-22'!G71,'Expenditures 15-22'!I71)+'Expenditures 15-22'!D276-E14</f>
        <v>318740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372994</v>
      </c>
      <c r="F39" s="1802"/>
      <c r="G39" s="1804">
        <f>'Expenditures 15-22'!K75-SUM('Expenditures 15-22'!G75,'Expenditures 15-22'!I75)+'Expenditures 15-22'!K130-SUM('Expenditures 15-22'!G130,'Expenditures 15-22'!I130)+'Expenditures 15-22'!K185-SUM('Expenditures 15-22'!G185,'Expenditures 15-22'!I185)+'Expenditures 15-22'!D280</f>
        <v>372994</v>
      </c>
    </row>
    <row r="40" spans="1:7" ht="12" customHeight="1" x14ac:dyDescent="0.2">
      <c r="A40" s="990" t="s">
        <v>1823</v>
      </c>
      <c r="B40" s="991"/>
      <c r="C40" s="993"/>
      <c r="D40" s="1802"/>
      <c r="E40" s="1806">
        <f>-'Contracts Paid in CY 29'!G141</f>
        <v>-219338</v>
      </c>
      <c r="F40" s="1802"/>
      <c r="G40" s="1806">
        <f>-'Contracts Paid in CY 29'!G141</f>
        <v>-219338</v>
      </c>
    </row>
    <row r="41" spans="1:7" ht="12" customHeight="1" x14ac:dyDescent="0.2">
      <c r="A41" s="998" t="s">
        <v>156</v>
      </c>
      <c r="B41" s="999"/>
      <c r="C41" s="1000"/>
      <c r="D41" s="1806">
        <f>SUM(D19:D39)</f>
        <v>542757</v>
      </c>
      <c r="E41" s="1806">
        <f>SUM(E19:E40)</f>
        <v>12267264</v>
      </c>
      <c r="F41" s="1806">
        <f>SUM(F19:F39)</f>
        <v>1733272</v>
      </c>
      <c r="G41" s="1806">
        <f>SUM(G19:G40)</f>
        <v>11076749</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542757</v>
      </c>
      <c r="F43" s="1807" t="s">
        <v>473</v>
      </c>
      <c r="G43" s="1808">
        <f>F41</f>
        <v>1733272</v>
      </c>
    </row>
    <row r="44" spans="1:7" ht="12" customHeight="1" x14ac:dyDescent="0.2">
      <c r="A44" s="987"/>
      <c r="B44" s="162"/>
      <c r="C44" s="1001"/>
      <c r="D44" s="1807" t="s">
        <v>474</v>
      </c>
      <c r="E44" s="1808">
        <f>E41</f>
        <v>12267264</v>
      </c>
      <c r="F44" s="1807" t="s">
        <v>474</v>
      </c>
      <c r="G44" s="1808">
        <f>G41</f>
        <v>11076749</v>
      </c>
    </row>
    <row r="45" spans="1:7" ht="12" customHeight="1" x14ac:dyDescent="0.2">
      <c r="A45" s="987"/>
      <c r="B45" s="162"/>
      <c r="C45" s="162"/>
      <c r="D45" s="1809" t="s">
        <v>1006</v>
      </c>
      <c r="E45" s="1810">
        <f>(E43/E44)</f>
        <v>4.4244340058223253E-2</v>
      </c>
      <c r="F45" s="1809" t="s">
        <v>1006</v>
      </c>
      <c r="G45" s="1810">
        <f>(G43/G44)</f>
        <v>0.15647840354602238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8" activePane="bottomLeft" state="frozen"/>
      <selection activeCell="A18" sqref="A18"/>
      <selection pane="bottomLeft" activeCell="A18" sqref="A1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 xml:space="preserve">Pleasant Plains CUSD 8                    </v>
      </c>
      <c r="D6" s="2307"/>
      <c r="E6" s="2307"/>
      <c r="F6" s="1852"/>
    </row>
    <row r="7" spans="1:10" ht="11.25" customHeight="1" thickBot="1" x14ac:dyDescent="0.3">
      <c r="A7" s="1850"/>
      <c r="B7" s="1851"/>
      <c r="C7" s="2308">
        <f>COVER!A13</f>
        <v>51084008026</v>
      </c>
      <c r="D7" s="2308"/>
      <c r="E7" s="2308"/>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2070</v>
      </c>
      <c r="D26" s="1865" t="s">
        <v>2070</v>
      </c>
      <c r="E26" s="1868"/>
      <c r="F26" s="1867" t="s">
        <v>2082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2070</v>
      </c>
      <c r="D31" s="1865" t="s">
        <v>2070</v>
      </c>
      <c r="E31" s="1868"/>
      <c r="F31" s="1867" t="s">
        <v>2083</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A18" sqref="A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 xml:space="preserve">Pleasant Plains CUSD 8                    </v>
      </c>
      <c r="J6" s="2317"/>
      <c r="Q6" s="1664"/>
    </row>
    <row r="7" spans="1:17" x14ac:dyDescent="0.2">
      <c r="A7" s="2318" t="s">
        <v>869</v>
      </c>
      <c r="B7" s="2319"/>
      <c r="C7" s="2319"/>
      <c r="D7" s="2319"/>
      <c r="E7" s="2320"/>
      <c r="F7" s="1017"/>
      <c r="G7" s="1009"/>
      <c r="H7" s="1016" t="s">
        <v>372</v>
      </c>
      <c r="I7" s="2321">
        <f>COVER!A13</f>
        <v>51084008026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216621</v>
      </c>
      <c r="F12" s="1039"/>
      <c r="G12" s="1811">
        <f t="shared" ref="G12:G18" si="0">SUM(E12:F12)</f>
        <v>216621</v>
      </c>
      <c r="H12" s="1040">
        <v>230825</v>
      </c>
      <c r="I12" s="1039"/>
      <c r="J12" s="1811">
        <f t="shared" ref="J12:J18" si="1">SUM(H12:I12)</f>
        <v>230825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46426</v>
      </c>
      <c r="F15" s="1811">
        <f>'Expenditures 15-22'!K122</f>
        <v>0</v>
      </c>
      <c r="G15" s="1811">
        <f t="shared" si="0"/>
        <v>46426</v>
      </c>
      <c r="H15" s="1040">
        <v>35000</v>
      </c>
      <c r="I15" s="1040"/>
      <c r="J15" s="1811">
        <f t="shared" si="1"/>
        <v>35000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263047</v>
      </c>
      <c r="F19" s="1813">
        <f t="shared" si="2"/>
        <v>0</v>
      </c>
      <c r="G19" s="1813">
        <f t="shared" si="2"/>
        <v>263047</v>
      </c>
      <c r="H19" s="1813">
        <f t="shared" si="2"/>
        <v>265825</v>
      </c>
      <c r="I19" s="1813">
        <f t="shared" si="2"/>
        <v>0</v>
      </c>
      <c r="J19" s="1813">
        <f t="shared" si="2"/>
        <v>265825</v>
      </c>
    </row>
    <row r="20" spans="1:10" ht="13.5" thickTop="1" x14ac:dyDescent="0.2">
      <c r="A20" s="1035">
        <v>9</v>
      </c>
      <c r="B20" s="2328" t="s">
        <v>1981</v>
      </c>
      <c r="C20" s="2328"/>
      <c r="D20" s="2329"/>
      <c r="E20" s="1046"/>
      <c r="F20" s="1046"/>
      <c r="G20" s="1046"/>
      <c r="H20" s="1046"/>
      <c r="I20" s="1046"/>
      <c r="J20" s="1814">
        <f>IF(AND(G19&gt;0,J19&gt;0),(((J19-G19)/G19)),"Enter Budget Data")</f>
        <v>1.056085034233426E-2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1983</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A18" sqref="A1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2086</v>
      </c>
    </row>
    <row r="6" spans="1:2" x14ac:dyDescent="0.2">
      <c r="A6" s="1068">
        <v>2</v>
      </c>
      <c r="B6" s="329" t="s">
        <v>2087</v>
      </c>
    </row>
    <row r="7" spans="1:2" x14ac:dyDescent="0.2">
      <c r="A7" s="1068">
        <v>3</v>
      </c>
      <c r="B7" s="329" t="s">
        <v>2088</v>
      </c>
    </row>
    <row r="8" spans="1:2" x14ac:dyDescent="0.2">
      <c r="A8" s="1068">
        <v>4</v>
      </c>
      <c r="B8" s="329" t="s">
        <v>2089</v>
      </c>
    </row>
    <row r="9" spans="1:2" x14ac:dyDescent="0.2">
      <c r="A9" s="1068">
        <v>5</v>
      </c>
      <c r="B9" s="329" t="s">
        <v>2090</v>
      </c>
    </row>
    <row r="10" spans="1:2" x14ac:dyDescent="0.2">
      <c r="A10" s="1068">
        <v>6</v>
      </c>
      <c r="B10" s="329" t="s">
        <v>2096</v>
      </c>
    </row>
    <row r="11" spans="1:2" x14ac:dyDescent="0.2">
      <c r="A11" s="1068">
        <v>7</v>
      </c>
      <c r="B11" s="329" t="s">
        <v>2091</v>
      </c>
    </row>
    <row r="12" spans="1:2" x14ac:dyDescent="0.2">
      <c r="A12" s="1068">
        <v>8</v>
      </c>
      <c r="B12" s="329" t="s">
        <v>2092</v>
      </c>
    </row>
    <row r="13" spans="1:2" x14ac:dyDescent="0.2">
      <c r="A13" s="1068">
        <v>9</v>
      </c>
      <c r="B13" s="329" t="s">
        <v>2098</v>
      </c>
    </row>
    <row r="14" spans="1:2" x14ac:dyDescent="0.2">
      <c r="A14" s="1068">
        <v>10</v>
      </c>
      <c r="B14" s="329" t="s">
        <v>2093</v>
      </c>
    </row>
    <row r="15" spans="1:2" x14ac:dyDescent="0.2">
      <c r="A15" s="1068">
        <v>11</v>
      </c>
      <c r="B15" s="329" t="s">
        <v>2097</v>
      </c>
    </row>
    <row r="16" spans="1:2" x14ac:dyDescent="0.2">
      <c r="A16" s="1068">
        <v>12</v>
      </c>
      <c r="B16" s="329" t="s">
        <v>2094</v>
      </c>
    </row>
    <row r="17" spans="1:2" x14ac:dyDescent="0.2">
      <c r="A17" s="1068">
        <v>13</v>
      </c>
      <c r="B17" s="329" t="s">
        <v>2095</v>
      </c>
    </row>
    <row r="18" spans="1:2" x14ac:dyDescent="0.2">
      <c r="A18" s="1068">
        <v>14</v>
      </c>
      <c r="B18" s="329" t="s">
        <v>2100</v>
      </c>
    </row>
    <row r="19" spans="1:2" x14ac:dyDescent="0.2">
      <c r="A19" s="1068">
        <v>15</v>
      </c>
    </row>
    <row r="20" spans="1:2" x14ac:dyDescent="0.2">
      <c r="A20" s="1068"/>
    </row>
    <row r="21" spans="1:2" x14ac:dyDescent="0.2">
      <c r="A21" s="1068"/>
    </row>
    <row r="22" spans="1:2" x14ac:dyDescent="0.2">
      <c r="A22" s="1068"/>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 xml:space="preserve">Pleasant Plains CUSD 8                    </v>
      </c>
    </row>
    <row r="66" spans="1:2" x14ac:dyDescent="0.2">
      <c r="B66" s="1070">
        <f>COVER!A13</f>
        <v>51084008026</v>
      </c>
    </row>
  </sheetData>
  <phoneticPr fontId="14" type="noConversion"/>
  <pageMargins left="0.2" right="0" top="1.17" bottom="0.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 zoomScale="110" zoomScaleNormal="110" workbookViewId="0">
      <selection activeCell="A18" sqref="A1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18" sqref="A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1981200</xdr:colOff>
                <xdr:row>4</xdr:row>
                <xdr:rowOff>38100</xdr:rowOff>
              </from>
              <to>
                <xdr:col>1</xdr:col>
                <xdr:colOff>2895600</xdr:colOff>
                <xdr:row>8</xdr:row>
                <xdr:rowOff>76200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18" sqref="A1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1987</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1988</v>
      </c>
      <c r="B4" s="2356"/>
      <c r="C4" s="2356"/>
      <c r="D4" s="2356"/>
      <c r="E4" s="2356"/>
      <c r="F4" s="2357"/>
      <c r="G4" s="1074"/>
      <c r="H4" s="1074"/>
    </row>
    <row r="5" spans="1:8" ht="14.25" customHeight="1" x14ac:dyDescent="0.2">
      <c r="A5" s="2358" t="s">
        <v>1984</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9575633</v>
      </c>
      <c r="C8" s="1815">
        <f>'Acct Summary 7-8'!D8</f>
        <v>1308037</v>
      </c>
      <c r="D8" s="1815">
        <f>'Acct Summary 7-8'!F8</f>
        <v>1011148</v>
      </c>
      <c r="E8" s="1815">
        <f>'Acct Summary 7-8'!I8</f>
        <v>46746</v>
      </c>
      <c r="F8" s="1815">
        <f>SUM(B8:E8)</f>
        <v>11941564</v>
      </c>
    </row>
    <row r="9" spans="1:8" s="1079" customFormat="1" ht="14.25" customHeight="1" thickBot="1" x14ac:dyDescent="0.25">
      <c r="A9" s="1078" t="s">
        <v>1369</v>
      </c>
      <c r="B9" s="1816">
        <f>'Acct Summary 7-8'!C17</f>
        <v>11041613</v>
      </c>
      <c r="C9" s="1816">
        <f>'Acct Summary 7-8'!D17</f>
        <v>1388350</v>
      </c>
      <c r="D9" s="1816">
        <f>'Acct Summary 7-8'!F17</f>
        <v>1076689</v>
      </c>
      <c r="E9" s="1815"/>
      <c r="F9" s="1815">
        <f>SUM(B9:E9)</f>
        <v>13506652</v>
      </c>
    </row>
    <row r="10" spans="1:8" s="1079" customFormat="1" ht="14.25" thickTop="1" thickBot="1" x14ac:dyDescent="0.25">
      <c r="A10" s="1080" t="s">
        <v>1370</v>
      </c>
      <c r="B10" s="1817">
        <f>(B8-B9)</f>
        <v>-1465980</v>
      </c>
      <c r="C10" s="1817">
        <f>(C8-C9)</f>
        <v>-80313</v>
      </c>
      <c r="D10" s="1817">
        <f>(D8-D9)</f>
        <v>-65541</v>
      </c>
      <c r="E10" s="1816">
        <f>(E8-E9)</f>
        <v>46746</v>
      </c>
      <c r="F10" s="1818">
        <f>SUM(F8-F9)</f>
        <v>-1565088</v>
      </c>
    </row>
    <row r="11" spans="1:8" s="1079" customFormat="1" ht="14.25" thickTop="1" thickBot="1" x14ac:dyDescent="0.25">
      <c r="A11" s="1081" t="s">
        <v>1985</v>
      </c>
      <c r="B11" s="1819">
        <f>'Acct Summary 7-8'!C81</f>
        <v>4699164</v>
      </c>
      <c r="C11" s="1819">
        <f>'Acct Summary 7-8'!D81</f>
        <v>1834937</v>
      </c>
      <c r="D11" s="1819">
        <f>'Acct Summary 7-8'!F81</f>
        <v>2215630</v>
      </c>
      <c r="E11" s="1819">
        <f>'Acct Summary 7-8'!I81</f>
        <v>4299745</v>
      </c>
      <c r="F11" s="1820">
        <f>SUM(B11:E11)</f>
        <v>13049476</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6"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51084008026</v>
      </c>
    </row>
    <row r="3" spans="1:2" x14ac:dyDescent="0.2">
      <c r="A3" t="s">
        <v>956</v>
      </c>
      <c r="B3" s="138" t="str">
        <f>COVER!A15</f>
        <v>Sangamon</v>
      </c>
    </row>
    <row r="4" spans="1:2" x14ac:dyDescent="0.2">
      <c r="A4" t="s">
        <v>1007</v>
      </c>
      <c r="B4" s="138" t="str">
        <f>COVER!A17</f>
        <v xml:space="preserve">Pleasant Plains CUSD 8                    </v>
      </c>
    </row>
    <row r="5" spans="1:2" x14ac:dyDescent="0.2">
      <c r="A5" t="s">
        <v>704</v>
      </c>
      <c r="B5" s="138" t="str">
        <f>COVER!A38</f>
        <v>Matt Runge, Superintendent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060-004845</v>
      </c>
    </row>
    <row r="16" spans="1:2" x14ac:dyDescent="0.2">
      <c r="A16" t="s">
        <v>422</v>
      </c>
      <c r="B16" s="138" t="str">
        <f>COVER!T13</f>
        <v xml:space="preserve">Pehlman and Dold, P.C.                 </v>
      </c>
    </row>
    <row r="17" spans="1:2" x14ac:dyDescent="0.2">
      <c r="A17" t="s">
        <v>884</v>
      </c>
      <c r="B17" s="138" t="str">
        <f>COVER!T15</f>
        <v>Dorinda L Fitzgerald</v>
      </c>
    </row>
    <row r="18" spans="1:2" x14ac:dyDescent="0.2">
      <c r="A18" t="s">
        <v>1150</v>
      </c>
      <c r="B18" s="138" t="str">
        <f>COVER!T17</f>
        <v>100 North Amos Avenue</v>
      </c>
    </row>
    <row r="19" spans="1:2" x14ac:dyDescent="0.2">
      <c r="A19" t="s">
        <v>886</v>
      </c>
      <c r="B19" s="138" t="str">
        <f>COVER!T25</f>
        <v>dfitzgerald@p-dcpas.com</v>
      </c>
    </row>
    <row r="20" spans="1:2" x14ac:dyDescent="0.2">
      <c r="A20" t="s">
        <v>887</v>
      </c>
      <c r="B20" s="138" t="str">
        <f>COVER!T19</f>
        <v>Springfield</v>
      </c>
    </row>
    <row r="21" spans="1:2" x14ac:dyDescent="0.2">
      <c r="A21" t="s">
        <v>479</v>
      </c>
      <c r="B21" s="138" t="str">
        <f>COVER!X19</f>
        <v>IL</v>
      </c>
    </row>
    <row r="22" spans="1:2" x14ac:dyDescent="0.2">
      <c r="A22" t="s">
        <v>888</v>
      </c>
      <c r="B22" s="138">
        <f>COVER!Z19</f>
        <v>62702</v>
      </c>
    </row>
    <row r="23" spans="1:2" x14ac:dyDescent="0.2">
      <c r="A23" t="s">
        <v>1152</v>
      </c>
      <c r="B23" s="138" t="str">
        <f>COVER!T21</f>
        <v>(217) 787-0563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2054287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164</v>
      </c>
      <c r="D76" s="2" t="str">
        <f t="shared" si="0"/>
        <v>Error?</v>
      </c>
    </row>
    <row r="77" spans="1:4" x14ac:dyDescent="0.2">
      <c r="A77" s="5">
        <v>16</v>
      </c>
      <c r="B77" s="138">
        <f>'Assets-Liab 5-6'!C13</f>
        <v>4731025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31861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31861</v>
      </c>
      <c r="C91" s="2" t="s">
        <v>573</v>
      </c>
      <c r="D91" s="2" t="str">
        <f t="shared" si="0"/>
        <v>Error?</v>
      </c>
    </row>
    <row r="92" spans="1:4" x14ac:dyDescent="0.2">
      <c r="A92" s="5">
        <v>31</v>
      </c>
      <c r="B92" s="138">
        <f>'Assets-Liab 5-6'!C39</f>
        <v>4681207</v>
      </c>
      <c r="D92" s="2" t="str">
        <f t="shared" si="0"/>
        <v>Error?</v>
      </c>
    </row>
    <row r="93" spans="1:4" x14ac:dyDescent="0.2">
      <c r="A93" s="5">
        <v>32</v>
      </c>
      <c r="B93" s="138">
        <f>'Assets-Liab 5-6'!C41</f>
        <v>4731025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42131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1837401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2464</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2464</v>
      </c>
      <c r="C122" s="2" t="s">
        <v>573</v>
      </c>
      <c r="D122" s="2" t="str">
        <f t="shared" si="0"/>
        <v>Error?</v>
      </c>
    </row>
    <row r="123" spans="1:4" x14ac:dyDescent="0.2">
      <c r="A123" s="5">
        <v>62</v>
      </c>
      <c r="B123" s="138">
        <f>'Assets-Liab 5-6'!D39</f>
        <v>1834937</v>
      </c>
      <c r="D123" s="2" t="str">
        <f t="shared" si="0"/>
        <v>Error?</v>
      </c>
    </row>
    <row r="124" spans="1:4" x14ac:dyDescent="0.2">
      <c r="A124" s="5">
        <v>63</v>
      </c>
      <c r="B124" s="138">
        <f>'Assets-Liab 5-6'!D41</f>
        <v>1837401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5916</v>
      </c>
      <c r="D129" s="2" t="str">
        <f t="shared" si="1"/>
        <v>Error?</v>
      </c>
    </row>
    <row r="130" spans="1:4" x14ac:dyDescent="0.2">
      <c r="A130" s="5">
        <v>69</v>
      </c>
      <c r="B130" s="138">
        <f>'Assets-Liab 5-6'!E12</f>
        <v>0</v>
      </c>
      <c r="D130" s="2" t="str">
        <f t="shared" si="1"/>
        <v>Error?</v>
      </c>
    </row>
    <row r="131" spans="1:4" x14ac:dyDescent="0.2">
      <c r="A131" s="5">
        <v>70</v>
      </c>
      <c r="B131" s="138">
        <f>'Assets-Liab 5-6'!E13</f>
        <v>5916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113668</v>
      </c>
      <c r="C139" s="2" t="s">
        <v>573</v>
      </c>
      <c r="D139" s="2" t="str">
        <f t="shared" si="1"/>
        <v>Error?</v>
      </c>
    </row>
    <row r="140" spans="1:4" x14ac:dyDescent="0.2">
      <c r="A140" s="5">
        <v>79</v>
      </c>
      <c r="B140" s="138">
        <f>'Assets-Liab 5-6'!E39</f>
        <v>-107752</v>
      </c>
      <c r="D140" s="2" t="str">
        <f t="shared" si="1"/>
        <v>Error?</v>
      </c>
    </row>
    <row r="141" spans="1:4" x14ac:dyDescent="0.2">
      <c r="A141" s="5">
        <v>80</v>
      </c>
      <c r="B141" s="138">
        <f>'Assets-Liab 5-6'!E41</f>
        <v>5916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139677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2215630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2215630</v>
      </c>
      <c r="D170" s="2" t="str">
        <f t="shared" si="1"/>
        <v>Error?</v>
      </c>
    </row>
    <row r="171" spans="1:4" x14ac:dyDescent="0.2">
      <c r="A171" s="5">
        <v>110</v>
      </c>
      <c r="B171" s="138">
        <f>'Assets-Liab 5-6'!F41</f>
        <v>2215630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205169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435262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435262</v>
      </c>
      <c r="D189" s="2" t="str">
        <f t="shared" si="1"/>
        <v>Error?</v>
      </c>
    </row>
    <row r="190" spans="1:4" x14ac:dyDescent="0.2">
      <c r="A190" s="5">
        <v>129</v>
      </c>
      <c r="B190" s="138">
        <f>'Assets-Liab 5-6'!G41</f>
        <v>435262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767974</v>
      </c>
      <c r="D273" s="2" t="str">
        <f t="shared" si="3"/>
        <v>Error?</v>
      </c>
    </row>
    <row r="274" spans="1:4" x14ac:dyDescent="0.2">
      <c r="A274" s="5">
        <v>213</v>
      </c>
      <c r="B274" s="138">
        <f>'Assets-Liab 5-6'!M17</f>
        <v>38114120</v>
      </c>
      <c r="D274" s="2" t="str">
        <f t="shared" si="3"/>
        <v>Error?</v>
      </c>
    </row>
    <row r="275" spans="1:4" x14ac:dyDescent="0.2">
      <c r="A275" s="5">
        <v>214</v>
      </c>
      <c r="B275" s="138">
        <f>'Assets-Liab 5-6'!M18</f>
        <v>835659</v>
      </c>
      <c r="D275" s="2" t="str">
        <f t="shared" si="3"/>
        <v>Error?</v>
      </c>
    </row>
    <row r="276" spans="1:4" x14ac:dyDescent="0.2">
      <c r="A276" s="5">
        <v>215</v>
      </c>
      <c r="B276" s="138">
        <f>'Assets-Liab 5-6'!M19</f>
        <v>3126256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42871673</v>
      </c>
      <c r="C279" s="2" t="s">
        <v>573</v>
      </c>
      <c r="D279" s="2" t="str">
        <f t="shared" si="3"/>
        <v>Error?</v>
      </c>
    </row>
    <row r="280" spans="1:4" x14ac:dyDescent="0.2">
      <c r="A280" s="5">
        <v>219</v>
      </c>
      <c r="B280" s="138">
        <f>'Assets-Liab 5-6'!M40</f>
        <v>42871673</v>
      </c>
      <c r="D280" s="2" t="str">
        <f t="shared" si="3"/>
        <v>Error?</v>
      </c>
    </row>
    <row r="281" spans="1:4" x14ac:dyDescent="0.2">
      <c r="A281" s="5">
        <v>220</v>
      </c>
      <c r="B281" s="138">
        <f>'Assets-Liab 5-6'!M41</f>
        <v>42871673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5965000</v>
      </c>
      <c r="D283" s="2" t="str">
        <f t="shared" si="3"/>
        <v>Error?</v>
      </c>
    </row>
    <row r="284" spans="1:4" x14ac:dyDescent="0.2">
      <c r="A284" s="5">
        <v>223</v>
      </c>
      <c r="B284" s="138">
        <f>'Assets-Liab 5-6'!N23</f>
        <v>5965000</v>
      </c>
      <c r="C284" s="2" t="s">
        <v>573</v>
      </c>
      <c r="D284" s="2" t="str">
        <f t="shared" si="3"/>
        <v>Error?</v>
      </c>
    </row>
    <row r="285" spans="1:4" x14ac:dyDescent="0.2">
      <c r="A285" s="5">
        <v>224</v>
      </c>
      <c r="B285" s="138">
        <f>'Assets-Liab 5-6'!N36</f>
        <v>5965000</v>
      </c>
      <c r="D285" s="2" t="str">
        <f t="shared" si="3"/>
        <v>Error?</v>
      </c>
    </row>
    <row r="286" spans="1:4" x14ac:dyDescent="0.2">
      <c r="A286" s="10">
        <v>225</v>
      </c>
      <c r="D286" s="2" t="str">
        <f t="shared" si="3"/>
        <v>OK</v>
      </c>
    </row>
    <row r="287" spans="1:4" x14ac:dyDescent="0.2">
      <c r="A287" s="5">
        <v>226</v>
      </c>
      <c r="B287" s="138">
        <f>'Assets-Liab 5-6'!N37</f>
        <v>5965000</v>
      </c>
      <c r="C287" s="2" t="s">
        <v>573</v>
      </c>
      <c r="D287" s="2" t="str">
        <f t="shared" si="3"/>
        <v>Error?</v>
      </c>
    </row>
    <row r="288" spans="1:4" x14ac:dyDescent="0.2">
      <c r="A288" s="5">
        <v>227</v>
      </c>
      <c r="B288" s="138">
        <f>'Assets-Liab 5-6'!N41</f>
        <v>5965000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4170000</v>
      </c>
      <c r="D651" s="2" t="str">
        <f t="shared" si="9"/>
        <v>Error?</v>
      </c>
    </row>
    <row r="652" spans="1:4" x14ac:dyDescent="0.2">
      <c r="A652" s="5">
        <v>591</v>
      </c>
      <c r="B652" s="138">
        <f>'Acct Summary 7-8'!I34</f>
        <v>511390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4614076</v>
      </c>
      <c r="D705" s="2" t="str">
        <f t="shared" si="10"/>
        <v>Error?</v>
      </c>
    </row>
    <row r="706" spans="1:4" x14ac:dyDescent="0.2">
      <c r="A706" s="5">
        <v>645</v>
      </c>
      <c r="B706" s="138">
        <f>'Expenditures 15-22'!C16</f>
        <v>75743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292074</v>
      </c>
      <c r="D717" s="2" t="str">
        <f t="shared" si="10"/>
        <v>Error?</v>
      </c>
    </row>
    <row r="718" spans="1:4" x14ac:dyDescent="0.2">
      <c r="A718" s="5">
        <v>657</v>
      </c>
      <c r="B718" s="138">
        <f>'Expenditures 15-22'!C14</f>
        <v>277936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5897435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174905</v>
      </c>
      <c r="D722" s="2" t="str">
        <f t="shared" si="10"/>
        <v>Error?</v>
      </c>
    </row>
    <row r="723" spans="1:4" x14ac:dyDescent="0.2">
      <c r="A723" s="5">
        <v>662</v>
      </c>
      <c r="B723" s="138">
        <f>'Expenditures 15-22'!C38</f>
        <v>65695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240600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144392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144392</v>
      </c>
      <c r="C731" s="2" t="s">
        <v>573</v>
      </c>
      <c r="D731" s="2" t="str">
        <f t="shared" si="10"/>
        <v>Error?</v>
      </c>
    </row>
    <row r="732" spans="1:4" x14ac:dyDescent="0.2">
      <c r="A732" s="5">
        <v>671</v>
      </c>
      <c r="B732" s="138">
        <f>'Expenditures 15-22'!C49</f>
        <v>2400</v>
      </c>
      <c r="D732" s="2" t="str">
        <f t="shared" si="10"/>
        <v>Error?</v>
      </c>
    </row>
    <row r="733" spans="1:4" x14ac:dyDescent="0.2">
      <c r="A733" s="5">
        <v>672</v>
      </c>
      <c r="B733" s="138">
        <f>'Expenditures 15-22'!C50</f>
        <v>166272</v>
      </c>
      <c r="D733" s="2" t="str">
        <f t="shared" si="10"/>
        <v>Error?</v>
      </c>
    </row>
    <row r="734" spans="1:4" x14ac:dyDescent="0.2">
      <c r="A734" s="5">
        <v>673</v>
      </c>
      <c r="B734" s="138">
        <f>'Expenditures 15-22'!C53</f>
        <v>168672</v>
      </c>
      <c r="C734" s="2" t="s">
        <v>573</v>
      </c>
      <c r="D734" s="2" t="str">
        <f t="shared" si="10"/>
        <v>Error?</v>
      </c>
    </row>
    <row r="735" spans="1:4" x14ac:dyDescent="0.2">
      <c r="A735" s="5">
        <v>674</v>
      </c>
      <c r="B735" s="138">
        <f>'Expenditures 15-22'!C55</f>
        <v>529656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529656</v>
      </c>
      <c r="C737" s="2" t="s">
        <v>573</v>
      </c>
      <c r="D737" s="2" t="str">
        <f t="shared" si="10"/>
        <v>Error?</v>
      </c>
    </row>
    <row r="738" spans="1:4" x14ac:dyDescent="0.2">
      <c r="A738" s="5">
        <v>677</v>
      </c>
      <c r="B738" s="138">
        <f>'Expenditures 15-22'!C59</f>
        <v>31604</v>
      </c>
      <c r="D738" s="2" t="str">
        <f t="shared" si="10"/>
        <v>Error?</v>
      </c>
    </row>
    <row r="739" spans="1:4" x14ac:dyDescent="0.2">
      <c r="A739" s="5">
        <v>678</v>
      </c>
      <c r="B739" s="138">
        <f>'Expenditures 15-22'!C60</f>
        <v>88982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204368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324954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152008</v>
      </c>
      <c r="D751" s="2" t="str">
        <f t="shared" si="10"/>
        <v>Error?</v>
      </c>
    </row>
    <row r="752" spans="1:4" x14ac:dyDescent="0.2">
      <c r="A752" s="10">
        <v>691</v>
      </c>
      <c r="D752" s="2" t="str">
        <f t="shared" si="10"/>
        <v>OK</v>
      </c>
    </row>
    <row r="753" spans="1:4" x14ac:dyDescent="0.2">
      <c r="A753" s="5">
        <v>692</v>
      </c>
      <c r="B753" s="138">
        <f>'Expenditures 15-22'!C72</f>
        <v>152008</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1560282</v>
      </c>
      <c r="C755" s="2" t="s">
        <v>573</v>
      </c>
      <c r="D755" s="2" t="str">
        <f t="shared" si="10"/>
        <v>Error?</v>
      </c>
    </row>
    <row r="756" spans="1:4" x14ac:dyDescent="0.2">
      <c r="A756" s="5">
        <v>695</v>
      </c>
      <c r="B756" s="138">
        <f>'Expenditures 15-22'!C75</f>
        <v>186066</v>
      </c>
      <c r="D756" s="2" t="str">
        <f t="shared" si="10"/>
        <v>Error?</v>
      </c>
    </row>
    <row r="757" spans="1:4" x14ac:dyDescent="0.2">
      <c r="A757" s="5">
        <v>696</v>
      </c>
      <c r="B757" s="138">
        <f>'Expenditures 15-22'!C114</f>
        <v>7643783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1017117</v>
      </c>
      <c r="D763" s="2" t="str">
        <f t="shared" si="10"/>
        <v>Error?</v>
      </c>
    </row>
    <row r="764" spans="1:4" x14ac:dyDescent="0.2">
      <c r="A764" s="5">
        <v>703</v>
      </c>
      <c r="B764" s="138">
        <f>'Expenditures 15-22'!D16</f>
        <v>13791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64957</v>
      </c>
      <c r="D775" s="2" t="str">
        <f t="shared" si="11"/>
        <v>Error?</v>
      </c>
    </row>
    <row r="776" spans="1:4" x14ac:dyDescent="0.2">
      <c r="A776" s="5">
        <v>715</v>
      </c>
      <c r="B776" s="138">
        <f>'Expenditures 15-22'!D14</f>
        <v>34290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1268121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46607</v>
      </c>
      <c r="D780" s="2" t="str">
        <f t="shared" si="11"/>
        <v>Error?</v>
      </c>
    </row>
    <row r="781" spans="1:4" x14ac:dyDescent="0.2">
      <c r="A781" s="5">
        <v>720</v>
      </c>
      <c r="B781" s="138">
        <f>'Expenditures 15-22'!D38</f>
        <v>13321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59928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30817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30817</v>
      </c>
      <c r="C789" s="2" t="s">
        <v>573</v>
      </c>
      <c r="D789" s="2" t="str">
        <f t="shared" si="11"/>
        <v>Error?</v>
      </c>
    </row>
    <row r="790" spans="1:4" x14ac:dyDescent="0.2">
      <c r="A790" s="5">
        <v>729</v>
      </c>
      <c r="B790" s="138">
        <f>'Expenditures 15-22'!D49</f>
        <v>25860</v>
      </c>
      <c r="D790" s="2" t="str">
        <f t="shared" si="11"/>
        <v>Error?</v>
      </c>
    </row>
    <row r="791" spans="1:4" x14ac:dyDescent="0.2">
      <c r="A791" s="5">
        <v>730</v>
      </c>
      <c r="B791" s="138">
        <f>'Expenditures 15-22'!D50</f>
        <v>46573</v>
      </c>
      <c r="D791" s="2" t="str">
        <f t="shared" si="11"/>
        <v>Error?</v>
      </c>
    </row>
    <row r="792" spans="1:4" x14ac:dyDescent="0.2">
      <c r="A792" s="5">
        <v>731</v>
      </c>
      <c r="B792" s="138">
        <f>'Expenditures 15-22'!D53</f>
        <v>72433</v>
      </c>
      <c r="C792" s="2" t="s">
        <v>573</v>
      </c>
      <c r="D792" s="2" t="str">
        <f t="shared" si="11"/>
        <v>Error?</v>
      </c>
    </row>
    <row r="793" spans="1:4" x14ac:dyDescent="0.2">
      <c r="A793" s="5">
        <v>732</v>
      </c>
      <c r="B793" s="138">
        <f>'Expenditures 15-22'!D55</f>
        <v>99796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99796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12833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35464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48297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19956</v>
      </c>
      <c r="D809" s="2" t="str">
        <f t="shared" si="11"/>
        <v>Error?</v>
      </c>
    </row>
    <row r="810" spans="1:4" x14ac:dyDescent="0.2">
      <c r="A810" s="10">
        <v>749</v>
      </c>
      <c r="D810" s="2" t="str">
        <f t="shared" si="11"/>
        <v>OK</v>
      </c>
    </row>
    <row r="811" spans="1:4" x14ac:dyDescent="0.2">
      <c r="A811" s="5">
        <v>750</v>
      </c>
      <c r="B811" s="138">
        <f>'Expenditures 15-22'!D72</f>
        <v>19956</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331227</v>
      </c>
      <c r="C813" s="2" t="s">
        <v>573</v>
      </c>
      <c r="D813" s="2" t="str">
        <f t="shared" si="11"/>
        <v>Error?</v>
      </c>
    </row>
    <row r="814" spans="1:4" x14ac:dyDescent="0.2">
      <c r="A814" s="5">
        <v>753</v>
      </c>
      <c r="B814" s="138">
        <f>'Expenditures 15-22'!D75</f>
        <v>12966</v>
      </c>
      <c r="D814" s="2" t="str">
        <f t="shared" si="11"/>
        <v>Error?</v>
      </c>
    </row>
    <row r="815" spans="1:4" x14ac:dyDescent="0.2">
      <c r="A815" s="5">
        <v>754</v>
      </c>
      <c r="B815" s="138">
        <f>'Expenditures 15-22'!D114</f>
        <v>1612314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8807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435</v>
      </c>
      <c r="D833" s="2" t="str">
        <f t="shared" si="12"/>
        <v>Error?</v>
      </c>
    </row>
    <row r="834" spans="1:4" x14ac:dyDescent="0.2">
      <c r="A834" s="5">
        <v>773</v>
      </c>
      <c r="B834" s="138">
        <f>'Expenditures 15-22'!E14</f>
        <v>35885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56267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2391</v>
      </c>
      <c r="D838" s="2" t="str">
        <f t="shared" si="12"/>
        <v>Error?</v>
      </c>
    </row>
    <row r="839" spans="1:4" x14ac:dyDescent="0.2">
      <c r="A839" s="5">
        <v>778</v>
      </c>
      <c r="B839" s="138">
        <f>'Expenditures 15-22'!E38</f>
        <v>997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3388</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1364</v>
      </c>
      <c r="D849" s="2" t="str">
        <f t="shared" si="12"/>
        <v>Error?</v>
      </c>
    </row>
    <row r="850" spans="1:4" x14ac:dyDescent="0.2">
      <c r="A850" s="5">
        <v>789</v>
      </c>
      <c r="B850" s="138">
        <f>'Expenditures 15-22'!E53</f>
        <v>1364</v>
      </c>
      <c r="C850" s="2" t="s">
        <v>573</v>
      </c>
      <c r="D850" s="2" t="str">
        <f t="shared" si="12"/>
        <v>Error?</v>
      </c>
    </row>
    <row r="851" spans="1:4" x14ac:dyDescent="0.2">
      <c r="A851" s="5">
        <v>790</v>
      </c>
      <c r="B851" s="138">
        <f>'Expenditures 15-22'!E55</f>
        <v>6022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6022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45568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993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46561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102495</v>
      </c>
      <c r="D867" s="2" t="str">
        <f t="shared" si="12"/>
        <v>Error?</v>
      </c>
    </row>
    <row r="868" spans="1:4" x14ac:dyDescent="0.2">
      <c r="A868" s="10">
        <v>807</v>
      </c>
      <c r="D868" s="2" t="str">
        <f t="shared" si="12"/>
        <v>OK</v>
      </c>
    </row>
    <row r="869" spans="1:4" x14ac:dyDescent="0.2">
      <c r="A869" s="5">
        <v>808</v>
      </c>
      <c r="B869" s="138">
        <f>'Expenditures 15-22'!E72</f>
        <v>102495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159830</v>
      </c>
      <c r="C871" s="2" t="s">
        <v>573</v>
      </c>
      <c r="D871" s="2" t="str">
        <f t="shared" si="12"/>
        <v>Error?</v>
      </c>
    </row>
    <row r="872" spans="1:4" x14ac:dyDescent="0.2">
      <c r="A872" s="5">
        <v>811</v>
      </c>
      <c r="B872" s="138">
        <f>'Expenditures 15-22'!E75</f>
        <v>131548</v>
      </c>
      <c r="D872" s="2" t="str">
        <f t="shared" si="12"/>
        <v>Error?</v>
      </c>
    </row>
    <row r="873" spans="1:4" x14ac:dyDescent="0.2">
      <c r="A873" s="5">
        <v>812</v>
      </c>
      <c r="B873" s="138">
        <f>'Expenditures 15-22'!E114</f>
        <v>347645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237763</v>
      </c>
      <c r="D879" s="2" t="str">
        <f t="shared" si="12"/>
        <v>Error?</v>
      </c>
    </row>
    <row r="880" spans="1:4" x14ac:dyDescent="0.2">
      <c r="A880" s="5">
        <v>819</v>
      </c>
      <c r="B880" s="138">
        <f>'Expenditures 15-22'!F16</f>
        <v>106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12430</v>
      </c>
      <c r="D891" s="2" t="str">
        <f t="shared" si="12"/>
        <v>Error?</v>
      </c>
    </row>
    <row r="892" spans="1:4" x14ac:dyDescent="0.2">
      <c r="A892" s="5">
        <v>831</v>
      </c>
      <c r="B892" s="138">
        <f>'Expenditures 15-22'!F14</f>
        <v>11022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267831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1002</v>
      </c>
      <c r="D896" s="2" t="str">
        <f t="shared" si="13"/>
        <v>Error?</v>
      </c>
    </row>
    <row r="897" spans="1:4" x14ac:dyDescent="0.2">
      <c r="A897" s="5">
        <v>836</v>
      </c>
      <c r="B897" s="138">
        <f>'Expenditures 15-22'!F38</f>
        <v>2222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3224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11869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11869</v>
      </c>
      <c r="C905" s="2" t="s">
        <v>573</v>
      </c>
      <c r="D905" s="2" t="str">
        <f t="shared" si="13"/>
        <v>Error?</v>
      </c>
    </row>
    <row r="906" spans="1:4" x14ac:dyDescent="0.2">
      <c r="A906" s="5">
        <v>845</v>
      </c>
      <c r="B906" s="138">
        <f>'Expenditures 15-22'!F49</f>
        <v>246</v>
      </c>
      <c r="D906" s="2" t="str">
        <f t="shared" si="13"/>
        <v>Error?</v>
      </c>
    </row>
    <row r="907" spans="1:4" x14ac:dyDescent="0.2">
      <c r="A907" s="5">
        <v>846</v>
      </c>
      <c r="B907" s="138">
        <f>'Expenditures 15-22'!F50</f>
        <v>945</v>
      </c>
      <c r="D907" s="2" t="str">
        <f t="shared" si="13"/>
        <v>Error?</v>
      </c>
    </row>
    <row r="908" spans="1:4" x14ac:dyDescent="0.2">
      <c r="A908" s="5">
        <v>847</v>
      </c>
      <c r="B908" s="138">
        <f>'Expenditures 15-22'!F53</f>
        <v>1191</v>
      </c>
      <c r="C908" s="2" t="s">
        <v>573</v>
      </c>
      <c r="D908" s="2" t="str">
        <f t="shared" si="13"/>
        <v>Error?</v>
      </c>
    </row>
    <row r="909" spans="1:4" x14ac:dyDescent="0.2">
      <c r="A909" s="5">
        <v>848</v>
      </c>
      <c r="B909" s="138">
        <f>'Expenditures 15-22'!F55</f>
        <v>14287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14287</v>
      </c>
      <c r="C911" s="2" t="s">
        <v>573</v>
      </c>
      <c r="D911" s="2" t="str">
        <f t="shared" si="13"/>
        <v>Error?</v>
      </c>
    </row>
    <row r="912" spans="1:4" x14ac:dyDescent="0.2">
      <c r="A912" s="5">
        <v>851</v>
      </c>
      <c r="B912" s="138">
        <f>'Expenditures 15-22'!F59</f>
        <v>10</v>
      </c>
      <c r="D912" s="2" t="str">
        <f t="shared" si="13"/>
        <v>Error?</v>
      </c>
    </row>
    <row r="913" spans="1:4" x14ac:dyDescent="0.2">
      <c r="A913" s="5">
        <v>852</v>
      </c>
      <c r="B913" s="138">
        <f>'Expenditures 15-22'!F60</f>
        <v>13150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296522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309682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28918</v>
      </c>
      <c r="D925" s="2" t="str">
        <f t="shared" si="13"/>
        <v>Error?</v>
      </c>
    </row>
    <row r="926" spans="1:4" x14ac:dyDescent="0.2">
      <c r="A926" s="10">
        <v>865</v>
      </c>
      <c r="D926" s="2" t="str">
        <f t="shared" si="13"/>
        <v>OK</v>
      </c>
    </row>
    <row r="927" spans="1:4" x14ac:dyDescent="0.2">
      <c r="A927" s="5">
        <v>866</v>
      </c>
      <c r="B927" s="138">
        <f>'Expenditures 15-22'!F72</f>
        <v>28918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369171</v>
      </c>
      <c r="C929" s="2" t="s">
        <v>573</v>
      </c>
      <c r="D929" s="2" t="str">
        <f t="shared" si="13"/>
        <v>Error?</v>
      </c>
    </row>
    <row r="930" spans="1:4" x14ac:dyDescent="0.2">
      <c r="A930" s="5">
        <v>869</v>
      </c>
      <c r="B930" s="138">
        <f>'Expenditures 15-22'!F75</f>
        <v>22937</v>
      </c>
      <c r="D930" s="2" t="str">
        <f t="shared" si="13"/>
        <v>Error?</v>
      </c>
    </row>
    <row r="931" spans="1:4" x14ac:dyDescent="0.2">
      <c r="A931" s="5">
        <v>870</v>
      </c>
      <c r="B931" s="138">
        <f>'Expenditures 15-22'!F114</f>
        <v>659939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16562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45947</v>
      </c>
      <c r="D983" s="2" t="str">
        <f t="shared" si="14"/>
        <v>Error?</v>
      </c>
    </row>
    <row r="984" spans="1:4" x14ac:dyDescent="0.2">
      <c r="A984" s="10">
        <v>923</v>
      </c>
      <c r="D984" s="2" t="str">
        <f t="shared" si="14"/>
        <v>OK</v>
      </c>
    </row>
    <row r="985" spans="1:4" x14ac:dyDescent="0.2">
      <c r="A985" s="5">
        <v>924</v>
      </c>
      <c r="B985" s="138">
        <f>'Expenditures 15-22'!G72</f>
        <v>45947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45947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62509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10773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11181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22055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837</v>
      </c>
      <c r="D1012" s="2" t="str">
        <f t="shared" si="14"/>
        <v>Error?</v>
      </c>
    </row>
    <row r="1013" spans="1:4" x14ac:dyDescent="0.2">
      <c r="A1013" s="5">
        <v>952</v>
      </c>
      <c r="B1013" s="138">
        <f>'Expenditures 15-22'!H38</f>
        <v>80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917</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351</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351</v>
      </c>
      <c r="C1021" s="2" t="s">
        <v>573</v>
      </c>
      <c r="D1021" s="2" t="str">
        <f t="shared" si="14"/>
        <v>Error?</v>
      </c>
    </row>
    <row r="1022" spans="1:4" x14ac:dyDescent="0.2">
      <c r="A1022" s="5">
        <v>961</v>
      </c>
      <c r="B1022" s="138">
        <f>'Expenditures 15-22'!H49</f>
        <v>5537</v>
      </c>
      <c r="D1022" s="2" t="str">
        <f t="shared" si="14"/>
        <v>Error?</v>
      </c>
    </row>
    <row r="1023" spans="1:4" x14ac:dyDescent="0.2">
      <c r="A1023" s="5">
        <v>962</v>
      </c>
      <c r="B1023" s="138">
        <f>'Expenditures 15-22'!H50</f>
        <v>1467</v>
      </c>
      <c r="D1023" s="2" t="str">
        <f t="shared" ref="D1023:D1086" si="15">IF(ISBLANK(B1023),"OK",IF(A1023-B1023=0,"OK","Error?"))</f>
        <v>Error?</v>
      </c>
    </row>
    <row r="1024" spans="1:4" x14ac:dyDescent="0.2">
      <c r="A1024" s="5">
        <v>963</v>
      </c>
      <c r="B1024" s="138">
        <f>'Expenditures 15-22'!H53</f>
        <v>7004</v>
      </c>
      <c r="C1024" s="2" t="s">
        <v>573</v>
      </c>
      <c r="D1024" s="2" t="str">
        <f t="shared" si="15"/>
        <v>Error?</v>
      </c>
    </row>
    <row r="1025" spans="1:4" x14ac:dyDescent="0.2">
      <c r="A1025" s="5">
        <v>964</v>
      </c>
      <c r="B1025" s="138">
        <f>'Expenditures 15-22'!H55</f>
        <v>2830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2830</v>
      </c>
      <c r="C1027" s="2" t="s">
        <v>573</v>
      </c>
      <c r="D1027" s="2" t="str">
        <f t="shared" si="15"/>
        <v>Error?</v>
      </c>
    </row>
    <row r="1028" spans="1:4" x14ac:dyDescent="0.2">
      <c r="A1028" s="5">
        <v>967</v>
      </c>
      <c r="B1028" s="138">
        <f>'Expenditures 15-22'!H59</f>
        <v>1165</v>
      </c>
      <c r="D1028" s="2" t="str">
        <f t="shared" si="15"/>
        <v>Error?</v>
      </c>
    </row>
    <row r="1029" spans="1:4" x14ac:dyDescent="0.2">
      <c r="A1029" s="5">
        <v>968</v>
      </c>
      <c r="B1029" s="138">
        <f>'Expenditures 15-22'!H60</f>
        <v>939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4389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6493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17595</v>
      </c>
      <c r="C1045" s="2" t="s">
        <v>573</v>
      </c>
      <c r="D1045" s="2" t="str">
        <f t="shared" si="15"/>
        <v>Error?</v>
      </c>
    </row>
    <row r="1046" spans="1:4" x14ac:dyDescent="0.2">
      <c r="A1046" s="5">
        <v>985</v>
      </c>
      <c r="B1046" s="138">
        <f>'Expenditures 15-22'!H75</f>
        <v>420</v>
      </c>
      <c r="D1046" s="2" t="str">
        <f t="shared" si="15"/>
        <v>Error?</v>
      </c>
    </row>
    <row r="1047" spans="1:4" x14ac:dyDescent="0.2">
      <c r="A1047" s="5">
        <v>986</v>
      </c>
      <c r="B1047" s="138">
        <f>'Expenditures 15-22'!H102</f>
        <v>650740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690810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5896916</v>
      </c>
      <c r="C1093" s="2" t="s">
        <v>573</v>
      </c>
      <c r="D1093" s="2" t="str">
        <f t="shared" si="16"/>
        <v>Error?</v>
      </c>
    </row>
    <row r="1094" spans="1:4" x14ac:dyDescent="0.2">
      <c r="A1094" s="5">
        <v>1033</v>
      </c>
      <c r="B1094" s="138">
        <f>'Expenditures 15-22'!K16</f>
        <v>89640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369896</v>
      </c>
      <c r="C1105" s="2" t="s">
        <v>573</v>
      </c>
      <c r="D1105" s="2" t="str">
        <f t="shared" si="16"/>
        <v>Error?</v>
      </c>
    </row>
    <row r="1106" spans="1:4" x14ac:dyDescent="0.2">
      <c r="A1106" s="5">
        <v>1045</v>
      </c>
      <c r="B1106" s="138">
        <f>'Expenditures 15-22'!K14</f>
        <v>370314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7536651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225742</v>
      </c>
      <c r="C1110" s="2" t="s">
        <v>573</v>
      </c>
      <c r="D1110" s="2" t="str">
        <f t="shared" si="16"/>
        <v>Error?</v>
      </c>
    </row>
    <row r="1111" spans="1:4" x14ac:dyDescent="0.2">
      <c r="A1111" s="5">
        <v>1050</v>
      </c>
      <c r="B1111" s="138">
        <f>'Expenditures 15-22'!K38</f>
        <v>82315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308057</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187429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187429</v>
      </c>
      <c r="C1119" s="2" t="s">
        <v>573</v>
      </c>
      <c r="D1119" s="2" t="str">
        <f t="shared" si="16"/>
        <v>Error?</v>
      </c>
    </row>
    <row r="1120" spans="1:4" x14ac:dyDescent="0.2">
      <c r="A1120" s="5">
        <v>1059</v>
      </c>
      <c r="B1120" s="138">
        <f>'Expenditures 15-22'!K49</f>
        <v>34043</v>
      </c>
      <c r="C1120" s="2" t="s">
        <v>573</v>
      </c>
      <c r="D1120" s="2" t="str">
        <f t="shared" si="16"/>
        <v>Error?</v>
      </c>
    </row>
    <row r="1121" spans="1:4" x14ac:dyDescent="0.2">
      <c r="A1121" s="5">
        <v>1060</v>
      </c>
      <c r="B1121" s="138">
        <f>'Expenditures 15-22'!K50</f>
        <v>216621</v>
      </c>
      <c r="C1121" s="2" t="s">
        <v>573</v>
      </c>
      <c r="D1121" s="2" t="str">
        <f t="shared" si="16"/>
        <v>Error?</v>
      </c>
    </row>
    <row r="1122" spans="1:4" x14ac:dyDescent="0.2">
      <c r="A1122" s="5">
        <v>1061</v>
      </c>
      <c r="B1122" s="138">
        <f>'Expenditures 15-22'!K53</f>
        <v>250664</v>
      </c>
      <c r="C1122" s="2" t="s">
        <v>573</v>
      </c>
      <c r="D1122" s="2" t="str">
        <f t="shared" si="16"/>
        <v>Error?</v>
      </c>
    </row>
    <row r="1123" spans="1:4" x14ac:dyDescent="0.2">
      <c r="A1123" s="5">
        <v>1062</v>
      </c>
      <c r="B1123" s="138">
        <f>'Expenditures 15-22'!K55</f>
        <v>655177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655177</v>
      </c>
      <c r="C1125" s="2" t="s">
        <v>573</v>
      </c>
      <c r="D1125" s="2" t="str">
        <f t="shared" si="16"/>
        <v>Error?</v>
      </c>
    </row>
    <row r="1126" spans="1:4" x14ac:dyDescent="0.2">
      <c r="A1126" s="5">
        <v>1065</v>
      </c>
      <c r="B1126" s="138">
        <f>'Expenditures 15-22'!K59</f>
        <v>46426</v>
      </c>
      <c r="C1126" s="2" t="s">
        <v>573</v>
      </c>
      <c r="D1126" s="2" t="str">
        <f t="shared" si="16"/>
        <v>Error?</v>
      </c>
    </row>
    <row r="1127" spans="1:4" x14ac:dyDescent="0.2">
      <c r="A1127" s="5">
        <v>1066</v>
      </c>
      <c r="B1127" s="138">
        <f>'Expenditures 15-22'!K60</f>
        <v>161472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541736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749634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349324</v>
      </c>
      <c r="C1139" s="2" t="s">
        <v>573</v>
      </c>
      <c r="D1139" s="2" t="str">
        <f t="shared" si="16"/>
        <v>Error?</v>
      </c>
    </row>
    <row r="1140" spans="1:4" x14ac:dyDescent="0.2">
      <c r="A1140" s="10">
        <v>1079</v>
      </c>
      <c r="D1140" s="2" t="str">
        <f t="shared" si="16"/>
        <v>OK</v>
      </c>
    </row>
    <row r="1141" spans="1:4" x14ac:dyDescent="0.2">
      <c r="A1141" s="5">
        <v>1080</v>
      </c>
      <c r="B1141" s="138">
        <f>'Expenditures 15-22'!K72</f>
        <v>349324</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2500285</v>
      </c>
      <c r="C1143" s="2" t="s">
        <v>573</v>
      </c>
      <c r="D1143" s="2" t="str">
        <f t="shared" si="16"/>
        <v>Error?</v>
      </c>
    </row>
    <row r="1144" spans="1:4" x14ac:dyDescent="0.2">
      <c r="A1144" s="5">
        <v>1083</v>
      </c>
      <c r="B1144" s="138">
        <f>'Expenditures 15-22'!K75</f>
        <v>353937</v>
      </c>
      <c r="C1144" s="2" t="s">
        <v>573</v>
      </c>
      <c r="D1144" s="2" t="str">
        <f t="shared" si="16"/>
        <v>Error?</v>
      </c>
    </row>
    <row r="1145" spans="1:4" x14ac:dyDescent="0.2">
      <c r="A1145" s="5">
        <v>1084</v>
      </c>
      <c r="B1145" s="138">
        <f>'Expenditures 15-22'!K102</f>
        <v>650740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11041613</v>
      </c>
      <c r="C1152" s="2" t="s">
        <v>573</v>
      </c>
      <c r="D1152" s="2" t="str">
        <f t="shared" si="17"/>
        <v>Error?</v>
      </c>
    </row>
    <row r="1153" spans="1:4" x14ac:dyDescent="0.2">
      <c r="A1153" s="5">
        <v>1092</v>
      </c>
      <c r="B1153" s="138">
        <f>'Expenditures 15-22'!K115</f>
        <v>-1465980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406779</v>
      </c>
      <c r="D1221" s="2" t="str">
        <f t="shared" si="18"/>
        <v>Error?</v>
      </c>
    </row>
    <row r="1222" spans="1:4" x14ac:dyDescent="0.2">
      <c r="A1222" s="10">
        <v>1161</v>
      </c>
      <c r="D1222" s="2" t="str">
        <f t="shared" si="18"/>
        <v>OK</v>
      </c>
    </row>
    <row r="1223" spans="1:4" x14ac:dyDescent="0.2">
      <c r="A1223" s="5">
        <v>1162</v>
      </c>
      <c r="B1223" s="138">
        <f>'Expenditures 15-22'!C127</f>
        <v>406779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406779</v>
      </c>
      <c r="C1225" s="2" t="s">
        <v>573</v>
      </c>
      <c r="D1225" s="2" t="str">
        <f t="shared" si="18"/>
        <v>Error?</v>
      </c>
    </row>
    <row r="1226" spans="1:4" x14ac:dyDescent="0.2">
      <c r="A1226" s="5">
        <v>1165</v>
      </c>
      <c r="B1226" s="138">
        <f>'Expenditures 15-22'!C151</f>
        <v>406779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62807</v>
      </c>
      <c r="D1229" s="2" t="str">
        <f t="shared" si="18"/>
        <v>Error?</v>
      </c>
    </row>
    <row r="1230" spans="1:4" x14ac:dyDescent="0.2">
      <c r="A1230" s="10">
        <v>1169</v>
      </c>
      <c r="D1230" s="2" t="str">
        <f t="shared" si="18"/>
        <v>OK</v>
      </c>
    </row>
    <row r="1231" spans="1:4" x14ac:dyDescent="0.2">
      <c r="A1231" s="5">
        <v>1170</v>
      </c>
      <c r="B1231" s="138">
        <f>'Expenditures 15-22'!D127</f>
        <v>62807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62807</v>
      </c>
      <c r="C1233" s="2" t="s">
        <v>573</v>
      </c>
      <c r="D1233" s="2" t="str">
        <f t="shared" si="18"/>
        <v>Error?</v>
      </c>
    </row>
    <row r="1234" spans="1:4" x14ac:dyDescent="0.2">
      <c r="A1234" s="5">
        <v>1173</v>
      </c>
      <c r="B1234" s="138">
        <f>'Expenditures 15-22'!D151</f>
        <v>62807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170080</v>
      </c>
      <c r="D1237" s="2" t="str">
        <f t="shared" si="18"/>
        <v>Error?</v>
      </c>
    </row>
    <row r="1238" spans="1:4" x14ac:dyDescent="0.2">
      <c r="A1238" s="10">
        <v>1177</v>
      </c>
      <c r="D1238" s="2" t="str">
        <f t="shared" si="18"/>
        <v>OK</v>
      </c>
    </row>
    <row r="1239" spans="1:4" x14ac:dyDescent="0.2">
      <c r="A1239" s="5">
        <v>1178</v>
      </c>
      <c r="B1239" s="138">
        <f>'Expenditures 15-22'!E127</f>
        <v>170080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170080</v>
      </c>
      <c r="C1241" s="2" t="s">
        <v>573</v>
      </c>
      <c r="D1241" s="2" t="str">
        <f t="shared" si="18"/>
        <v>Error?</v>
      </c>
    </row>
    <row r="1242" spans="1:4" x14ac:dyDescent="0.2">
      <c r="A1242" s="5">
        <v>1181</v>
      </c>
      <c r="B1242" s="138">
        <f>'Expenditures 15-22'!E151</f>
        <v>170080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484528</v>
      </c>
      <c r="D1245" s="2" t="str">
        <f t="shared" si="18"/>
        <v>Error?</v>
      </c>
    </row>
    <row r="1246" spans="1:4" x14ac:dyDescent="0.2">
      <c r="A1246" s="10">
        <v>1185</v>
      </c>
      <c r="D1246" s="2" t="str">
        <f t="shared" si="18"/>
        <v>OK</v>
      </c>
    </row>
    <row r="1247" spans="1:4" x14ac:dyDescent="0.2">
      <c r="A1247" s="5">
        <v>1186</v>
      </c>
      <c r="B1247" s="138">
        <f>'Expenditures 15-22'!F127</f>
        <v>484528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484528</v>
      </c>
      <c r="C1249" s="2" t="s">
        <v>573</v>
      </c>
      <c r="D1249" s="2" t="str">
        <f t="shared" si="18"/>
        <v>Error?</v>
      </c>
    </row>
    <row r="1250" spans="1:4" x14ac:dyDescent="0.2">
      <c r="A1250" s="5">
        <v>1189</v>
      </c>
      <c r="B1250" s="138">
        <f>'Expenditures 15-22'!F151</f>
        <v>484528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254841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254841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254841</v>
      </c>
      <c r="C1258" s="2" t="s">
        <v>573</v>
      </c>
      <c r="D1258" s="2" t="str">
        <f t="shared" si="18"/>
        <v>Error?</v>
      </c>
    </row>
    <row r="1259" spans="1:4" x14ac:dyDescent="0.2">
      <c r="A1259" s="5">
        <v>1198</v>
      </c>
      <c r="B1259" s="138">
        <f>'Expenditures 15-22'!G151</f>
        <v>254841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9315</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9315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1379035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1379035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1379035</v>
      </c>
      <c r="C1281" s="2" t="s">
        <v>573</v>
      </c>
      <c r="D1281" s="2" t="str">
        <f t="shared" si="19"/>
        <v>Error?</v>
      </c>
    </row>
    <row r="1282" spans="1:4" x14ac:dyDescent="0.2">
      <c r="A1282" s="5">
        <v>1221</v>
      </c>
      <c r="B1282" s="138">
        <f>'Expenditures 15-22'!K139</f>
        <v>9315</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1388350</v>
      </c>
      <c r="C1288" s="2" t="s">
        <v>573</v>
      </c>
      <c r="D1288" s="2" t="str">
        <f t="shared" si="19"/>
        <v>Error?</v>
      </c>
    </row>
    <row r="1289" spans="1:4" x14ac:dyDescent="0.2">
      <c r="A1289" s="5">
        <v>1228</v>
      </c>
      <c r="B1289" s="138">
        <f>'Expenditures 15-22'!K152</f>
        <v>-80313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78120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920000</v>
      </c>
      <c r="D1315" s="2" t="str">
        <f t="shared" si="19"/>
        <v>Error?</v>
      </c>
    </row>
    <row r="1316" spans="1:4" x14ac:dyDescent="0.2">
      <c r="A1316" s="5">
        <v>1255</v>
      </c>
      <c r="B1316" s="138">
        <f>'Expenditures 15-22'!H171</f>
        <v>261</v>
      </c>
      <c r="D1316" s="2" t="str">
        <f t="shared" si="19"/>
        <v>Error?</v>
      </c>
    </row>
    <row r="1317" spans="1:4" x14ac:dyDescent="0.2">
      <c r="A1317" s="5">
        <v>1256</v>
      </c>
      <c r="B1317" s="138">
        <f>'Expenditures 15-22'!H172</f>
        <v>998381</v>
      </c>
      <c r="C1317" s="2" t="s">
        <v>573</v>
      </c>
      <c r="D1317" s="2" t="str">
        <f t="shared" si="19"/>
        <v>Error?</v>
      </c>
    </row>
    <row r="1318" spans="1:4" x14ac:dyDescent="0.2">
      <c r="A1318" s="5">
        <v>1257</v>
      </c>
      <c r="B1318" s="138">
        <f>'Expenditures 15-22'!H174</f>
        <v>998381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78120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920000</v>
      </c>
      <c r="C1329" s="2" t="s">
        <v>573</v>
      </c>
      <c r="D1329" s="2" t="str">
        <f t="shared" si="19"/>
        <v>Error?</v>
      </c>
    </row>
    <row r="1330" spans="1:4" x14ac:dyDescent="0.2">
      <c r="A1330" s="5">
        <v>1269</v>
      </c>
      <c r="B1330" s="138">
        <f>'Expenditures 15-22'!K171</f>
        <v>261</v>
      </c>
      <c r="C1330" s="2" t="s">
        <v>573</v>
      </c>
      <c r="D1330" s="2" t="str">
        <f t="shared" si="19"/>
        <v>Error?</v>
      </c>
    </row>
    <row r="1331" spans="1:4" x14ac:dyDescent="0.2">
      <c r="A1331" s="5">
        <v>1270</v>
      </c>
      <c r="B1331" s="138">
        <f>'Expenditures 15-22'!K172</f>
        <v>998381</v>
      </c>
      <c r="C1331" s="2" t="s">
        <v>573</v>
      </c>
      <c r="D1331" s="2" t="str">
        <f t="shared" si="19"/>
        <v>Error?</v>
      </c>
    </row>
    <row r="1332" spans="1:4" x14ac:dyDescent="0.2">
      <c r="A1332" s="5">
        <v>1271</v>
      </c>
      <c r="B1332" s="138">
        <f>'Expenditures 15-22'!K174</f>
        <v>998381</v>
      </c>
      <c r="C1332" s="2" t="s">
        <v>573</v>
      </c>
      <c r="D1332" s="2" t="str">
        <f t="shared" si="19"/>
        <v>Error?</v>
      </c>
    </row>
    <row r="1333" spans="1:4" x14ac:dyDescent="0.2">
      <c r="A1333" s="5">
        <v>1272</v>
      </c>
      <c r="B1333" s="138">
        <f>'Expenditures 15-22'!K175</f>
        <v>-101012</v>
      </c>
      <c r="C1333" s="2" t="s">
        <v>573</v>
      </c>
      <c r="D1333" s="2" t="str">
        <f t="shared" si="19"/>
        <v>Error?</v>
      </c>
    </row>
    <row r="1334" spans="1:4" x14ac:dyDescent="0.2">
      <c r="A1334" s="10">
        <v>1273</v>
      </c>
      <c r="D1334" s="2" t="str">
        <f t="shared" si="19"/>
        <v>OK</v>
      </c>
    </row>
    <row r="1335" spans="1:4" x14ac:dyDescent="0.2">
      <c r="A1335" s="5">
        <v>1274</v>
      </c>
      <c r="B1335" s="138">
        <f>'Expenditures 15-22'!C182</f>
        <v>435101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435101</v>
      </c>
      <c r="C1339" s="2" t="s">
        <v>573</v>
      </c>
      <c r="D1339" s="2" t="str">
        <f t="shared" si="19"/>
        <v>Error?</v>
      </c>
    </row>
    <row r="1340" spans="1:4" x14ac:dyDescent="0.2">
      <c r="A1340" s="5">
        <v>1279</v>
      </c>
      <c r="B1340" s="138">
        <f>'Expenditures 15-22'!C210</f>
        <v>435101</v>
      </c>
      <c r="C1340" s="2" t="s">
        <v>573</v>
      </c>
      <c r="D1340" s="2" t="str">
        <f t="shared" si="19"/>
        <v>Error?</v>
      </c>
    </row>
    <row r="1341" spans="1:4" x14ac:dyDescent="0.2">
      <c r="A1341" s="5">
        <v>1280</v>
      </c>
      <c r="B1341" s="138">
        <f>'Expenditures 15-22'!D182</f>
        <v>54393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54393</v>
      </c>
      <c r="C1345" s="2" t="s">
        <v>573</v>
      </c>
      <c r="D1345" s="2" t="str">
        <f t="shared" si="20"/>
        <v>Error?</v>
      </c>
    </row>
    <row r="1346" spans="1:4" x14ac:dyDescent="0.2">
      <c r="A1346" s="5">
        <v>1285</v>
      </c>
      <c r="B1346" s="138">
        <f>'Expenditures 15-22'!D210</f>
        <v>54393</v>
      </c>
      <c r="C1346" s="2" t="s">
        <v>573</v>
      </c>
      <c r="D1346" s="2" t="str">
        <f t="shared" si="20"/>
        <v>Error?</v>
      </c>
    </row>
    <row r="1347" spans="1:4" x14ac:dyDescent="0.2">
      <c r="A1347" s="5">
        <v>1286</v>
      </c>
      <c r="B1347" s="138">
        <f>'Expenditures 15-22'!E182</f>
        <v>33446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33446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33446</v>
      </c>
      <c r="C1353" s="2" t="s">
        <v>573</v>
      </c>
      <c r="D1353" s="2" t="str">
        <f t="shared" si="20"/>
        <v>Error?</v>
      </c>
    </row>
    <row r="1354" spans="1:4" x14ac:dyDescent="0.2">
      <c r="A1354" s="5">
        <v>1293</v>
      </c>
      <c r="B1354" s="138">
        <f>'Expenditures 15-22'!F182</f>
        <v>148364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148364</v>
      </c>
      <c r="C1358" s="2" t="s">
        <v>573</v>
      </c>
      <c r="D1358" s="2" t="str">
        <f t="shared" si="20"/>
        <v>Error?</v>
      </c>
    </row>
    <row r="1359" spans="1:4" x14ac:dyDescent="0.2">
      <c r="A1359" s="5">
        <v>1298</v>
      </c>
      <c r="B1359" s="138">
        <f>'Expenditures 15-22'!F210</f>
        <v>148364</v>
      </c>
      <c r="C1359" s="2" t="s">
        <v>573</v>
      </c>
      <c r="D1359" s="2" t="str">
        <f t="shared" si="20"/>
        <v>Error?</v>
      </c>
    </row>
    <row r="1360" spans="1:4" x14ac:dyDescent="0.2">
      <c r="A1360" s="5">
        <v>1299</v>
      </c>
      <c r="B1360" s="138">
        <f>'Expenditures 15-22'!G182</f>
        <v>405140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405140</v>
      </c>
      <c r="C1364" s="2" t="s">
        <v>573</v>
      </c>
      <c r="D1364" s="2" t="str">
        <f t="shared" si="20"/>
        <v>Error?</v>
      </c>
    </row>
    <row r="1365" spans="1:4" x14ac:dyDescent="0.2">
      <c r="A1365" s="5">
        <v>1304</v>
      </c>
      <c r="B1365" s="138">
        <f>'Expenditures 15-22'!G210</f>
        <v>405140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1076689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1076689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1076689</v>
      </c>
      <c r="C1388" s="2" t="s">
        <v>573</v>
      </c>
      <c r="D1388" s="2" t="str">
        <f t="shared" si="20"/>
        <v>Error?</v>
      </c>
    </row>
    <row r="1389" spans="1:4" x14ac:dyDescent="0.2">
      <c r="A1389" s="5">
        <v>1328</v>
      </c>
      <c r="B1389" s="138">
        <f>'Expenditures 15-22'!K211</f>
        <v>-65541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1098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4162</v>
      </c>
      <c r="D1407" s="2" t="str">
        <f t="shared" ref="D1407:D1470" si="21">IF(ISBLANK(B1407),"OK",IF(A1407-B1407=0,"OK","Error?"))</f>
        <v>Error?</v>
      </c>
    </row>
    <row r="1408" spans="1:4" x14ac:dyDescent="0.2">
      <c r="A1408" s="5">
        <v>1347</v>
      </c>
      <c r="B1408" s="138">
        <f>'Expenditures 15-22'!D223</f>
        <v>9798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149591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2592</v>
      </c>
      <c r="D1412" s="2" t="str">
        <f t="shared" si="21"/>
        <v>Error?</v>
      </c>
    </row>
    <row r="1413" spans="1:4" x14ac:dyDescent="0.2">
      <c r="A1413" s="5">
        <v>1352</v>
      </c>
      <c r="B1413" s="138">
        <f>'Expenditures 15-22'!D234</f>
        <v>5447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8039</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5416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5416</v>
      </c>
      <c r="C1421" s="2" t="s">
        <v>573</v>
      </c>
      <c r="D1421" s="2" t="str">
        <f t="shared" si="21"/>
        <v>Error?</v>
      </c>
    </row>
    <row r="1422" spans="1:4" x14ac:dyDescent="0.2">
      <c r="A1422" s="5">
        <v>1361</v>
      </c>
      <c r="B1422" s="138">
        <f>'Expenditures 15-22'!D245</f>
        <v>184</v>
      </c>
      <c r="D1422" s="2" t="str">
        <f t="shared" si="21"/>
        <v>Error?</v>
      </c>
    </row>
    <row r="1423" spans="1:4" x14ac:dyDescent="0.2">
      <c r="A1423" s="5">
        <v>1362</v>
      </c>
      <c r="B1423" s="138">
        <f>'Expenditures 15-22'!D246</f>
        <v>8141</v>
      </c>
      <c r="D1423" s="2" t="str">
        <f t="shared" si="21"/>
        <v>Error?</v>
      </c>
    </row>
    <row r="1424" spans="1:4" x14ac:dyDescent="0.2">
      <c r="A1424" s="5">
        <v>1363</v>
      </c>
      <c r="B1424" s="138">
        <f>'Expenditures 15-22'!D257</f>
        <v>14599</v>
      </c>
      <c r="C1424" s="2" t="s">
        <v>573</v>
      </c>
      <c r="D1424" s="2" t="str">
        <f t="shared" si="21"/>
        <v>Error?</v>
      </c>
    </row>
    <row r="1425" spans="1:4" x14ac:dyDescent="0.2">
      <c r="A1425" s="5">
        <v>1364</v>
      </c>
      <c r="B1425" s="138">
        <f>'Expenditures 15-22'!D259</f>
        <v>27323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27323</v>
      </c>
      <c r="C1427" s="2" t="s">
        <v>573</v>
      </c>
      <c r="D1427" s="2" t="str">
        <f t="shared" si="21"/>
        <v>Error?</v>
      </c>
    </row>
    <row r="1428" spans="1:4" x14ac:dyDescent="0.2">
      <c r="A1428" s="5">
        <v>1367</v>
      </c>
      <c r="B1428" s="138">
        <f>'Expenditures 15-22'!D263</f>
        <v>633</v>
      </c>
      <c r="D1428" s="2" t="str">
        <f t="shared" si="21"/>
        <v>Error?</v>
      </c>
    </row>
    <row r="1429" spans="1:4" x14ac:dyDescent="0.2">
      <c r="A1429" s="5">
        <v>1368</v>
      </c>
      <c r="B1429" s="138">
        <f>'Expenditures 15-22'!D264</f>
        <v>15486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66321</v>
      </c>
      <c r="D1431" s="2" t="str">
        <f t="shared" si="21"/>
        <v>Error?</v>
      </c>
    </row>
    <row r="1432" spans="1:4" x14ac:dyDescent="0.2">
      <c r="A1432" s="5">
        <v>1371</v>
      </c>
      <c r="B1432" s="138">
        <f>'Expenditures 15-22'!D267</f>
        <v>69728</v>
      </c>
      <c r="D1432" s="2" t="str">
        <f t="shared" si="21"/>
        <v>Error?</v>
      </c>
    </row>
    <row r="1433" spans="1:4" x14ac:dyDescent="0.2">
      <c r="A1433" s="5">
        <v>1372</v>
      </c>
      <c r="B1433" s="138">
        <f>'Expenditures 15-22'!D268</f>
        <v>36386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188554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15363</v>
      </c>
      <c r="D1442" s="2" t="str">
        <f t="shared" si="21"/>
        <v>Error?</v>
      </c>
    </row>
    <row r="1443" spans="1:4" x14ac:dyDescent="0.2">
      <c r="A1443" s="10">
        <v>1382</v>
      </c>
      <c r="D1443" s="2" t="str">
        <f t="shared" si="21"/>
        <v>OK</v>
      </c>
    </row>
    <row r="1444" spans="1:4" x14ac:dyDescent="0.2">
      <c r="A1444" s="5">
        <v>1383</v>
      </c>
      <c r="B1444" s="138">
        <f>'Expenditures 15-22'!D277</f>
        <v>15363</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259294</v>
      </c>
      <c r="C1446" s="2" t="s">
        <v>573</v>
      </c>
      <c r="D1446" s="2" t="str">
        <f t="shared" si="21"/>
        <v>Error?</v>
      </c>
    </row>
    <row r="1447" spans="1:4" x14ac:dyDescent="0.2">
      <c r="A1447" s="5">
        <v>1386</v>
      </c>
      <c r="B1447" s="138">
        <f>'Expenditures 15-22'!D280</f>
        <v>19057</v>
      </c>
      <c r="D1447" s="2" t="str">
        <f t="shared" si="21"/>
        <v>Error?</v>
      </c>
    </row>
    <row r="1448" spans="1:4" x14ac:dyDescent="0.2">
      <c r="A1448" s="5">
        <v>1387</v>
      </c>
      <c r="B1448" s="138">
        <f>'Expenditures 15-22'!D295</f>
        <v>427942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1098</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4162</v>
      </c>
      <c r="C1471" s="2" t="s">
        <v>573</v>
      </c>
      <c r="D1471" s="2" t="str">
        <f t="shared" ref="D1471:D1534" si="22">IF(ISBLANK(B1471),"OK",IF(A1471-B1471=0,"OK","Error?"))</f>
        <v>Error?</v>
      </c>
    </row>
    <row r="1472" spans="1:4" x14ac:dyDescent="0.2">
      <c r="A1472" s="5">
        <v>1411</v>
      </c>
      <c r="B1472" s="138">
        <f>'Expenditures 15-22'!K223</f>
        <v>9798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149591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2592</v>
      </c>
      <c r="C1476" s="2" t="s">
        <v>573</v>
      </c>
      <c r="D1476" s="2" t="str">
        <f t="shared" si="22"/>
        <v>Error?</v>
      </c>
    </row>
    <row r="1477" spans="1:4" x14ac:dyDescent="0.2">
      <c r="A1477" s="5">
        <v>1416</v>
      </c>
      <c r="B1477" s="138">
        <f>'Expenditures 15-22'!K234</f>
        <v>5447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8039</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5416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5416</v>
      </c>
      <c r="C1485" s="2" t="s">
        <v>573</v>
      </c>
      <c r="D1485" s="2" t="str">
        <f t="shared" si="22"/>
        <v>Error?</v>
      </c>
    </row>
    <row r="1486" spans="1:4" x14ac:dyDescent="0.2">
      <c r="A1486" s="5">
        <v>1425</v>
      </c>
      <c r="B1486" s="138">
        <f>'Expenditures 15-22'!K245</f>
        <v>184</v>
      </c>
      <c r="C1486" s="2" t="s">
        <v>573</v>
      </c>
      <c r="D1486" s="2" t="str">
        <f t="shared" si="22"/>
        <v>Error?</v>
      </c>
    </row>
    <row r="1487" spans="1:4" x14ac:dyDescent="0.2">
      <c r="A1487" s="5">
        <v>1426</v>
      </c>
      <c r="B1487" s="138">
        <f>'Expenditures 15-22'!K246</f>
        <v>8141</v>
      </c>
      <c r="C1487" s="2" t="s">
        <v>573</v>
      </c>
      <c r="D1487" s="2" t="str">
        <f t="shared" si="22"/>
        <v>Error?</v>
      </c>
    </row>
    <row r="1488" spans="1:4" x14ac:dyDescent="0.2">
      <c r="A1488" s="5">
        <v>1427</v>
      </c>
      <c r="B1488" s="138">
        <f>'Expenditures 15-22'!K257</f>
        <v>14599</v>
      </c>
      <c r="C1488" s="2" t="s">
        <v>573</v>
      </c>
      <c r="D1488" s="2" t="str">
        <f t="shared" si="22"/>
        <v>Error?</v>
      </c>
    </row>
    <row r="1489" spans="1:4" x14ac:dyDescent="0.2">
      <c r="A1489" s="5">
        <v>1428</v>
      </c>
      <c r="B1489" s="138">
        <f>'Expenditures 15-22'!K259</f>
        <v>27323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27323</v>
      </c>
      <c r="C1491" s="2" t="s">
        <v>573</v>
      </c>
      <c r="D1491" s="2" t="str">
        <f t="shared" si="22"/>
        <v>Error?</v>
      </c>
    </row>
    <row r="1492" spans="1:4" x14ac:dyDescent="0.2">
      <c r="A1492" s="5">
        <v>1431</v>
      </c>
      <c r="B1492" s="138">
        <f>'Expenditures 15-22'!K263</f>
        <v>633</v>
      </c>
      <c r="C1492" s="2" t="s">
        <v>573</v>
      </c>
      <c r="D1492" s="2" t="str">
        <f t="shared" si="22"/>
        <v>Error?</v>
      </c>
    </row>
    <row r="1493" spans="1:4" x14ac:dyDescent="0.2">
      <c r="A1493" s="5">
        <v>1432</v>
      </c>
      <c r="B1493" s="138">
        <f>'Expenditures 15-22'!K264</f>
        <v>15486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66321</v>
      </c>
      <c r="C1495" s="2" t="s">
        <v>573</v>
      </c>
      <c r="D1495" s="2" t="str">
        <f t="shared" si="22"/>
        <v>Error?</v>
      </c>
    </row>
    <row r="1496" spans="1:4" x14ac:dyDescent="0.2">
      <c r="A1496" s="5">
        <v>1435</v>
      </c>
      <c r="B1496" s="138">
        <f>'Expenditures 15-22'!K267</f>
        <v>69728</v>
      </c>
      <c r="C1496" s="2" t="s">
        <v>573</v>
      </c>
      <c r="D1496" s="2" t="str">
        <f t="shared" si="22"/>
        <v>Error?</v>
      </c>
    </row>
    <row r="1497" spans="1:4" x14ac:dyDescent="0.2">
      <c r="A1497" s="5">
        <v>1436</v>
      </c>
      <c r="B1497" s="138">
        <f>'Expenditures 15-22'!K268</f>
        <v>36386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188554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15363</v>
      </c>
      <c r="C1506" s="2" t="s">
        <v>573</v>
      </c>
      <c r="D1506" s="2" t="str">
        <f t="shared" si="22"/>
        <v>Error?</v>
      </c>
    </row>
    <row r="1507" spans="1:4" x14ac:dyDescent="0.2">
      <c r="A1507" s="10">
        <v>1446</v>
      </c>
      <c r="D1507" s="2" t="str">
        <f t="shared" si="22"/>
        <v>OK</v>
      </c>
    </row>
    <row r="1508" spans="1:4" x14ac:dyDescent="0.2">
      <c r="A1508" s="5">
        <v>1447</v>
      </c>
      <c r="B1508" s="138">
        <f>'Expenditures 15-22'!K277</f>
        <v>15363</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259294</v>
      </c>
      <c r="C1510" s="2" t="s">
        <v>573</v>
      </c>
      <c r="D1510" s="2" t="str">
        <f t="shared" si="22"/>
        <v>Error?</v>
      </c>
    </row>
    <row r="1511" spans="1:4" x14ac:dyDescent="0.2">
      <c r="A1511" s="5">
        <v>1450</v>
      </c>
      <c r="B1511" s="138">
        <f>'Expenditures 15-22'!K280</f>
        <v>19057</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427942</v>
      </c>
      <c r="C1517" s="2" t="s">
        <v>573</v>
      </c>
      <c r="D1517" s="2" t="str">
        <f t="shared" si="22"/>
        <v>Error?</v>
      </c>
    </row>
    <row r="1518" spans="1:4" x14ac:dyDescent="0.2">
      <c r="A1518" s="5">
        <v>1457</v>
      </c>
      <c r="B1518" s="138">
        <f>'Expenditures 15-22'!K296</f>
        <v>-155504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1378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6316098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4699164</v>
      </c>
      <c r="C1630" s="2" t="s">
        <v>573</v>
      </c>
      <c r="D1630" s="2" t="str">
        <f t="shared" si="24"/>
        <v>Error?</v>
      </c>
    </row>
    <row r="1631" spans="1:4" x14ac:dyDescent="0.2">
      <c r="A1631" s="5">
        <v>1570</v>
      </c>
      <c r="B1631" s="138">
        <f>'Acct Summary 7-8'!D79</f>
        <v>1923674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1834937</v>
      </c>
      <c r="C1644" s="2" t="s">
        <v>573</v>
      </c>
      <c r="D1644" s="2" t="str">
        <f t="shared" si="24"/>
        <v>Error?</v>
      </c>
    </row>
    <row r="1645" spans="1:4" x14ac:dyDescent="0.2">
      <c r="A1645" s="5">
        <v>1584</v>
      </c>
      <c r="B1645" s="138">
        <f>'Acct Summary 7-8'!E79</f>
        <v>-7251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-107752</v>
      </c>
      <c r="C1658" s="2" t="s">
        <v>573</v>
      </c>
      <c r="D1658" s="2" t="str">
        <f t="shared" si="24"/>
        <v>Error?</v>
      </c>
    </row>
    <row r="1659" spans="1:4" x14ac:dyDescent="0.2">
      <c r="A1659" s="5">
        <v>1598</v>
      </c>
      <c r="B1659" s="138">
        <f>'Acct Summary 7-8'!F79</f>
        <v>2282351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2215630</v>
      </c>
      <c r="C1672" s="2" t="s">
        <v>573</v>
      </c>
      <c r="D1672" s="2" t="str">
        <f t="shared" si="25"/>
        <v>Error?</v>
      </c>
    </row>
    <row r="1673" spans="1:4" x14ac:dyDescent="0.2">
      <c r="A1673" s="5">
        <v>1612</v>
      </c>
      <c r="B1673" s="138">
        <f>'Acct Summary 7-8'!G79</f>
        <v>593187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435262</v>
      </c>
      <c r="C1686" s="2" t="s">
        <v>573</v>
      </c>
      <c r="D1686" s="2" t="str">
        <f t="shared" si="25"/>
        <v>Error?</v>
      </c>
    </row>
    <row r="1687" spans="1:4" x14ac:dyDescent="0.2">
      <c r="A1687" s="5">
        <v>1626</v>
      </c>
      <c r="B1687" s="138">
        <f>'Acct Summary 7-8'!H79</f>
        <v>-4460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5986422</v>
      </c>
      <c r="C1744" s="2" t="s">
        <v>573</v>
      </c>
      <c r="D1744" s="2" t="str">
        <f t="shared" si="26"/>
        <v>Error?</v>
      </c>
    </row>
    <row r="1745" spans="1:5" x14ac:dyDescent="0.2">
      <c r="A1745" s="5">
        <v>1684</v>
      </c>
      <c r="B1745" s="138">
        <f>'Tax Sched 23'!B5</f>
        <v>1198905</v>
      </c>
      <c r="C1745" s="2" t="s">
        <v>573</v>
      </c>
      <c r="D1745" s="2" t="str">
        <f t="shared" si="26"/>
        <v>Error?</v>
      </c>
    </row>
    <row r="1746" spans="1:5" x14ac:dyDescent="0.2">
      <c r="A1746" s="5">
        <v>1685</v>
      </c>
      <c r="B1746" s="138">
        <f>'Tax Sched 23'!B6</f>
        <v>670869</v>
      </c>
      <c r="C1746" s="2" t="s">
        <v>573</v>
      </c>
      <c r="D1746" s="2" t="str">
        <f t="shared" si="26"/>
        <v>Error?</v>
      </c>
    </row>
    <row r="1747" spans="1:5" x14ac:dyDescent="0.2">
      <c r="A1747" s="5">
        <v>1686</v>
      </c>
      <c r="B1747" s="138">
        <f>'Tax Sched 23'!B7</f>
        <v>424352</v>
      </c>
      <c r="C1747" s="2" t="s">
        <v>573</v>
      </c>
      <c r="D1747" s="2" t="str">
        <f t="shared" si="26"/>
        <v>Error?</v>
      </c>
    </row>
    <row r="1748" spans="1:5" x14ac:dyDescent="0.2">
      <c r="A1748" s="5">
        <v>1687</v>
      </c>
      <c r="B1748" s="138">
        <f>'Tax Sched 23'!B8</f>
        <v>44017</v>
      </c>
      <c r="C1748" s="2" t="s">
        <v>573</v>
      </c>
      <c r="D1748" s="2" t="str">
        <f t="shared" si="26"/>
        <v>Error?</v>
      </c>
    </row>
    <row r="1749" spans="1:5" x14ac:dyDescent="0.2">
      <c r="A1749" s="5">
        <v>1688</v>
      </c>
      <c r="B1749" s="138">
        <f>'Tax Sched 23'!B10</f>
        <v>45628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713054</v>
      </c>
      <c r="C1752" s="2" t="s">
        <v>573</v>
      </c>
      <c r="D1752" s="2" t="str">
        <f t="shared" si="26"/>
        <v>Error?</v>
      </c>
    </row>
    <row r="1753" spans="1:5" x14ac:dyDescent="0.2">
      <c r="A1753" s="5">
        <v>1692</v>
      </c>
      <c r="B1753" s="138">
        <f>'Tax Sched 23'!B12</f>
        <v>117758</v>
      </c>
      <c r="C1753" s="2" t="s">
        <v>573</v>
      </c>
      <c r="D1753" s="2" t="str">
        <f t="shared" si="26"/>
        <v>Error?</v>
      </c>
    </row>
    <row r="1754" spans="1:5" x14ac:dyDescent="0.2">
      <c r="A1754" s="5">
        <v>1693</v>
      </c>
      <c r="B1754" s="138">
        <f>'Tax Sched 23'!B14</f>
        <v>83516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9507462</v>
      </c>
      <c r="C1759" s="2" t="s">
        <v>573</v>
      </c>
      <c r="D1759" s="2" t="str">
        <f t="shared" si="26"/>
        <v>Error?</v>
      </c>
    </row>
    <row r="1760" spans="1:5" x14ac:dyDescent="0.2">
      <c r="A1760" s="5">
        <v>1699</v>
      </c>
      <c r="B1760" s="138">
        <f>'Tax Sched 23'!D4</f>
        <v>3337451</v>
      </c>
      <c r="C1760" s="2" t="s">
        <v>573</v>
      </c>
      <c r="D1760" s="2" t="str">
        <f t="shared" si="26"/>
        <v>Error?</v>
      </c>
    </row>
    <row r="1761" spans="1:5" x14ac:dyDescent="0.2">
      <c r="A1761" s="5">
        <v>1700</v>
      </c>
      <c r="B1761" s="138">
        <f>'Tax Sched 23'!D5</f>
        <v>698079</v>
      </c>
      <c r="C1761" s="2" t="s">
        <v>573</v>
      </c>
      <c r="D1761" s="2" t="str">
        <f t="shared" si="26"/>
        <v>Error?</v>
      </c>
    </row>
    <row r="1762" spans="1:5" s="8" customFormat="1" x14ac:dyDescent="0.2">
      <c r="A1762" s="5">
        <v>1701</v>
      </c>
      <c r="B1762" s="138">
        <f>'Tax Sched 23'!D6</f>
        <v>379009</v>
      </c>
      <c r="C1762" s="2" t="s">
        <v>573</v>
      </c>
      <c r="D1762" s="2" t="str">
        <f t="shared" si="26"/>
        <v>Error?</v>
      </c>
      <c r="E1762" s="9"/>
    </row>
    <row r="1763" spans="1:5" x14ac:dyDescent="0.2">
      <c r="A1763" s="5">
        <v>1702</v>
      </c>
      <c r="B1763" s="138">
        <f>'Tax Sched 23'!D7</f>
        <v>246642</v>
      </c>
      <c r="C1763" s="2" t="s">
        <v>573</v>
      </c>
      <c r="D1763" s="2" t="str">
        <f t="shared" si="26"/>
        <v>Error?</v>
      </c>
    </row>
    <row r="1764" spans="1:5" x14ac:dyDescent="0.2">
      <c r="A1764" s="5">
        <v>1703</v>
      </c>
      <c r="B1764" s="138">
        <f>'Tax Sched 23'!D8</f>
        <v>26214</v>
      </c>
      <c r="C1764" s="2" t="s">
        <v>573</v>
      </c>
      <c r="D1764" s="2" t="str">
        <f t="shared" si="26"/>
        <v>Error?</v>
      </c>
    </row>
    <row r="1765" spans="1:5" x14ac:dyDescent="0.2">
      <c r="A1765" s="5">
        <v>1704</v>
      </c>
      <c r="B1765" s="138">
        <f>'Tax Sched 23'!D10</f>
        <v>26214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425464</v>
      </c>
      <c r="C1768" s="2" t="s">
        <v>573</v>
      </c>
      <c r="D1768" s="2" t="str">
        <f t="shared" si="26"/>
        <v>Error?</v>
      </c>
    </row>
    <row r="1769" spans="1:5" x14ac:dyDescent="0.2">
      <c r="A1769" s="5">
        <v>1708</v>
      </c>
      <c r="B1769" s="138">
        <f>'Tax Sched 23'!D12</f>
        <v>67651</v>
      </c>
      <c r="C1769" s="2" t="s">
        <v>573</v>
      </c>
      <c r="D1769" s="2" t="str">
        <f t="shared" si="26"/>
        <v>Error?</v>
      </c>
    </row>
    <row r="1770" spans="1:5" x14ac:dyDescent="0.2">
      <c r="A1770" s="5">
        <v>1709</v>
      </c>
      <c r="B1770" s="138">
        <f>'Tax Sched 23'!D14</f>
        <v>47990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5385578</v>
      </c>
      <c r="C1775" s="2" t="s">
        <v>573</v>
      </c>
      <c r="D1775" s="2" t="str">
        <f t="shared" si="26"/>
        <v>Error?</v>
      </c>
    </row>
    <row r="1776" spans="1:5" x14ac:dyDescent="0.2">
      <c r="A1776" s="5">
        <v>1715</v>
      </c>
      <c r="B1776" s="138">
        <f>'Tax Sched 23'!C4</f>
        <v>2648971</v>
      </c>
      <c r="D1776" s="2" t="str">
        <f t="shared" si="26"/>
        <v>Error?</v>
      </c>
    </row>
    <row r="1777" spans="1:4" x14ac:dyDescent="0.2">
      <c r="A1777" s="5">
        <v>1716</v>
      </c>
      <c r="B1777" s="138">
        <f>'Tax Sched 23'!C5</f>
        <v>500826</v>
      </c>
      <c r="D1777" s="2" t="str">
        <f t="shared" si="26"/>
        <v>Error?</v>
      </c>
    </row>
    <row r="1778" spans="1:4" x14ac:dyDescent="0.2">
      <c r="A1778" s="5">
        <v>1717</v>
      </c>
      <c r="B1778" s="138">
        <f>'Tax Sched 23'!C6</f>
        <v>291860</v>
      </c>
      <c r="D1778" s="2" t="str">
        <f t="shared" si="26"/>
        <v>Error?</v>
      </c>
    </row>
    <row r="1779" spans="1:4" x14ac:dyDescent="0.2">
      <c r="A1779" s="5">
        <v>1718</v>
      </c>
      <c r="B1779" s="138">
        <f>'Tax Sched 23'!C7</f>
        <v>177710</v>
      </c>
      <c r="D1779" s="2" t="str">
        <f t="shared" si="26"/>
        <v>Error?</v>
      </c>
    </row>
    <row r="1780" spans="1:4" x14ac:dyDescent="0.2">
      <c r="A1780" s="5">
        <v>1719</v>
      </c>
      <c r="B1780" s="138">
        <f>'Tax Sched 23'!C8</f>
        <v>17803</v>
      </c>
      <c r="D1780" s="2" t="str">
        <f t="shared" si="26"/>
        <v>Error?</v>
      </c>
    </row>
    <row r="1781" spans="1:4" x14ac:dyDescent="0.2">
      <c r="A1781" s="5">
        <v>1720</v>
      </c>
      <c r="B1781" s="138">
        <f>'Tax Sched 23'!C10</f>
        <v>19414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287590</v>
      </c>
      <c r="D1784" s="2" t="str">
        <f t="shared" si="26"/>
        <v>Error?</v>
      </c>
    </row>
    <row r="1785" spans="1:4" x14ac:dyDescent="0.2">
      <c r="A1785" s="5">
        <v>1724</v>
      </c>
      <c r="B1785" s="138">
        <f>'Tax Sched 23'!C12</f>
        <v>50107</v>
      </c>
      <c r="D1785" s="2" t="str">
        <f t="shared" si="26"/>
        <v>Error?</v>
      </c>
    </row>
    <row r="1786" spans="1:4" x14ac:dyDescent="0.2">
      <c r="A1786" s="5">
        <v>1725</v>
      </c>
      <c r="B1786" s="138">
        <f>'Tax Sched 23'!C14</f>
        <v>35526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4121884</v>
      </c>
      <c r="C1791" s="2" t="s">
        <v>573</v>
      </c>
      <c r="D1791" s="2" t="str">
        <f t="shared" ref="D1791:D1854" si="27">IF(ISBLANK(B1791),"OK",IF(A1791-B1791=0,"OK","Error?"))</f>
        <v>Error?</v>
      </c>
    </row>
    <row r="1792" spans="1:4" x14ac:dyDescent="0.2">
      <c r="A1792" s="5">
        <v>1731</v>
      </c>
      <c r="B1792" s="138">
        <f>'Tax Sched 23'!F4</f>
        <v>4806332</v>
      </c>
      <c r="C1792" s="2" t="s">
        <v>573</v>
      </c>
      <c r="D1792" s="2" t="str">
        <f t="shared" si="27"/>
        <v>Error?</v>
      </c>
    </row>
    <row r="1793" spans="1:4" x14ac:dyDescent="0.2">
      <c r="A1793" s="5">
        <v>1732</v>
      </c>
      <c r="B1793" s="138">
        <f>'Tax Sched 23'!F5</f>
        <v>908705</v>
      </c>
      <c r="C1793" s="2" t="s">
        <v>573</v>
      </c>
      <c r="D1793" s="2" t="str">
        <f t="shared" si="27"/>
        <v>Error?</v>
      </c>
    </row>
    <row r="1794" spans="1:4" x14ac:dyDescent="0.2">
      <c r="A1794" s="5">
        <v>1733</v>
      </c>
      <c r="B1794" s="138">
        <f>'Tax Sched 23'!F6</f>
        <v>629554</v>
      </c>
      <c r="C1794" s="2" t="s">
        <v>573</v>
      </c>
      <c r="D1794" s="2" t="str">
        <f t="shared" si="27"/>
        <v>Error?</v>
      </c>
    </row>
    <row r="1795" spans="1:4" x14ac:dyDescent="0.2">
      <c r="A1795" s="5">
        <v>1734</v>
      </c>
      <c r="B1795" s="138">
        <f>'Tax Sched 23'!F7</f>
        <v>322439</v>
      </c>
      <c r="C1795" s="2" t="s">
        <v>573</v>
      </c>
      <c r="D1795" s="2" t="str">
        <f t="shared" si="27"/>
        <v>Error?</v>
      </c>
    </row>
    <row r="1796" spans="1:4" x14ac:dyDescent="0.2">
      <c r="A1796" s="5">
        <v>1735</v>
      </c>
      <c r="B1796" s="138">
        <f>'Tax Sched 23'!F8</f>
        <v>32303</v>
      </c>
      <c r="C1796" s="2" t="s">
        <v>573</v>
      </c>
      <c r="D1796" s="2" t="str">
        <f t="shared" si="27"/>
        <v>Error?</v>
      </c>
    </row>
    <row r="1797" spans="1:4" x14ac:dyDescent="0.2">
      <c r="A1797" s="5">
        <v>1736</v>
      </c>
      <c r="B1797" s="138">
        <f>'Tax Sched 23'!F10</f>
        <v>35226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521808</v>
      </c>
      <c r="C1800" s="2" t="s">
        <v>573</v>
      </c>
      <c r="D1800" s="2" t="str">
        <f t="shared" si="27"/>
        <v>Error?</v>
      </c>
    </row>
    <row r="1801" spans="1:4" x14ac:dyDescent="0.2">
      <c r="A1801" s="5">
        <v>1740</v>
      </c>
      <c r="B1801" s="138">
        <f>'Tax Sched 23'!F12</f>
        <v>90914</v>
      </c>
      <c r="C1801" s="2" t="s">
        <v>573</v>
      </c>
      <c r="D1801" s="2" t="str">
        <f t="shared" si="27"/>
        <v>Error?</v>
      </c>
    </row>
    <row r="1802" spans="1:4" x14ac:dyDescent="0.2">
      <c r="A1802" s="5">
        <v>1741</v>
      </c>
      <c r="B1802" s="138">
        <f>'Tax Sched 23'!F14</f>
        <v>64458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7578805</v>
      </c>
      <c r="C1807" s="2" t="s">
        <v>573</v>
      </c>
      <c r="D1807" s="2" t="str">
        <f t="shared" si="27"/>
        <v>Error?</v>
      </c>
    </row>
    <row r="1808" spans="1:4" x14ac:dyDescent="0.2">
      <c r="A1808" s="5">
        <v>1747</v>
      </c>
      <c r="B1808" s="138">
        <f>'Tax Sched 23'!E4</f>
        <v>7455303</v>
      </c>
      <c r="D1808" s="2" t="str">
        <f t="shared" si="27"/>
        <v>Error?</v>
      </c>
    </row>
    <row r="1809" spans="1:4" x14ac:dyDescent="0.2">
      <c r="A1809" s="5">
        <v>1748</v>
      </c>
      <c r="B1809" s="138">
        <f>'Tax Sched 23'!E5</f>
        <v>1409531</v>
      </c>
      <c r="D1809" s="2" t="str">
        <f t="shared" si="27"/>
        <v>Error?</v>
      </c>
    </row>
    <row r="1810" spans="1:4" x14ac:dyDescent="0.2">
      <c r="A1810" s="5">
        <v>1749</v>
      </c>
      <c r="B1810" s="138">
        <f>'Tax Sched 23'!E6</f>
        <v>921414</v>
      </c>
      <c r="D1810" s="2" t="str">
        <f t="shared" si="27"/>
        <v>Error?</v>
      </c>
    </row>
    <row r="1811" spans="1:4" x14ac:dyDescent="0.2">
      <c r="A1811" s="5">
        <v>1750</v>
      </c>
      <c r="B1811" s="138">
        <f>'Tax Sched 23'!E7</f>
        <v>500149</v>
      </c>
      <c r="D1811" s="2" t="str">
        <f t="shared" si="27"/>
        <v>Error?</v>
      </c>
    </row>
    <row r="1812" spans="1:4" x14ac:dyDescent="0.2">
      <c r="A1812" s="5">
        <v>1751</v>
      </c>
      <c r="B1812" s="138">
        <f>'Tax Sched 23'!E8</f>
        <v>50106</v>
      </c>
      <c r="D1812" s="2" t="str">
        <f t="shared" si="27"/>
        <v>Error?</v>
      </c>
    </row>
    <row r="1813" spans="1:4" x14ac:dyDescent="0.2">
      <c r="A1813" s="5">
        <v>1752</v>
      </c>
      <c r="B1813" s="138">
        <f>'Tax Sched 23'!E10</f>
        <v>54640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809398</v>
      </c>
      <c r="D1816" s="2" t="str">
        <f t="shared" si="27"/>
        <v>Error?</v>
      </c>
    </row>
    <row r="1817" spans="1:4" x14ac:dyDescent="0.2">
      <c r="A1817" s="5">
        <v>1756</v>
      </c>
      <c r="B1817" s="138">
        <f>'Tax Sched 23'!E12</f>
        <v>141021</v>
      </c>
      <c r="D1817" s="2" t="str">
        <f t="shared" si="27"/>
        <v>Error?</v>
      </c>
    </row>
    <row r="1818" spans="1:4" x14ac:dyDescent="0.2">
      <c r="A1818" s="5">
        <v>1757</v>
      </c>
      <c r="B1818" s="138">
        <f>'Tax Sched 23'!E14</f>
        <v>99984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11700689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4000000</v>
      </c>
      <c r="C1939" s="2" t="s">
        <v>573</v>
      </c>
      <c r="D1939" s="2" t="str">
        <f t="shared" si="29"/>
        <v>Error?</v>
      </c>
    </row>
    <row r="1940" spans="1:5" x14ac:dyDescent="0.2">
      <c r="A1940" s="5">
        <v>1879</v>
      </c>
      <c r="B1940" s="138">
        <f>'Short-Term Long-Term Debt 24'!F49</f>
        <v>4170000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83516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83516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83516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767974</v>
      </c>
      <c r="D2008" s="2" t="str">
        <f t="shared" si="30"/>
        <v>Error?</v>
      </c>
    </row>
    <row r="2009" spans="1:4" x14ac:dyDescent="0.2">
      <c r="A2009" s="5">
        <v>1948</v>
      </c>
      <c r="B2009" s="138">
        <f>'Cap Outlay Deprec 26'!C8</f>
        <v>37986782</v>
      </c>
      <c r="D2009" s="2" t="str">
        <f t="shared" si="30"/>
        <v>Error?</v>
      </c>
    </row>
    <row r="2010" spans="1:4" x14ac:dyDescent="0.2">
      <c r="A2010" s="5">
        <v>1949</v>
      </c>
      <c r="B2010" s="138">
        <f>'Cap Outlay Deprec 26'!C10</f>
        <v>835659</v>
      </c>
      <c r="D2010" s="2" t="str">
        <f t="shared" si="30"/>
        <v>Error?</v>
      </c>
    </row>
    <row r="2011" spans="1:4" x14ac:dyDescent="0.2">
      <c r="A2011" s="5">
        <v>1950</v>
      </c>
      <c r="B2011" s="138">
        <f>'Cap Outlay Deprec 26'!C12</f>
        <v>1289103</v>
      </c>
      <c r="D2011" s="2" t="str">
        <f t="shared" si="30"/>
        <v>Error?</v>
      </c>
    </row>
    <row r="2012" spans="1:4" x14ac:dyDescent="0.2">
      <c r="A2012" s="5">
        <v>1951</v>
      </c>
      <c r="B2012" s="138">
        <f>'Cap Outlay Deprec 26'!C13</f>
        <v>1918974</v>
      </c>
      <c r="D2012" s="2" t="str">
        <f t="shared" si="30"/>
        <v>Error?</v>
      </c>
    </row>
    <row r="2013" spans="1:4" x14ac:dyDescent="0.2">
      <c r="A2013" s="5">
        <v>1952</v>
      </c>
      <c r="B2013" s="138">
        <f>'Cap Outlay Deprec 26'!C16</f>
        <v>42798492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127338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170668</v>
      </c>
      <c r="D2017" s="2" t="str">
        <f t="shared" si="30"/>
        <v>Error?</v>
      </c>
    </row>
    <row r="2018" spans="1:4" x14ac:dyDescent="0.2">
      <c r="A2018" s="5">
        <v>1957</v>
      </c>
      <c r="B2018" s="138">
        <f>'Cap Outlay Deprec 26'!D13</f>
        <v>396820</v>
      </c>
      <c r="D2018" s="2" t="str">
        <f t="shared" si="30"/>
        <v>Error?</v>
      </c>
    </row>
    <row r="2019" spans="1:4" x14ac:dyDescent="0.2">
      <c r="A2019" s="5">
        <v>1958</v>
      </c>
      <c r="B2019" s="138">
        <f>'Cap Outlay Deprec 26'!D16</f>
        <v>722490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94418</v>
      </c>
      <c r="D2023" s="2" t="str">
        <f t="shared" si="30"/>
        <v>Error?</v>
      </c>
    </row>
    <row r="2024" spans="1:4" x14ac:dyDescent="0.2">
      <c r="A2024" s="5">
        <v>1963</v>
      </c>
      <c r="B2024" s="138">
        <f>'Cap Outlay Deprec 26'!E13</f>
        <v>554891</v>
      </c>
      <c r="D2024" s="2" t="str">
        <f t="shared" si="30"/>
        <v>Error?</v>
      </c>
    </row>
    <row r="2025" spans="1:4" x14ac:dyDescent="0.2">
      <c r="A2025" s="5">
        <v>1964</v>
      </c>
      <c r="B2025" s="138">
        <f>'Cap Outlay Deprec 26'!E16</f>
        <v>649309</v>
      </c>
      <c r="C2025" s="2" t="s">
        <v>573</v>
      </c>
      <c r="D2025" s="2" t="str">
        <f t="shared" si="30"/>
        <v>Error?</v>
      </c>
    </row>
    <row r="2026" spans="1:4" x14ac:dyDescent="0.2">
      <c r="A2026" s="5">
        <v>1965</v>
      </c>
      <c r="B2026" s="138">
        <f>'Cap Outlay Deprec 26'!F5</f>
        <v>767974</v>
      </c>
      <c r="C2026" s="2" t="s">
        <v>573</v>
      </c>
      <c r="D2026" s="2" t="str">
        <f t="shared" si="30"/>
        <v>Error?</v>
      </c>
    </row>
    <row r="2027" spans="1:4" x14ac:dyDescent="0.2">
      <c r="A2027" s="5">
        <v>1966</v>
      </c>
      <c r="B2027" s="138">
        <f>'Cap Outlay Deprec 26'!F8</f>
        <v>38114120</v>
      </c>
      <c r="C2027" s="2" t="s">
        <v>573</v>
      </c>
      <c r="D2027" s="2" t="str">
        <f t="shared" si="30"/>
        <v>Error?</v>
      </c>
    </row>
    <row r="2028" spans="1:4" x14ac:dyDescent="0.2">
      <c r="A2028" s="5">
        <v>1967</v>
      </c>
      <c r="B2028" s="138">
        <f>'Cap Outlay Deprec 26'!F10</f>
        <v>835659</v>
      </c>
      <c r="C2028" s="2" t="s">
        <v>573</v>
      </c>
      <c r="D2028" s="2" t="str">
        <f t="shared" si="30"/>
        <v>Error?</v>
      </c>
    </row>
    <row r="2029" spans="1:4" x14ac:dyDescent="0.2">
      <c r="A2029" s="5">
        <v>1968</v>
      </c>
      <c r="B2029" s="138">
        <f>'Cap Outlay Deprec 26'!F12</f>
        <v>1365353</v>
      </c>
      <c r="C2029" s="2" t="s">
        <v>573</v>
      </c>
      <c r="D2029" s="2" t="str">
        <f t="shared" si="30"/>
        <v>Error?</v>
      </c>
    </row>
    <row r="2030" spans="1:4" x14ac:dyDescent="0.2">
      <c r="A2030" s="5">
        <v>1969</v>
      </c>
      <c r="B2030" s="138">
        <f>'Cap Outlay Deprec 26'!F13</f>
        <v>1760903</v>
      </c>
      <c r="C2030" s="2" t="s">
        <v>573</v>
      </c>
      <c r="D2030" s="2" t="str">
        <f t="shared" si="30"/>
        <v>Error?</v>
      </c>
    </row>
    <row r="2031" spans="1:4" x14ac:dyDescent="0.2">
      <c r="A2031" s="5">
        <v>1970</v>
      </c>
      <c r="B2031" s="138">
        <f>'Cap Outlay Deprec 26'!F16</f>
        <v>42871673</v>
      </c>
      <c r="C2031" s="2" t="s">
        <v>573</v>
      </c>
      <c r="D2031" s="2" t="str">
        <f t="shared" si="30"/>
        <v>Error?</v>
      </c>
    </row>
    <row r="2032" spans="1:4" x14ac:dyDescent="0.2">
      <c r="A2032" s="10">
        <v>1971</v>
      </c>
      <c r="D2032" s="2" t="str">
        <f t="shared" si="30"/>
        <v>OK</v>
      </c>
    </row>
    <row r="2033" spans="1:4" x14ac:dyDescent="0.2">
      <c r="A2033" s="5">
        <v>1972</v>
      </c>
      <c r="B2033" s="138">
        <f>'Cap Outlay Deprec 26'!H8</f>
        <v>11085878</v>
      </c>
      <c r="D2033" s="2" t="str">
        <f t="shared" si="30"/>
        <v>Error?</v>
      </c>
    </row>
    <row r="2034" spans="1:4" x14ac:dyDescent="0.2">
      <c r="A2034" s="5">
        <v>1973</v>
      </c>
      <c r="B2034" s="138">
        <f>'Cap Outlay Deprec 26'!H10</f>
        <v>527501</v>
      </c>
      <c r="D2034" s="2" t="str">
        <f t="shared" si="30"/>
        <v>Error?</v>
      </c>
    </row>
    <row r="2035" spans="1:4" x14ac:dyDescent="0.2">
      <c r="A2035" s="5">
        <v>1974</v>
      </c>
      <c r="B2035" s="138">
        <f>'Cap Outlay Deprec 26'!H12</f>
        <v>829247</v>
      </c>
      <c r="D2035" s="2" t="str">
        <f t="shared" si="30"/>
        <v>Error?</v>
      </c>
    </row>
    <row r="2036" spans="1:4" x14ac:dyDescent="0.2">
      <c r="A2036" s="5">
        <v>1975</v>
      </c>
      <c r="B2036" s="138">
        <f>'Cap Outlay Deprec 26'!H13</f>
        <v>1498259</v>
      </c>
      <c r="D2036" s="2" t="str">
        <f t="shared" si="30"/>
        <v>Error?</v>
      </c>
    </row>
    <row r="2037" spans="1:4" x14ac:dyDescent="0.2">
      <c r="A2037" s="5">
        <v>1976</v>
      </c>
      <c r="B2037" s="138">
        <f>'Cap Outlay Deprec 26'!H16</f>
        <v>13940885</v>
      </c>
      <c r="C2037" s="2" t="s">
        <v>573</v>
      </c>
      <c r="D2037" s="2" t="str">
        <f t="shared" si="30"/>
        <v>Error?</v>
      </c>
    </row>
    <row r="2038" spans="1:4" x14ac:dyDescent="0.2">
      <c r="A2038" s="10">
        <v>1977</v>
      </c>
      <c r="D2038" s="2" t="str">
        <f t="shared" si="30"/>
        <v>OK</v>
      </c>
    </row>
    <row r="2039" spans="1:4" x14ac:dyDescent="0.2">
      <c r="A2039" s="5">
        <v>1978</v>
      </c>
      <c r="B2039" s="138">
        <f>'Cap Outlay Deprec 26'!I8</f>
        <v>752726</v>
      </c>
      <c r="D2039" s="2" t="str">
        <f t="shared" si="30"/>
        <v>Error?</v>
      </c>
    </row>
    <row r="2040" spans="1:4" x14ac:dyDescent="0.2">
      <c r="A2040" s="5">
        <v>1979</v>
      </c>
      <c r="B2040" s="138">
        <f>'Cap Outlay Deprec 26'!I10</f>
        <v>38391</v>
      </c>
      <c r="D2040" s="2" t="str">
        <f t="shared" si="30"/>
        <v>Error?</v>
      </c>
    </row>
    <row r="2041" spans="1:4" x14ac:dyDescent="0.2">
      <c r="A2041" s="5">
        <v>1980</v>
      </c>
      <c r="B2041" s="138">
        <f>'Cap Outlay Deprec 26'!I12</f>
        <v>110214</v>
      </c>
      <c r="D2041" s="2" t="str">
        <f t="shared" si="30"/>
        <v>Error?</v>
      </c>
    </row>
    <row r="2042" spans="1:4" x14ac:dyDescent="0.2">
      <c r="A2042" s="5">
        <v>1981</v>
      </c>
      <c r="B2042" s="138">
        <f>'Cap Outlay Deprec 26'!I13</f>
        <v>265302</v>
      </c>
      <c r="D2042" s="2" t="str">
        <f t="shared" si="30"/>
        <v>Error?</v>
      </c>
    </row>
    <row r="2043" spans="1:4" x14ac:dyDescent="0.2">
      <c r="A2043" s="5">
        <v>1982</v>
      </c>
      <c r="B2043" s="138">
        <f>'Cap Outlay Deprec 26'!I16</f>
        <v>1166633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94418</v>
      </c>
      <c r="D2047" s="2" t="str">
        <f t="shared" ref="D2047:D2110" si="31">IF(ISBLANK(B2047),"OK",IF(A2047-B2047=0,"OK","Error?"))</f>
        <v>Error?</v>
      </c>
    </row>
    <row r="2048" spans="1:4" x14ac:dyDescent="0.2">
      <c r="A2048" s="5">
        <v>1987</v>
      </c>
      <c r="B2048" s="138">
        <f>'Cap Outlay Deprec 26'!J13</f>
        <v>554891</v>
      </c>
      <c r="D2048" s="2" t="str">
        <f t="shared" si="31"/>
        <v>Error?</v>
      </c>
    </row>
    <row r="2049" spans="1:4" x14ac:dyDescent="0.2">
      <c r="A2049" s="5">
        <v>1988</v>
      </c>
      <c r="B2049" s="138">
        <f>'Cap Outlay Deprec 26'!J16</f>
        <v>649309</v>
      </c>
      <c r="C2049" s="2" t="s">
        <v>573</v>
      </c>
      <c r="D2049" s="2" t="str">
        <f t="shared" si="31"/>
        <v>Error?</v>
      </c>
    </row>
    <row r="2050" spans="1:4" x14ac:dyDescent="0.2">
      <c r="A2050" s="10">
        <v>1989</v>
      </c>
      <c r="D2050" s="2" t="str">
        <f t="shared" si="31"/>
        <v>OK</v>
      </c>
    </row>
    <row r="2051" spans="1:4" x14ac:dyDescent="0.2">
      <c r="A2051" s="5">
        <v>1990</v>
      </c>
      <c r="B2051" s="138">
        <f>'Cap Outlay Deprec 26'!K8</f>
        <v>11838604</v>
      </c>
      <c r="C2051" s="2" t="s">
        <v>573</v>
      </c>
      <c r="D2051" s="2" t="str">
        <f t="shared" si="31"/>
        <v>Error?</v>
      </c>
    </row>
    <row r="2052" spans="1:4" x14ac:dyDescent="0.2">
      <c r="A2052" s="5">
        <v>1991</v>
      </c>
      <c r="B2052" s="138">
        <f>'Cap Outlay Deprec 26'!K10</f>
        <v>565892</v>
      </c>
      <c r="C2052" s="2" t="s">
        <v>573</v>
      </c>
      <c r="D2052" s="2" t="str">
        <f t="shared" si="31"/>
        <v>Error?</v>
      </c>
    </row>
    <row r="2053" spans="1:4" x14ac:dyDescent="0.2">
      <c r="A2053" s="5">
        <v>1992</v>
      </c>
      <c r="B2053" s="138">
        <f>'Cap Outlay Deprec 26'!K12</f>
        <v>845043</v>
      </c>
      <c r="C2053" s="2" t="s">
        <v>573</v>
      </c>
      <c r="D2053" s="2" t="str">
        <f t="shared" si="31"/>
        <v>Error?</v>
      </c>
    </row>
    <row r="2054" spans="1:4" x14ac:dyDescent="0.2">
      <c r="A2054" s="5">
        <v>1993</v>
      </c>
      <c r="B2054" s="138">
        <f>'Cap Outlay Deprec 26'!K13</f>
        <v>1208670</v>
      </c>
      <c r="C2054" s="2" t="s">
        <v>573</v>
      </c>
      <c r="D2054" s="2" t="str">
        <f t="shared" si="31"/>
        <v>Error?</v>
      </c>
    </row>
    <row r="2055" spans="1:4" x14ac:dyDescent="0.2">
      <c r="A2055" s="5">
        <v>1994</v>
      </c>
      <c r="B2055" s="138">
        <f>'Cap Outlay Deprec 26'!K16</f>
        <v>14458209</v>
      </c>
      <c r="C2055" s="2" t="s">
        <v>573</v>
      </c>
      <c r="D2055" s="2" t="str">
        <f t="shared" si="31"/>
        <v>Error?</v>
      </c>
    </row>
    <row r="2056" spans="1:4" x14ac:dyDescent="0.2">
      <c r="A2056" s="5">
        <v>1995</v>
      </c>
      <c r="B2056" s="138">
        <f>'Cap Outlay Deprec 26'!L5</f>
        <v>767974</v>
      </c>
      <c r="C2056" s="2" t="s">
        <v>573</v>
      </c>
      <c r="D2056" s="2" t="str">
        <f t="shared" si="31"/>
        <v>Error?</v>
      </c>
    </row>
    <row r="2057" spans="1:4" x14ac:dyDescent="0.2">
      <c r="A2057" s="5">
        <v>1996</v>
      </c>
      <c r="B2057" s="138">
        <f>'Cap Outlay Deprec 26'!L8</f>
        <v>26275516</v>
      </c>
      <c r="C2057" s="2" t="s">
        <v>573</v>
      </c>
      <c r="D2057" s="2" t="str">
        <f t="shared" si="31"/>
        <v>Error?</v>
      </c>
    </row>
    <row r="2058" spans="1:4" x14ac:dyDescent="0.2">
      <c r="A2058" s="5">
        <v>1997</v>
      </c>
      <c r="B2058" s="138">
        <f>'Cap Outlay Deprec 26'!L10</f>
        <v>269767</v>
      </c>
      <c r="C2058" s="2" t="s">
        <v>573</v>
      </c>
      <c r="D2058" s="2" t="str">
        <f t="shared" si="31"/>
        <v>Error?</v>
      </c>
    </row>
    <row r="2059" spans="1:4" x14ac:dyDescent="0.2">
      <c r="A2059" s="5">
        <v>1998</v>
      </c>
      <c r="B2059" s="138">
        <f>'Cap Outlay Deprec 26'!L12</f>
        <v>520310</v>
      </c>
      <c r="C2059" s="2" t="s">
        <v>573</v>
      </c>
      <c r="D2059" s="2" t="str">
        <f t="shared" si="31"/>
        <v>Error?</v>
      </c>
    </row>
    <row r="2060" spans="1:4" x14ac:dyDescent="0.2">
      <c r="A2060" s="5">
        <v>1999</v>
      </c>
      <c r="B2060" s="138">
        <f>'Cap Outlay Deprec 26'!L13</f>
        <v>552233</v>
      </c>
      <c r="C2060" s="2" t="s">
        <v>573</v>
      </c>
      <c r="D2060" s="2" t="str">
        <f t="shared" si="31"/>
        <v>Error?</v>
      </c>
    </row>
    <row r="2061" spans="1:4" x14ac:dyDescent="0.2">
      <c r="A2061" s="5">
        <v>2000</v>
      </c>
      <c r="B2061" s="138">
        <f>'Cap Outlay Deprec 26'!L16</f>
        <v>28413464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650740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650740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9315</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9315</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17957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7226062</v>
      </c>
      <c r="C2551" s="2" t="s">
        <v>573</v>
      </c>
      <c r="D2551" s="2" t="str">
        <f t="shared" si="38"/>
        <v>Error?</v>
      </c>
    </row>
    <row r="2552" spans="1:4" x14ac:dyDescent="0.2">
      <c r="A2552" s="10">
        <v>2491</v>
      </c>
      <c r="D2552" s="2" t="str">
        <f t="shared" si="38"/>
        <v>OK</v>
      </c>
    </row>
    <row r="2553" spans="1:4" x14ac:dyDescent="0.2">
      <c r="A2553" s="5">
        <v>2492</v>
      </c>
      <c r="B2553" s="138">
        <f>'Acct Summary 7-8'!C6</f>
        <v>1708451</v>
      </c>
      <c r="C2553" s="2" t="s">
        <v>573</v>
      </c>
      <c r="D2553" s="2" t="str">
        <f t="shared" si="38"/>
        <v>Error?</v>
      </c>
    </row>
    <row r="2554" spans="1:4" x14ac:dyDescent="0.2">
      <c r="A2554" s="5">
        <v>2493</v>
      </c>
      <c r="B2554" s="138">
        <f>'Acct Summary 7-8'!C7</f>
        <v>460070</v>
      </c>
      <c r="C2554" s="2" t="s">
        <v>573</v>
      </c>
      <c r="D2554" s="2" t="str">
        <f t="shared" si="38"/>
        <v>Error?</v>
      </c>
    </row>
    <row r="2555" spans="1:4" x14ac:dyDescent="0.2">
      <c r="A2555" s="5">
        <v>2494</v>
      </c>
      <c r="B2555" s="138">
        <f>'Acct Summary 7-8'!C8</f>
        <v>9575633</v>
      </c>
      <c r="C2555" s="2" t="s">
        <v>573</v>
      </c>
      <c r="D2555" s="2" t="str">
        <f t="shared" si="38"/>
        <v>Error?</v>
      </c>
    </row>
    <row r="2556" spans="1:4" x14ac:dyDescent="0.2">
      <c r="A2556" s="5">
        <v>2495</v>
      </c>
      <c r="B2556" s="138">
        <f>'Acct Summary 7-8'!C12</f>
        <v>7536651</v>
      </c>
      <c r="C2556" s="2" t="s">
        <v>573</v>
      </c>
      <c r="D2556" s="2" t="str">
        <f t="shared" si="38"/>
        <v>Error?</v>
      </c>
    </row>
    <row r="2557" spans="1:4" x14ac:dyDescent="0.2">
      <c r="A2557" s="5">
        <v>2496</v>
      </c>
      <c r="B2557" s="138">
        <f>'Acct Summary 7-8'!C13</f>
        <v>2500285</v>
      </c>
      <c r="C2557" s="2" t="s">
        <v>573</v>
      </c>
      <c r="D2557" s="2" t="str">
        <f t="shared" si="38"/>
        <v>Error?</v>
      </c>
    </row>
    <row r="2558" spans="1:4" x14ac:dyDescent="0.2">
      <c r="A2558" s="5">
        <v>2497</v>
      </c>
      <c r="B2558" s="138">
        <f>'Acct Summary 7-8'!C14</f>
        <v>353937</v>
      </c>
      <c r="C2558" s="2" t="s">
        <v>573</v>
      </c>
      <c r="D2558" s="2" t="str">
        <f t="shared" si="38"/>
        <v>Error?</v>
      </c>
    </row>
    <row r="2559" spans="1:4" x14ac:dyDescent="0.2">
      <c r="A2559" s="5">
        <v>2498</v>
      </c>
      <c r="B2559" s="138">
        <f>'Acct Summary 7-8'!C15</f>
        <v>650740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11041613</v>
      </c>
      <c r="C2561" s="2" t="s">
        <v>573</v>
      </c>
      <c r="D2561" s="2" t="str">
        <f t="shared" si="39"/>
        <v>Error?</v>
      </c>
    </row>
    <row r="2562" spans="1:4" x14ac:dyDescent="0.2">
      <c r="A2562" s="5">
        <v>2501</v>
      </c>
      <c r="B2562" s="138">
        <f>'Acct Summary 7-8'!C20</f>
        <v>-1465980</v>
      </c>
      <c r="C2562" s="2" t="s">
        <v>573</v>
      </c>
      <c r="D2562" s="2" t="str">
        <f t="shared" si="39"/>
        <v>Error?</v>
      </c>
    </row>
    <row r="2563" spans="1:4" x14ac:dyDescent="0.2">
      <c r="A2563" s="5">
        <v>2502</v>
      </c>
      <c r="B2563" s="138">
        <f>'Acct Summary 7-8'!C80</f>
        <v>-150954</v>
      </c>
      <c r="D2563" s="2" t="str">
        <f t="shared" si="39"/>
        <v>Error?</v>
      </c>
    </row>
    <row r="2564" spans="1:4" x14ac:dyDescent="0.2">
      <c r="A2564" s="5">
        <v>2503</v>
      </c>
      <c r="B2564" s="138">
        <f>'Acct Summary 7-8'!D4</f>
        <v>1308037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1308037</v>
      </c>
      <c r="C2568" s="2" t="s">
        <v>573</v>
      </c>
      <c r="D2568" s="2" t="str">
        <f t="shared" si="39"/>
        <v>Error?</v>
      </c>
    </row>
    <row r="2569" spans="1:4" x14ac:dyDescent="0.2">
      <c r="A2569" s="5">
        <v>2508</v>
      </c>
      <c r="B2569" s="138">
        <f>'Acct Summary 7-8'!D13</f>
        <v>1379035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9315</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1388350</v>
      </c>
      <c r="C2573" s="2" t="s">
        <v>573</v>
      </c>
      <c r="D2573" s="2" t="str">
        <f t="shared" si="39"/>
        <v>Error?</v>
      </c>
    </row>
    <row r="2574" spans="1:4" x14ac:dyDescent="0.2">
      <c r="A2574" s="5">
        <v>2513</v>
      </c>
      <c r="B2574" s="138">
        <f>'Acct Summary 7-8'!D20</f>
        <v>-80313</v>
      </c>
      <c r="C2574" s="2" t="s">
        <v>573</v>
      </c>
      <c r="D2574" s="2" t="str">
        <f t="shared" si="39"/>
        <v>Error?</v>
      </c>
    </row>
    <row r="2575" spans="1:4" x14ac:dyDescent="0.2">
      <c r="A2575" s="5">
        <v>2514</v>
      </c>
      <c r="B2575" s="138">
        <f>'Acct Summary 7-8'!D80</f>
        <v>-5342</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536034</v>
      </c>
      <c r="C2591" s="2" t="s">
        <v>573</v>
      </c>
      <c r="D2591" s="2" t="str">
        <f t="shared" si="39"/>
        <v>Error?</v>
      </c>
    </row>
    <row r="2592" spans="1:4" x14ac:dyDescent="0.2">
      <c r="A2592" s="10">
        <v>2531</v>
      </c>
      <c r="D2592" s="2" t="str">
        <f t="shared" si="39"/>
        <v>OK</v>
      </c>
    </row>
    <row r="2593" spans="1:4" x14ac:dyDescent="0.2">
      <c r="A2593" s="5">
        <v>2532</v>
      </c>
      <c r="B2593" s="138">
        <f>'Acct Summary 7-8'!F6</f>
        <v>475114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1011148</v>
      </c>
      <c r="C2595" s="2" t="s">
        <v>573</v>
      </c>
      <c r="D2595" s="2" t="str">
        <f t="shared" si="39"/>
        <v>Error?</v>
      </c>
    </row>
    <row r="2596" spans="1:4" x14ac:dyDescent="0.2">
      <c r="A2596" s="5">
        <v>2535</v>
      </c>
      <c r="B2596" s="138">
        <f>'Acct Summary 7-8'!F13</f>
        <v>1076689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1076689</v>
      </c>
      <c r="C2600" s="2" t="s">
        <v>573</v>
      </c>
      <c r="D2600" s="2" t="str">
        <f t="shared" si="39"/>
        <v>Error?</v>
      </c>
    </row>
    <row r="2601" spans="1:4" x14ac:dyDescent="0.2">
      <c r="A2601" s="5">
        <v>2540</v>
      </c>
      <c r="B2601" s="138">
        <f>'Acct Summary 7-8'!F20</f>
        <v>-65541</v>
      </c>
      <c r="C2601" s="2" t="s">
        <v>573</v>
      </c>
      <c r="D2601" s="2" t="str">
        <f t="shared" si="39"/>
        <v>Error?</v>
      </c>
    </row>
    <row r="2602" spans="1:4" x14ac:dyDescent="0.2">
      <c r="A2602" s="5">
        <v>2541</v>
      </c>
      <c r="B2602" s="138">
        <f>'Acct Summary 7-8'!F80</f>
        <v>-1180</v>
      </c>
      <c r="D2602" s="2" t="str">
        <f t="shared" si="39"/>
        <v>Error?</v>
      </c>
    </row>
    <row r="2603" spans="1:4" x14ac:dyDescent="0.2">
      <c r="A2603" s="5">
        <v>2542</v>
      </c>
      <c r="B2603" s="138">
        <f>'Acct Summary 7-8'!G4</f>
        <v>272438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272438</v>
      </c>
      <c r="C2606" s="2" t="s">
        <v>573</v>
      </c>
      <c r="D2606" s="2" t="str">
        <f t="shared" si="39"/>
        <v>Error?</v>
      </c>
    </row>
    <row r="2607" spans="1:4" x14ac:dyDescent="0.2">
      <c r="A2607" s="5">
        <v>2546</v>
      </c>
      <c r="B2607" s="138">
        <f>'Acct Summary 7-8'!G12</f>
        <v>149591</v>
      </c>
      <c r="C2607" s="2" t="s">
        <v>573</v>
      </c>
      <c r="D2607" s="2" t="str">
        <f t="shared" si="39"/>
        <v>Error?</v>
      </c>
    </row>
    <row r="2608" spans="1:4" x14ac:dyDescent="0.2">
      <c r="A2608" s="5">
        <v>2547</v>
      </c>
      <c r="B2608" s="138">
        <f>'Acct Summary 7-8'!G13</f>
        <v>259294</v>
      </c>
      <c r="C2608" s="2" t="s">
        <v>573</v>
      </c>
      <c r="D2608" s="2" t="str">
        <f t="shared" si="39"/>
        <v>Error?</v>
      </c>
    </row>
    <row r="2609" spans="1:4" x14ac:dyDescent="0.2">
      <c r="A2609" s="5">
        <v>2548</v>
      </c>
      <c r="B2609" s="138">
        <f>'Acct Summary 7-8'!G14</f>
        <v>19057</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427942</v>
      </c>
      <c r="C2612" s="2" t="s">
        <v>573</v>
      </c>
      <c r="D2612" s="2" t="str">
        <f t="shared" si="39"/>
        <v>Error?</v>
      </c>
    </row>
    <row r="2613" spans="1:4" x14ac:dyDescent="0.2">
      <c r="A2613" s="5">
        <v>2552</v>
      </c>
      <c r="B2613" s="138">
        <f>'Acct Summary 7-8'!G20</f>
        <v>-155504</v>
      </c>
      <c r="C2613" s="2" t="s">
        <v>573</v>
      </c>
      <c r="D2613" s="2" t="str">
        <f t="shared" si="39"/>
        <v>Error?</v>
      </c>
    </row>
    <row r="2614" spans="1:4" x14ac:dyDescent="0.2">
      <c r="A2614" s="5">
        <v>2553</v>
      </c>
      <c r="B2614" s="138">
        <f>'Acct Summary 7-8'!G80</f>
        <v>-2421</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671687</v>
      </c>
      <c r="C2630" s="2" t="s">
        <v>573</v>
      </c>
      <c r="D2630" s="2" t="str">
        <f t="shared" si="40"/>
        <v>Error?</v>
      </c>
    </row>
    <row r="2631" spans="1:4" x14ac:dyDescent="0.2">
      <c r="A2631" s="5">
        <v>2570</v>
      </c>
      <c r="B2631" s="138">
        <f>'Acct Summary 7-8'!E6</f>
        <v>225682</v>
      </c>
      <c r="C2631" s="2" t="s">
        <v>573</v>
      </c>
      <c r="D2631" s="2" t="str">
        <f t="shared" si="40"/>
        <v>Error?</v>
      </c>
    </row>
    <row r="2632" spans="1:4" x14ac:dyDescent="0.2">
      <c r="A2632" s="5">
        <v>2571</v>
      </c>
      <c r="B2632" s="138">
        <f>'Acct Summary 7-8'!E8</f>
        <v>897369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998381</v>
      </c>
      <c r="C2634" s="2" t="s">
        <v>573</v>
      </c>
      <c r="D2634" s="2" t="str">
        <f t="shared" si="40"/>
        <v>Error?</v>
      </c>
    </row>
    <row r="2635" spans="1:4" x14ac:dyDescent="0.2">
      <c r="A2635" s="5">
        <v>2574</v>
      </c>
      <c r="B2635" s="138">
        <f>'Acct Summary 7-8'!E17</f>
        <v>998381</v>
      </c>
      <c r="C2635" s="2" t="s">
        <v>573</v>
      </c>
      <c r="D2635" s="2" t="str">
        <f t="shared" si="40"/>
        <v>Error?</v>
      </c>
    </row>
    <row r="2636" spans="1:4" x14ac:dyDescent="0.2">
      <c r="A2636" s="5">
        <v>2575</v>
      </c>
      <c r="B2636" s="138">
        <f>'Acct Summary 7-8'!E20</f>
        <v>-101012</v>
      </c>
      <c r="C2636" s="2" t="s">
        <v>573</v>
      </c>
      <c r="D2636" s="2" t="str">
        <f t="shared" si="40"/>
        <v>Error?</v>
      </c>
    </row>
    <row r="2637" spans="1:4" x14ac:dyDescent="0.2">
      <c r="A2637" s="5">
        <v>2576</v>
      </c>
      <c r="B2637" s="138">
        <f>'Acct Summary 7-8'!E80</f>
        <v>511</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1378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1378</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1378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3082</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3082</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27664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81740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4299745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487797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4299745</v>
      </c>
      <c r="D2912" s="2" t="str">
        <f t="shared" si="44"/>
        <v>Error?</v>
      </c>
    </row>
    <row r="2913" spans="1:4" x14ac:dyDescent="0.2">
      <c r="A2913" s="5">
        <v>2852</v>
      </c>
      <c r="B2913" s="138">
        <f>'Assets-Liab 5-6'!I41</f>
        <v>4299745</v>
      </c>
      <c r="C2913" s="2" t="s">
        <v>573</v>
      </c>
      <c r="D2913" s="2" t="str">
        <f t="shared" si="44"/>
        <v>Error?</v>
      </c>
    </row>
    <row r="2914" spans="1:4" x14ac:dyDescent="0.2">
      <c r="A2914" s="5">
        <v>2853</v>
      </c>
      <c r="B2914" s="138">
        <f>'Assets-Liab 5-6'!L33</f>
        <v>223933</v>
      </c>
      <c r="D2914" s="2" t="str">
        <f t="shared" si="44"/>
        <v>Error?</v>
      </c>
    </row>
    <row r="2915" spans="1:4" x14ac:dyDescent="0.2">
      <c r="A2915" s="10">
        <v>2854</v>
      </c>
      <c r="D2915" s="2" t="str">
        <f t="shared" si="44"/>
        <v>OK</v>
      </c>
    </row>
    <row r="2916" spans="1:4" x14ac:dyDescent="0.2">
      <c r="A2916" s="5">
        <v>2855</v>
      </c>
      <c r="B2916" s="138">
        <f>'Assets-Liab 5-6'!L34</f>
        <v>223933</v>
      </c>
      <c r="C2916" s="2" t="s">
        <v>573</v>
      </c>
      <c r="D2916" s="2" t="str">
        <f t="shared" si="44"/>
        <v>Error?</v>
      </c>
    </row>
    <row r="2917" spans="1:4" x14ac:dyDescent="0.2">
      <c r="A2917" s="5">
        <v>2856</v>
      </c>
      <c r="B2917" s="138">
        <f>'Assets-Liab 5-6'!L41</f>
        <v>487797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549069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88914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12757</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549069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88914</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12757</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9315</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9315</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54099</v>
      </c>
      <c r="D3055" s="2" t="str">
        <f t="shared" si="46"/>
        <v>Error?</v>
      </c>
    </row>
    <row r="3056" spans="1:4" x14ac:dyDescent="0.2">
      <c r="A3056" s="5">
        <v>2995</v>
      </c>
      <c r="B3056" s="138">
        <f>'Expenditures 15-22'!D10</f>
        <v>15212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69311</v>
      </c>
      <c r="C3062" s="2" t="s">
        <v>573</v>
      </c>
      <c r="D3062" s="2" t="str">
        <f t="shared" si="46"/>
        <v>Error?</v>
      </c>
    </row>
    <row r="3063" spans="1:4" x14ac:dyDescent="0.2">
      <c r="A3063" s="10">
        <v>3002</v>
      </c>
      <c r="D3063" s="2" t="str">
        <f t="shared" si="46"/>
        <v>OK</v>
      </c>
    </row>
    <row r="3064" spans="1:4" x14ac:dyDescent="0.2">
      <c r="A3064" s="5">
        <v>3003</v>
      </c>
      <c r="B3064" s="138">
        <f>'Expenditures 15-22'!D219</f>
        <v>3230</v>
      </c>
      <c r="D3064" s="2" t="str">
        <f t="shared" si="46"/>
        <v>Error?</v>
      </c>
    </row>
    <row r="3065" spans="1:4" x14ac:dyDescent="0.2">
      <c r="A3065" s="5">
        <v>3004</v>
      </c>
      <c r="B3065" s="138">
        <f>'Expenditures 15-22'!K219</f>
        <v>3230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263864</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46746</v>
      </c>
      <c r="C3225" s="2" t="s">
        <v>573</v>
      </c>
      <c r="D3225" s="2" t="str">
        <f t="shared" si="49"/>
        <v>Error?</v>
      </c>
    </row>
    <row r="3226" spans="1:4" x14ac:dyDescent="0.2">
      <c r="A3226" s="5">
        <v>3165</v>
      </c>
      <c r="B3226" s="138">
        <f>'Acct Summary 7-8'!I8</f>
        <v>46746</v>
      </c>
      <c r="C3226" s="2" t="s">
        <v>573</v>
      </c>
      <c r="D3226" s="2" t="str">
        <f t="shared" si="49"/>
        <v>Error?</v>
      </c>
    </row>
    <row r="3227" spans="1:4" x14ac:dyDescent="0.2">
      <c r="A3227" s="5">
        <v>3166</v>
      </c>
      <c r="B3227" s="138">
        <f>'Acct Summary 7-8'!I20</f>
        <v>46746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-1465980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3082</v>
      </c>
      <c r="C3237" s="2" t="s">
        <v>573</v>
      </c>
      <c r="D3237" s="2" t="str">
        <f t="shared" si="49"/>
        <v>Error?</v>
      </c>
    </row>
    <row r="3238" spans="1:4" x14ac:dyDescent="0.2">
      <c r="A3238" s="5">
        <v>3177</v>
      </c>
      <c r="B3238" s="138">
        <f>'Acct Summary 7-8'!D77</f>
        <v>-3082</v>
      </c>
      <c r="C3238" s="2" t="s">
        <v>573</v>
      </c>
      <c r="D3238" s="2" t="str">
        <f t="shared" si="49"/>
        <v>Error?</v>
      </c>
    </row>
    <row r="3239" spans="1:4" x14ac:dyDescent="0.2">
      <c r="A3239" s="5">
        <v>3178</v>
      </c>
      <c r="B3239" s="138">
        <f>'Acct Summary 7-8'!D78</f>
        <v>-83395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-65541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-155504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-101012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3082</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3082</v>
      </c>
      <c r="C3299" s="2" t="s">
        <v>573</v>
      </c>
      <c r="D3299" s="2" t="str">
        <f t="shared" si="50"/>
        <v>Error?</v>
      </c>
    </row>
    <row r="3300" spans="1:4" x14ac:dyDescent="0.2">
      <c r="A3300" s="5">
        <v>3239</v>
      </c>
      <c r="B3300" s="138">
        <f>'Acct Summary 7-8'!H78</f>
        <v>4460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4681390</v>
      </c>
      <c r="C3317" s="2" t="s">
        <v>573</v>
      </c>
      <c r="D3317" s="2" t="str">
        <f t="shared" si="50"/>
        <v>Error?</v>
      </c>
    </row>
    <row r="3318" spans="1:4" x14ac:dyDescent="0.2">
      <c r="A3318" s="5">
        <v>3257</v>
      </c>
      <c r="B3318" s="138">
        <f>'Acct Summary 7-8'!I76</f>
        <v>1371342</v>
      </c>
      <c r="C3318" s="2" t="s">
        <v>573</v>
      </c>
      <c r="D3318" s="2" t="str">
        <f t="shared" si="50"/>
        <v>Error?</v>
      </c>
    </row>
    <row r="3319" spans="1:4" x14ac:dyDescent="0.2">
      <c r="A3319" s="5">
        <v>3258</v>
      </c>
      <c r="B3319" s="138">
        <f>'Acct Summary 7-8'!I77</f>
        <v>3310048</v>
      </c>
      <c r="C3319" s="2" t="s">
        <v>573</v>
      </c>
      <c r="D3319" s="2" t="str">
        <f t="shared" si="50"/>
        <v>Error?</v>
      </c>
    </row>
    <row r="3320" spans="1:4" x14ac:dyDescent="0.2">
      <c r="A3320" s="5">
        <v>3259</v>
      </c>
      <c r="B3320" s="138">
        <f>'Acct Summary 7-8'!I78</f>
        <v>3356794</v>
      </c>
      <c r="C3320" s="2" t="s">
        <v>573</v>
      </c>
      <c r="D3320" s="2" t="str">
        <f t="shared" si="50"/>
        <v>Error?</v>
      </c>
    </row>
    <row r="3321" spans="1:4" x14ac:dyDescent="0.2">
      <c r="A3321" s="5">
        <v>3260</v>
      </c>
      <c r="B3321" s="138">
        <f>'Acct Summary 7-8'!I79</f>
        <v>942951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4299745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534411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112962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11140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4476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2587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101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665677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69019</v>
      </c>
      <c r="D3387" s="2" t="str">
        <f t="shared" si="51"/>
        <v>Error?</v>
      </c>
    </row>
    <row r="3388" spans="1:4" x14ac:dyDescent="0.2">
      <c r="A3388" s="5">
        <v>3327</v>
      </c>
      <c r="B3388" s="138">
        <f>'Expenditures 15-22'!D217</f>
        <v>61564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69019</v>
      </c>
      <c r="C3390" s="2" t="s">
        <v>573</v>
      </c>
      <c r="D3390" s="2" t="str">
        <f t="shared" si="51"/>
        <v>Error?</v>
      </c>
    </row>
    <row r="3391" spans="1:4" x14ac:dyDescent="0.2">
      <c r="A3391" s="5">
        <v>3330</v>
      </c>
      <c r="B3391" s="138">
        <f>'Expenditures 15-22'!K217</f>
        <v>61564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181050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2676574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1795270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2067769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230093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4218005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487797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222941</v>
      </c>
      <c r="C3446" s="2" t="s">
        <v>573</v>
      </c>
      <c r="D3446" s="2" t="str">
        <f t="shared" si="52"/>
        <v>Error?</v>
      </c>
    </row>
    <row r="3447" spans="1:4" x14ac:dyDescent="0.2">
      <c r="A3447" s="5">
        <v>3386</v>
      </c>
      <c r="B3447" s="138">
        <f>'Tax Sched 23'!D16</f>
        <v>130864</v>
      </c>
      <c r="C3447" s="2" t="s">
        <v>573</v>
      </c>
      <c r="D3447" s="2" t="str">
        <f t="shared" si="52"/>
        <v>Error?</v>
      </c>
    </row>
    <row r="3448" spans="1:4" x14ac:dyDescent="0.2">
      <c r="A3448" s="5">
        <v>3387</v>
      </c>
      <c r="B3448" s="138">
        <f>'Tax Sched 23'!C16</f>
        <v>92077</v>
      </c>
      <c r="D3448" s="2" t="str">
        <f t="shared" si="52"/>
        <v>Error?</v>
      </c>
    </row>
    <row r="3449" spans="1:4" x14ac:dyDescent="0.2">
      <c r="A3449" s="5">
        <v>3388</v>
      </c>
      <c r="B3449" s="138">
        <f>'Tax Sched 23'!F16</f>
        <v>167066</v>
      </c>
      <c r="C3449" s="2" t="s">
        <v>573</v>
      </c>
      <c r="D3449" s="2" t="str">
        <f t="shared" si="52"/>
        <v>Error?</v>
      </c>
    </row>
    <row r="3450" spans="1:4" x14ac:dyDescent="0.2">
      <c r="A3450" s="5">
        <v>3389</v>
      </c>
      <c r="B3450" s="138">
        <f>'Tax Sched 23'!E16</f>
        <v>259143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27664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27664</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27664</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373017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71467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444484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444484</v>
      </c>
      <c r="D3567" s="2" t="str">
        <f t="shared" si="54"/>
        <v>Error?</v>
      </c>
    </row>
    <row r="3568" spans="1:4" x14ac:dyDescent="0.2">
      <c r="A3568" s="5">
        <v>3507</v>
      </c>
      <c r="B3568" s="138">
        <f>'Assets-Liab 5-6'!K41</f>
        <v>444484</v>
      </c>
      <c r="C3568" s="2" t="s">
        <v>573</v>
      </c>
      <c r="D3568" s="2" t="str">
        <f t="shared" si="54"/>
        <v>Error?</v>
      </c>
    </row>
    <row r="3569" spans="1:4" x14ac:dyDescent="0.2">
      <c r="A3569" s="5">
        <v>3508</v>
      </c>
      <c r="B3569" s="138">
        <f>'Acct Summary 7-8'!K4</f>
        <v>120226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120226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120226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120226</v>
      </c>
      <c r="C3588" s="2" t="s">
        <v>573</v>
      </c>
      <c r="D3588" s="2" t="str">
        <f t="shared" si="55"/>
        <v>Error?</v>
      </c>
    </row>
    <row r="3589" spans="1:4" x14ac:dyDescent="0.2">
      <c r="A3589" s="5">
        <v>3528</v>
      </c>
      <c r="B3589" s="138">
        <f>'Acct Summary 7-8'!K79</f>
        <v>316590</v>
      </c>
      <c r="D3589" s="2" t="str">
        <f t="shared" si="55"/>
        <v>Error?</v>
      </c>
    </row>
    <row r="3590" spans="1:4" x14ac:dyDescent="0.2">
      <c r="A3590" s="5">
        <v>3529</v>
      </c>
      <c r="B3590" s="138">
        <f>'Acct Summary 7-8'!K80</f>
        <v>7668</v>
      </c>
      <c r="D3590" s="2" t="str">
        <f t="shared" si="55"/>
        <v>Error?</v>
      </c>
    </row>
    <row r="3591" spans="1:4" x14ac:dyDescent="0.2">
      <c r="A3591" s="5">
        <v>3530</v>
      </c>
      <c r="B3591" s="138">
        <f>'Acct Summary 7-8'!K81</f>
        <v>444484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120226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296522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5355259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14930892</v>
      </c>
      <c r="C4122" s="2" t="s">
        <v>573</v>
      </c>
      <c r="D4122" s="2" t="str">
        <f t="shared" si="63"/>
        <v>Error?</v>
      </c>
    </row>
    <row r="4123" spans="1:4" x14ac:dyDescent="0.2">
      <c r="A4123" s="5">
        <v>4062</v>
      </c>
      <c r="B4123" s="138">
        <f>'Acct Summary 7-8'!D10</f>
        <v>1308037</v>
      </c>
      <c r="C4123" s="2" t="s">
        <v>573</v>
      </c>
      <c r="D4123" s="2" t="str">
        <f t="shared" si="63"/>
        <v>Error?</v>
      </c>
    </row>
    <row r="4124" spans="1:4" x14ac:dyDescent="0.2">
      <c r="A4124" s="5">
        <v>4063</v>
      </c>
      <c r="B4124" s="138">
        <f>'Acct Summary 7-8'!E10</f>
        <v>897369</v>
      </c>
      <c r="C4124" s="2" t="s">
        <v>573</v>
      </c>
      <c r="D4124" s="2" t="str">
        <f t="shared" si="63"/>
        <v>Error?</v>
      </c>
    </row>
    <row r="4125" spans="1:4" x14ac:dyDescent="0.2">
      <c r="A4125" s="5">
        <v>4064</v>
      </c>
      <c r="B4125" s="138">
        <f>'Acct Summary 7-8'!F10</f>
        <v>1011148</v>
      </c>
      <c r="C4125" s="2" t="s">
        <v>573</v>
      </c>
      <c r="D4125" s="2" t="str">
        <f t="shared" si="63"/>
        <v>Error?</v>
      </c>
    </row>
    <row r="4126" spans="1:4" x14ac:dyDescent="0.2">
      <c r="A4126" s="5">
        <v>4065</v>
      </c>
      <c r="B4126" s="138">
        <f>'Acct Summary 7-8'!G10</f>
        <v>272438</v>
      </c>
      <c r="C4126" s="2" t="s">
        <v>573</v>
      </c>
      <c r="D4126" s="2" t="str">
        <f t="shared" si="63"/>
        <v>Error?</v>
      </c>
    </row>
    <row r="4127" spans="1:4" x14ac:dyDescent="0.2">
      <c r="A4127" s="5">
        <v>4066</v>
      </c>
      <c r="B4127" s="138">
        <f>'Acct Summary 7-8'!H10</f>
        <v>1378</v>
      </c>
      <c r="C4127" s="2" t="s">
        <v>573</v>
      </c>
      <c r="D4127" s="2" t="str">
        <f t="shared" si="63"/>
        <v>Error?</v>
      </c>
    </row>
    <row r="4128" spans="1:4" x14ac:dyDescent="0.2">
      <c r="A4128" s="5">
        <v>4067</v>
      </c>
      <c r="B4128" s="138">
        <f>'Acct Summary 7-8'!I10</f>
        <v>46746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120226</v>
      </c>
      <c r="C4130" s="2" t="s">
        <v>573</v>
      </c>
      <c r="D4130" s="2" t="str">
        <f t="shared" si="63"/>
        <v>Error?</v>
      </c>
    </row>
    <row r="4131" spans="1:4" x14ac:dyDescent="0.2">
      <c r="A4131" s="5">
        <v>4070</v>
      </c>
      <c r="B4131" s="138">
        <f>'Acct Summary 7-8'!C18</f>
        <v>5355259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16396872</v>
      </c>
      <c r="C4136" s="2" t="s">
        <v>573</v>
      </c>
      <c r="D4136" s="2" t="str">
        <f t="shared" si="63"/>
        <v>Error?</v>
      </c>
    </row>
    <row r="4137" spans="1:4" x14ac:dyDescent="0.2">
      <c r="A4137" s="5">
        <v>4076</v>
      </c>
      <c r="B4137" s="138">
        <f>'Acct Summary 7-8'!D19</f>
        <v>1388350</v>
      </c>
      <c r="C4137" s="2" t="s">
        <v>573</v>
      </c>
      <c r="D4137" s="2" t="str">
        <f t="shared" si="63"/>
        <v>Error?</v>
      </c>
    </row>
    <row r="4138" spans="1:4" x14ac:dyDescent="0.2">
      <c r="A4138" s="5">
        <v>4077</v>
      </c>
      <c r="B4138" s="138">
        <f>'Acct Summary 7-8'!E19</f>
        <v>998381</v>
      </c>
      <c r="C4138" s="2" t="s">
        <v>573</v>
      </c>
      <c r="D4138" s="2" t="str">
        <f t="shared" si="63"/>
        <v>Error?</v>
      </c>
    </row>
    <row r="4139" spans="1:4" x14ac:dyDescent="0.2">
      <c r="A4139" s="5">
        <v>4078</v>
      </c>
      <c r="B4139" s="138">
        <f>'Acct Summary 7-8'!F19</f>
        <v>1076689</v>
      </c>
      <c r="C4139" s="2" t="s">
        <v>573</v>
      </c>
      <c r="D4139" s="2" t="str">
        <f t="shared" si="63"/>
        <v>Error?</v>
      </c>
    </row>
    <row r="4140" spans="1:4" x14ac:dyDescent="0.2">
      <c r="A4140" s="5">
        <v>4079</v>
      </c>
      <c r="B4140" s="138">
        <f>'Acct Summary 7-8'!G19</f>
        <v>427942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5965000</v>
      </c>
      <c r="C4171" s="2" t="s">
        <v>573</v>
      </c>
      <c r="D4171" s="2" t="str">
        <f t="shared" si="64"/>
        <v>Error?</v>
      </c>
    </row>
    <row r="4172" spans="1:4" x14ac:dyDescent="0.2">
      <c r="A4172" s="5">
        <v>4111</v>
      </c>
      <c r="B4172" s="138">
        <f>'Short-Term Long-Term Debt 24'!J49</f>
        <v>5965000</v>
      </c>
      <c r="C4172" s="2" t="s">
        <v>573</v>
      </c>
      <c r="D4172" s="2" t="str">
        <f t="shared" si="64"/>
        <v>Error?</v>
      </c>
    </row>
    <row r="4173" spans="1:4" x14ac:dyDescent="0.2">
      <c r="A4173" s="5">
        <v>4112</v>
      </c>
      <c r="B4173" s="138">
        <f>'Short-Term Long-Term Debt 24'!H49</f>
        <v>920000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-1285000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3288.3</v>
      </c>
      <c r="C4265" s="2" t="s">
        <v>573</v>
      </c>
      <c r="D4265" s="2" t="str">
        <f t="shared" si="65"/>
        <v>Error?</v>
      </c>
      <c r="E4265" s="128"/>
    </row>
    <row r="4266" spans="1:5" x14ac:dyDescent="0.2">
      <c r="A4266" s="12">
        <v>4205</v>
      </c>
      <c r="B4266" s="138">
        <f>('FP Info 3'!F10)*100000</f>
        <v>621.70000000000005</v>
      </c>
      <c r="C4266" s="2" t="s">
        <v>573</v>
      </c>
      <c r="D4266" s="2" t="str">
        <f t="shared" si="65"/>
        <v>Error?</v>
      </c>
      <c r="E4266" s="128"/>
    </row>
    <row r="4267" spans="1:5" x14ac:dyDescent="0.2">
      <c r="A4267" s="12">
        <v>4206</v>
      </c>
      <c r="B4267" s="138">
        <f>('FP Info 3'!H10)*100000</f>
        <v>220.6</v>
      </c>
      <c r="C4267" s="2" t="s">
        <v>573</v>
      </c>
      <c r="D4267" s="2" t="str">
        <f t="shared" si="65"/>
        <v>Error?</v>
      </c>
      <c r="E4267" s="128"/>
    </row>
    <row r="4268" spans="1:5" x14ac:dyDescent="0.2">
      <c r="A4268" s="12">
        <v>4207</v>
      </c>
      <c r="B4268" s="138">
        <f>('FP Info 3'!J10)*100000</f>
        <v>4131</v>
      </c>
      <c r="C4268" s="2" t="s">
        <v>573</v>
      </c>
      <c r="D4268" s="2" t="str">
        <f t="shared" si="65"/>
        <v>Error?</v>
      </c>
    </row>
    <row r="4269" spans="1:5" x14ac:dyDescent="0.2">
      <c r="A4269" s="12">
        <v>4208</v>
      </c>
      <c r="B4269" s="138">
        <f>'FP Info 3'!J16</f>
        <v>13049476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7305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28700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10135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39053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24.1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7051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226722100</v>
      </c>
      <c r="D4995" s="2" t="str">
        <f t="shared" si="77"/>
        <v>Error?</v>
      </c>
    </row>
    <row r="4996" spans="1:4" x14ac:dyDescent="0.2">
      <c r="A4996" s="12">
        <v>4935</v>
      </c>
      <c r="B4996" s="138">
        <f>'FP Info 3'!H31</f>
        <v>31287649.800000004</v>
      </c>
      <c r="D4996" s="2" t="str">
        <f t="shared" si="77"/>
        <v>Error?</v>
      </c>
    </row>
    <row r="4997" spans="1:4" x14ac:dyDescent="0.2">
      <c r="A4997" s="12">
        <v>4936</v>
      </c>
      <c r="B4997" s="138">
        <f>'FP Info 3'!H37</f>
        <v>5965000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5986422</v>
      </c>
      <c r="D5061" s="2" t="str">
        <f t="shared" si="78"/>
        <v>Error?</v>
      </c>
    </row>
    <row r="5062" spans="1:4" x14ac:dyDescent="0.2">
      <c r="A5062" s="10">
        <v>5001</v>
      </c>
      <c r="D5062" s="2" t="str">
        <f t="shared" si="78"/>
        <v>OK</v>
      </c>
    </row>
    <row r="5063" spans="1:4" x14ac:dyDescent="0.2">
      <c r="A5063" s="5">
        <v>5002</v>
      </c>
      <c r="B5063" s="138">
        <f>'Revenues 9-14'!C7</f>
        <v>83516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6069938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80749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80749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133283</v>
      </c>
      <c r="D5088" s="2" t="str">
        <f t="shared" si="78"/>
        <v>Error?</v>
      </c>
    </row>
    <row r="5089" spans="1:4" x14ac:dyDescent="0.2">
      <c r="A5089" s="5">
        <v>5028</v>
      </c>
      <c r="B5089" s="138">
        <f>'Revenues 9-14'!C66</f>
        <v>-33212</v>
      </c>
      <c r="D5089" s="2" t="str">
        <f t="shared" si="78"/>
        <v>Error?</v>
      </c>
    </row>
    <row r="5090" spans="1:4" x14ac:dyDescent="0.2">
      <c r="A5090" s="5">
        <v>5029</v>
      </c>
      <c r="B5090" s="138">
        <f>'Revenues 9-14'!C67</f>
        <v>100071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10687</v>
      </c>
      <c r="D5094" s="2" t="str">
        <f t="shared" si="78"/>
        <v>Error?</v>
      </c>
    </row>
    <row r="5095" spans="1:4" x14ac:dyDescent="0.2">
      <c r="A5095" s="5">
        <v>5034</v>
      </c>
      <c r="B5095" s="138">
        <f>'Revenues 9-14'!C74</f>
        <v>4791</v>
      </c>
      <c r="D5095" s="2" t="str">
        <f t="shared" si="78"/>
        <v>Error?</v>
      </c>
    </row>
    <row r="5096" spans="1:4" x14ac:dyDescent="0.2">
      <c r="A5096" s="5">
        <v>5035</v>
      </c>
      <c r="B5096" s="138">
        <f>'Revenues 9-14'!C75</f>
        <v>394485</v>
      </c>
      <c r="C5096" s="2" t="s">
        <v>573</v>
      </c>
      <c r="D5096" s="2" t="str">
        <f t="shared" si="78"/>
        <v>Error?</v>
      </c>
    </row>
    <row r="5097" spans="1:4" x14ac:dyDescent="0.2">
      <c r="A5097" s="5">
        <v>5036</v>
      </c>
      <c r="B5097" s="138">
        <f>'Revenues 9-14'!C77</f>
        <v>32667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47426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80093</v>
      </c>
      <c r="C5102" s="2" t="s">
        <v>573</v>
      </c>
      <c r="D5102" s="2" t="str">
        <f t="shared" si="78"/>
        <v>Error?</v>
      </c>
    </row>
    <row r="5103" spans="1:4" x14ac:dyDescent="0.2">
      <c r="A5103" s="5">
        <v>5042</v>
      </c>
      <c r="B5103" s="138">
        <f>'Revenues 9-14'!C84</f>
        <v>96617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6018</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102635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1750</v>
      </c>
      <c r="D5115" s="2" t="str">
        <f t="shared" si="78"/>
        <v>Error?</v>
      </c>
    </row>
    <row r="5116" spans="1:4" x14ac:dyDescent="0.2">
      <c r="A5116" s="5">
        <v>5055</v>
      </c>
      <c r="B5116" s="138">
        <f>'Revenues 9-14'!C99</f>
        <v>146372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242231</v>
      </c>
      <c r="D5118" s="2" t="str">
        <f t="shared" si="78"/>
        <v>Error?</v>
      </c>
    </row>
    <row r="5119" spans="1:4" x14ac:dyDescent="0.2">
      <c r="A5119" s="5">
        <v>5058</v>
      </c>
      <c r="B5119" s="138">
        <f>'Revenues 9-14'!C107</f>
        <v>3362</v>
      </c>
      <c r="D5119" s="2" t="str">
        <f t="shared" ref="D5119:D5182" si="79">IF(ISBLANK(B5119),"OK",IF(A5119-B5119=0,"OK","Error?"))</f>
        <v>Error?</v>
      </c>
    </row>
    <row r="5120" spans="1:4" x14ac:dyDescent="0.2">
      <c r="A5120" s="5">
        <v>5059</v>
      </c>
      <c r="B5120" s="138">
        <f>'Revenues 9-14'!C108</f>
        <v>398091</v>
      </c>
      <c r="C5120" s="2" t="s">
        <v>573</v>
      </c>
      <c r="D5120" s="2" t="str">
        <f t="shared" si="79"/>
        <v>Error?</v>
      </c>
    </row>
    <row r="5121" spans="1:4" x14ac:dyDescent="0.2">
      <c r="A5121" s="5">
        <v>5060</v>
      </c>
      <c r="B5121" s="138">
        <f>'Revenues 9-14'!C109</f>
        <v>7226062</v>
      </c>
      <c r="C5121" s="2" t="s">
        <v>573</v>
      </c>
      <c r="D5121" s="2" t="str">
        <f t="shared" si="79"/>
        <v>Error?</v>
      </c>
    </row>
    <row r="5122" spans="1:4" x14ac:dyDescent="0.2">
      <c r="A5122" s="5">
        <v>5061</v>
      </c>
      <c r="B5122" s="138">
        <f>'Revenues 9-14'!C111</f>
        <v>28053</v>
      </c>
      <c r="D5122" s="2" t="str">
        <f t="shared" si="79"/>
        <v>Error?</v>
      </c>
    </row>
    <row r="5123" spans="1:4" x14ac:dyDescent="0.2">
      <c r="A5123" s="5">
        <v>5062</v>
      </c>
      <c r="B5123" s="138">
        <f>'Revenues 9-14'!C112</f>
        <v>152997</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181050</v>
      </c>
      <c r="C5125" s="2" t="s">
        <v>573</v>
      </c>
      <c r="D5125" s="2" t="str">
        <f t="shared" si="79"/>
        <v>Error?</v>
      </c>
    </row>
    <row r="5126" spans="1:4" x14ac:dyDescent="0.2">
      <c r="A5126" s="5">
        <v>5065</v>
      </c>
      <c r="B5126" s="138">
        <f>'Revenues 9-14'!C117</f>
        <v>1471054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1471054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10080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3722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13802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47188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1262</v>
      </c>
      <c r="D5167" s="2" t="str">
        <f t="shared" si="79"/>
        <v>Error?</v>
      </c>
    </row>
    <row r="5168" spans="1:4" x14ac:dyDescent="0.2">
      <c r="A5168" s="5">
        <v>5107</v>
      </c>
      <c r="B5168" s="138">
        <f>'Revenues 9-14'!C148</f>
        <v>25458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142636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237397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1708451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74781</v>
      </c>
      <c r="D5239" s="2" t="str">
        <f t="shared" si="80"/>
        <v>Error?</v>
      </c>
    </row>
    <row r="5240" spans="1:4" x14ac:dyDescent="0.2">
      <c r="A5240" s="5">
        <v>5179</v>
      </c>
      <c r="B5240" s="138">
        <f>'Revenues 9-14'!C192</f>
        <v>2988</v>
      </c>
      <c r="D5240" s="2" t="str">
        <f t="shared" si="80"/>
        <v>Error?</v>
      </c>
    </row>
    <row r="5241" spans="1:4" x14ac:dyDescent="0.2">
      <c r="A5241" s="5">
        <v>5180</v>
      </c>
      <c r="B5241" s="138">
        <f>'Revenues 9-14'!C193</f>
        <v>9533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87302</v>
      </c>
      <c r="C5246" s="2" t="s">
        <v>573</v>
      </c>
      <c r="D5246" s="2" t="str">
        <f t="shared" si="80"/>
        <v>Error?</v>
      </c>
    </row>
    <row r="5247" spans="1:4" x14ac:dyDescent="0.2">
      <c r="A5247" s="5">
        <v>5186</v>
      </c>
      <c r="B5247" s="138">
        <f>'Revenues 9-14'!C200</f>
        <v>223982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10135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223982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63593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63593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460070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460070</v>
      </c>
      <c r="C5326" s="2" t="s">
        <v>573</v>
      </c>
      <c r="D5326" s="2" t="str">
        <f t="shared" si="82"/>
        <v>Error?</v>
      </c>
    </row>
    <row r="5327" spans="1:5" x14ac:dyDescent="0.2">
      <c r="A5327" s="5">
        <v>5266</v>
      </c>
      <c r="B5327" s="138">
        <f>'Revenues 9-14'!C268</f>
        <v>9575633</v>
      </c>
      <c r="C5327" s="2" t="s">
        <v>573</v>
      </c>
      <c r="D5327" s="2" t="str">
        <f t="shared" si="82"/>
        <v>Error?</v>
      </c>
    </row>
    <row r="5328" spans="1:5" x14ac:dyDescent="0.2">
      <c r="A5328" s="5">
        <v>5267</v>
      </c>
      <c r="B5328" s="138">
        <f>'Revenues 9-14'!D5</f>
        <v>1198905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1198905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3141</v>
      </c>
      <c r="D5340" s="2" t="str">
        <f t="shared" si="82"/>
        <v>Error?</v>
      </c>
    </row>
    <row r="5341" spans="1:4" x14ac:dyDescent="0.2">
      <c r="A5341" s="5">
        <v>5280</v>
      </c>
      <c r="B5341" s="138">
        <f>'Revenues 9-14'!D66</f>
        <v>-412</v>
      </c>
      <c r="D5341" s="2" t="str">
        <f t="shared" si="82"/>
        <v>Error?</v>
      </c>
    </row>
    <row r="5342" spans="1:4" x14ac:dyDescent="0.2">
      <c r="A5342" s="5">
        <v>5281</v>
      </c>
      <c r="B5342" s="138">
        <f>'Revenues 9-14'!D67</f>
        <v>2729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76853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14856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14694</v>
      </c>
      <c r="D5354" s="2" t="str">
        <f t="shared" si="82"/>
        <v>Error?</v>
      </c>
    </row>
    <row r="5355" spans="1:4" x14ac:dyDescent="0.2">
      <c r="A5355" s="5">
        <v>5294</v>
      </c>
      <c r="B5355" s="138">
        <f>'Revenues 9-14'!D108</f>
        <v>106403</v>
      </c>
      <c r="C5355" s="2" t="s">
        <v>573</v>
      </c>
      <c r="D5355" s="2" t="str">
        <f t="shared" si="82"/>
        <v>Error?</v>
      </c>
    </row>
    <row r="5356" spans="1:4" x14ac:dyDescent="0.2">
      <c r="A5356" s="5">
        <v>5295</v>
      </c>
      <c r="B5356" s="138">
        <f>'Revenues 9-14'!D109</f>
        <v>1308037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1308037</v>
      </c>
      <c r="C5508" s="2" t="s">
        <v>573</v>
      </c>
      <c r="D5508" s="2" t="str">
        <f t="shared" si="85"/>
        <v>Error?</v>
      </c>
    </row>
    <row r="5509" spans="1:4" x14ac:dyDescent="0.2">
      <c r="A5509" s="5">
        <v>5448</v>
      </c>
      <c r="B5509" s="138">
        <f>'Revenues 9-14'!E5</f>
        <v>670869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670869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414</v>
      </c>
      <c r="D5519" s="2" t="str">
        <f t="shared" si="85"/>
        <v>Error?</v>
      </c>
    </row>
    <row r="5520" spans="1:4" x14ac:dyDescent="0.2">
      <c r="A5520" s="5">
        <v>5459</v>
      </c>
      <c r="B5520" s="138">
        <f>'Revenues 9-14'!E66</f>
        <v>404</v>
      </c>
      <c r="D5520" s="2" t="str">
        <f t="shared" si="85"/>
        <v>Error?</v>
      </c>
    </row>
    <row r="5521" spans="1:4" x14ac:dyDescent="0.2">
      <c r="A5521" s="5">
        <v>5460</v>
      </c>
      <c r="B5521" s="138">
        <f>'Revenues 9-14'!E67</f>
        <v>818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671687</v>
      </c>
      <c r="C5527" s="2" t="s">
        <v>573</v>
      </c>
      <c r="D5527" s="2" t="str">
        <f t="shared" si="85"/>
        <v>Error?</v>
      </c>
    </row>
    <row r="5528" spans="1:4" x14ac:dyDescent="0.2">
      <c r="A5528" s="5">
        <v>5467</v>
      </c>
      <c r="B5528" s="138">
        <f>'Revenues 9-14'!E117</f>
        <v>225682</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225682</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225682</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897369</v>
      </c>
      <c r="C5552" s="2" t="s">
        <v>573</v>
      </c>
      <c r="D5552" s="2" t="str">
        <f t="shared" si="85"/>
        <v>Error?</v>
      </c>
    </row>
    <row r="5553" spans="1:4" x14ac:dyDescent="0.2">
      <c r="A5553" s="5">
        <v>5492</v>
      </c>
      <c r="B5553" s="138">
        <f>'Revenues 9-14'!F5</f>
        <v>424352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424352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45000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45000</v>
      </c>
      <c r="C5579" s="2" t="s">
        <v>573</v>
      </c>
      <c r="D5579" s="2" t="str">
        <f t="shared" si="86"/>
        <v>Error?</v>
      </c>
    </row>
    <row r="5580" spans="1:4" x14ac:dyDescent="0.2">
      <c r="A5580" s="5">
        <v>5519</v>
      </c>
      <c r="B5580" s="138">
        <f>'Revenues 9-14'!F65</f>
        <v>3278</v>
      </c>
      <c r="D5580" s="2" t="str">
        <f t="shared" si="86"/>
        <v>Error?</v>
      </c>
    </row>
    <row r="5581" spans="1:4" x14ac:dyDescent="0.2">
      <c r="A5581" s="5">
        <v>5520</v>
      </c>
      <c r="B5581" s="138">
        <f>'Revenues 9-14'!F66</f>
        <v>-353</v>
      </c>
      <c r="D5581" s="2" t="str">
        <f t="shared" si="86"/>
        <v>Error?</v>
      </c>
    </row>
    <row r="5582" spans="1:4" x14ac:dyDescent="0.2">
      <c r="A5582" s="5">
        <v>5521</v>
      </c>
      <c r="B5582" s="138">
        <f>'Revenues 9-14'!F67</f>
        <v>2925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63757</v>
      </c>
      <c r="D5586" s="2" t="str">
        <f t="shared" si="86"/>
        <v>Error?</v>
      </c>
    </row>
    <row r="5587" spans="1:4" x14ac:dyDescent="0.2">
      <c r="A5587" s="5">
        <v>5526</v>
      </c>
      <c r="B5587" s="138">
        <f>'Revenues 9-14'!F108</f>
        <v>63757</v>
      </c>
      <c r="C5587" s="2" t="s">
        <v>573</v>
      </c>
      <c r="D5587" s="2" t="str">
        <f t="shared" si="86"/>
        <v>Error?</v>
      </c>
    </row>
    <row r="5588" spans="1:4" x14ac:dyDescent="0.2">
      <c r="A5588" s="5">
        <v>5527</v>
      </c>
      <c r="B5588" s="138">
        <f>'Revenues 9-14'!F109</f>
        <v>536034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409351</v>
      </c>
      <c r="D5615" s="2" t="str">
        <f t="shared" si="86"/>
        <v>Error?</v>
      </c>
    </row>
    <row r="5616" spans="1:4" x14ac:dyDescent="0.2">
      <c r="A5616" s="10">
        <v>5555</v>
      </c>
      <c r="D5616" s="2" t="str">
        <f t="shared" si="86"/>
        <v>OK</v>
      </c>
    </row>
    <row r="5617" spans="1:5" x14ac:dyDescent="0.2">
      <c r="A5617" s="5">
        <v>5556</v>
      </c>
      <c r="B5617" s="138">
        <f>'Revenues 9-14'!F153</f>
        <v>65763</v>
      </c>
      <c r="D5617" s="2" t="str">
        <f t="shared" si="86"/>
        <v>Error?</v>
      </c>
    </row>
    <row r="5618" spans="1:5" x14ac:dyDescent="0.2">
      <c r="A5618" s="5">
        <v>5557</v>
      </c>
      <c r="B5618" s="138">
        <f>'Revenues 9-14'!F155</f>
        <v>475114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475114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475114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1011148</v>
      </c>
      <c r="C5720" s="2" t="s">
        <v>573</v>
      </c>
      <c r="D5720" s="2" t="str">
        <f t="shared" si="88"/>
        <v>Error?</v>
      </c>
    </row>
    <row r="5721" spans="1:4" x14ac:dyDescent="0.2">
      <c r="A5721" s="5">
        <v>5660</v>
      </c>
      <c r="B5721" s="138">
        <f>'Revenues 9-14'!G5</f>
        <v>44017</v>
      </c>
      <c r="D5721" s="2" t="str">
        <f t="shared" si="88"/>
        <v>Error?</v>
      </c>
    </row>
    <row r="5722" spans="1:4" x14ac:dyDescent="0.2">
      <c r="A5722" s="5">
        <v>5661</v>
      </c>
      <c r="B5722" s="138">
        <f>'Revenues 9-14'!G7</f>
        <v>0</v>
      </c>
      <c r="D5722" s="2" t="str">
        <f t="shared" si="88"/>
        <v>Error?</v>
      </c>
    </row>
    <row r="5723" spans="1:4" x14ac:dyDescent="0.2">
      <c r="A5723" s="5">
        <v>5662</v>
      </c>
      <c r="B5723" s="138">
        <f>'Revenues 9-14'!G8</f>
        <v>222941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266958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2200</v>
      </c>
      <c r="C5730" s="2" t="s">
        <v>573</v>
      </c>
      <c r="D5730" s="2" t="str">
        <f t="shared" si="88"/>
        <v>Error?</v>
      </c>
    </row>
    <row r="5731" spans="1:4" x14ac:dyDescent="0.2">
      <c r="A5731" s="5">
        <v>5670</v>
      </c>
      <c r="B5731" s="138">
        <f>'Revenues 9-14'!G65</f>
        <v>4007</v>
      </c>
      <c r="D5731" s="2" t="str">
        <f t="shared" si="88"/>
        <v>Error?</v>
      </c>
    </row>
    <row r="5732" spans="1:4" x14ac:dyDescent="0.2">
      <c r="A5732" s="5">
        <v>5671</v>
      </c>
      <c r="B5732" s="138">
        <f>'Revenues 9-14'!G66</f>
        <v>-727</v>
      </c>
      <c r="D5732" s="2" t="str">
        <f t="shared" si="88"/>
        <v>Error?</v>
      </c>
    </row>
    <row r="5733" spans="1:4" x14ac:dyDescent="0.2">
      <c r="A5733" s="5">
        <v>5672</v>
      </c>
      <c r="B5733" s="138">
        <f>'Revenues 9-14'!G67</f>
        <v>3280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272438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1378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1378</v>
      </c>
      <c r="C5915" s="2" t="s">
        <v>573</v>
      </c>
      <c r="D5915" s="2" t="str">
        <f t="shared" si="91"/>
        <v>Error?</v>
      </c>
    </row>
    <row r="5916" spans="1:4" x14ac:dyDescent="0.2">
      <c r="A5916" s="5">
        <v>5855</v>
      </c>
      <c r="B5916" s="138">
        <f>'Revenues 9-14'!I5</f>
        <v>45628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45628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1118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1118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46746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117758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117758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608</v>
      </c>
      <c r="D5993" s="2" t="str">
        <f t="shared" si="92"/>
        <v>Error?</v>
      </c>
    </row>
    <row r="5994" spans="1:4" x14ac:dyDescent="0.2">
      <c r="A5994" s="5">
        <v>5933</v>
      </c>
      <c r="B5994" s="138">
        <f>'Revenues 9-14'!K66</f>
        <v>1860</v>
      </c>
      <c r="D5994" s="2" t="str">
        <f t="shared" si="92"/>
        <v>Error?</v>
      </c>
    </row>
    <row r="5995" spans="1:4" x14ac:dyDescent="0.2">
      <c r="A5995" s="5">
        <v>5934</v>
      </c>
      <c r="B5995" s="138">
        <f>'Revenues 9-14'!K67</f>
        <v>2468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120226</v>
      </c>
      <c r="C6023" s="2" t="s">
        <v>573</v>
      </c>
      <c r="D6023" s="2" t="str">
        <f t="shared" si="93"/>
        <v>Error?</v>
      </c>
    </row>
    <row r="6024" spans="1:5" x14ac:dyDescent="0.2">
      <c r="A6024" s="5">
        <v>5963</v>
      </c>
      <c r="B6024" s="138">
        <f>'Revenues 9-14'!G109</f>
        <v>272438</v>
      </c>
      <c r="C6024" s="2" t="s">
        <v>573</v>
      </c>
      <c r="D6024" s="2" t="str">
        <f t="shared" si="93"/>
        <v>Error?</v>
      </c>
    </row>
    <row r="6025" spans="1:5" x14ac:dyDescent="0.2">
      <c r="A6025" s="5">
        <v>5964</v>
      </c>
      <c r="B6025" s="138">
        <f>'Revenues 9-14'!H109</f>
        <v>1378</v>
      </c>
      <c r="C6025" s="2" t="s">
        <v>573</v>
      </c>
      <c r="D6025" s="2" t="str">
        <f t="shared" si="93"/>
        <v>Error?</v>
      </c>
    </row>
    <row r="6026" spans="1:5" x14ac:dyDescent="0.2">
      <c r="A6026" s="5">
        <v>5965</v>
      </c>
      <c r="B6026" s="138">
        <f>'Revenues 9-14'!I109</f>
        <v>46746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120226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379007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33253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1272.53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8184</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219449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113668</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219449</v>
      </c>
      <c r="D6215" s="2" t="str">
        <f t="shared" si="96"/>
        <v>Error?</v>
      </c>
      <c r="E6215" s="2" t="s">
        <v>190</v>
      </c>
    </row>
    <row r="6216" spans="1:5" x14ac:dyDescent="0.2">
      <c r="A6216">
        <v>6155</v>
      </c>
      <c r="B6216" s="138">
        <f>'Assets-Liab 5-6'!J41</f>
        <v>219449</v>
      </c>
      <c r="D6216" s="2" t="str">
        <f t="shared" si="96"/>
        <v>Error?</v>
      </c>
      <c r="E6216" s="2" t="s">
        <v>190</v>
      </c>
    </row>
    <row r="6217" spans="1:5" x14ac:dyDescent="0.2">
      <c r="A6217">
        <v>6156</v>
      </c>
      <c r="B6217" s="138">
        <f>'Assets-Liab 5-6'!J4</f>
        <v>59885</v>
      </c>
      <c r="D6217" s="2" t="str">
        <f t="shared" si="96"/>
        <v>Error?</v>
      </c>
      <c r="E6217" s="2" t="s">
        <v>190</v>
      </c>
    </row>
    <row r="6218" spans="1:5" x14ac:dyDescent="0.2">
      <c r="A6218">
        <v>6157</v>
      </c>
      <c r="B6218" s="138">
        <f>'Assets-Liab 5-6'!J5</f>
        <v>159564</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715467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715467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715467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773832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773832</v>
      </c>
      <c r="D6229" s="2" t="str">
        <f t="shared" si="96"/>
        <v>Error?</v>
      </c>
      <c r="E6229" s="2" t="s">
        <v>190</v>
      </c>
    </row>
    <row r="6230" spans="1:5" x14ac:dyDescent="0.2">
      <c r="A6230">
        <v>6169</v>
      </c>
      <c r="B6230" s="138">
        <f>'Acct Summary 7-8'!J20</f>
        <v>-58365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1371342</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-58365</v>
      </c>
      <c r="D6263" s="2" t="str">
        <f t="shared" si="96"/>
        <v>Error?</v>
      </c>
      <c r="E6263" s="2" t="s">
        <v>190</v>
      </c>
    </row>
    <row r="6264" spans="1:5" x14ac:dyDescent="0.2">
      <c r="A6264">
        <v>6203</v>
      </c>
      <c r="B6264" s="138">
        <f>'Acct Summary 7-8'!J79</f>
        <v>277814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219449</v>
      </c>
      <c r="D6266" s="2" t="str">
        <f t="shared" si="96"/>
        <v>Error?</v>
      </c>
      <c r="E6266" s="2" t="s">
        <v>190</v>
      </c>
    </row>
    <row r="6267" spans="1:5" x14ac:dyDescent="0.2">
      <c r="A6267">
        <v>6206</v>
      </c>
      <c r="B6267" s="138">
        <f>'Acct Summary 7-8'!C82</f>
        <v>-1616934</v>
      </c>
      <c r="D6267" s="2" t="str">
        <f t="shared" si="96"/>
        <v>Error?</v>
      </c>
      <c r="E6267" s="2" t="s">
        <v>190</v>
      </c>
    </row>
    <row r="6268" spans="1:5" x14ac:dyDescent="0.2">
      <c r="A6268">
        <v>6207</v>
      </c>
      <c r="B6268" s="138">
        <f>'Acct Summary 7-8'!D82</f>
        <v>-88737</v>
      </c>
      <c r="D6268" s="2" t="str">
        <f t="shared" si="96"/>
        <v>Error?</v>
      </c>
      <c r="E6268" s="2" t="s">
        <v>190</v>
      </c>
    </row>
    <row r="6269" spans="1:5" x14ac:dyDescent="0.2">
      <c r="A6269">
        <v>6208</v>
      </c>
      <c r="B6269" s="138">
        <f>'Acct Summary 7-8'!E82</f>
        <v>-100501</v>
      </c>
      <c r="D6269" s="2" t="str">
        <f t="shared" si="96"/>
        <v>Error?</v>
      </c>
      <c r="E6269" s="2" t="s">
        <v>190</v>
      </c>
    </row>
    <row r="6270" spans="1:5" x14ac:dyDescent="0.2">
      <c r="A6270">
        <v>6209</v>
      </c>
      <c r="B6270" s="138">
        <f>'Acct Summary 7-8'!F82</f>
        <v>-66721</v>
      </c>
      <c r="D6270" s="2" t="str">
        <f t="shared" si="96"/>
        <v>Error?</v>
      </c>
      <c r="E6270" s="2" t="s">
        <v>190</v>
      </c>
    </row>
    <row r="6271" spans="1:5" x14ac:dyDescent="0.2">
      <c r="A6271">
        <v>6210</v>
      </c>
      <c r="B6271" s="138">
        <f>'Acct Summary 7-8'!G82</f>
        <v>-157925</v>
      </c>
      <c r="D6271" s="2" t="str">
        <f t="shared" ref="D6271:D6334" si="97">IF(ISBLANK(B6271),"OK",IF(A6271-B6271=0,"OK","Error?"))</f>
        <v>Error?</v>
      </c>
      <c r="E6271" s="2" t="s">
        <v>190</v>
      </c>
    </row>
    <row r="6272" spans="1:5" x14ac:dyDescent="0.2">
      <c r="A6272">
        <v>6211</v>
      </c>
      <c r="B6272" s="138">
        <f>'Acct Summary 7-8'!H82</f>
        <v>4460</v>
      </c>
      <c r="D6272" s="2" t="str">
        <f t="shared" si="97"/>
        <v>Error?</v>
      </c>
      <c r="E6272" s="2" t="s">
        <v>190</v>
      </c>
    </row>
    <row r="6273" spans="1:5" x14ac:dyDescent="0.2">
      <c r="A6273">
        <v>6212</v>
      </c>
      <c r="B6273" s="138">
        <f>'Acct Summary 7-8'!I82</f>
        <v>3356794</v>
      </c>
      <c r="D6273" s="2" t="str">
        <f t="shared" si="97"/>
        <v>Error?</v>
      </c>
      <c r="E6273" s="2" t="s">
        <v>190</v>
      </c>
    </row>
    <row r="6274" spans="1:5" x14ac:dyDescent="0.2">
      <c r="A6274">
        <v>6213</v>
      </c>
      <c r="B6274" s="138">
        <f>'Acct Summary 7-8'!J82</f>
        <v>-58365</v>
      </c>
      <c r="D6274" s="2" t="str">
        <f t="shared" si="97"/>
        <v>Error?</v>
      </c>
      <c r="E6274" s="2" t="s">
        <v>190</v>
      </c>
    </row>
    <row r="6275" spans="1:5" x14ac:dyDescent="0.2">
      <c r="A6275">
        <v>6214</v>
      </c>
      <c r="B6275" s="138">
        <f>'Acct Summary 7-8'!K82</f>
        <v>127894</v>
      </c>
      <c r="D6275" s="2" t="str">
        <f t="shared" si="97"/>
        <v>Error?</v>
      </c>
      <c r="E6275" s="2" t="s">
        <v>190</v>
      </c>
    </row>
    <row r="6276" spans="1:5" x14ac:dyDescent="0.2">
      <c r="A6276">
        <v>6215</v>
      </c>
      <c r="B6276" s="138">
        <f>'Acct Summary 7-8'!C83</f>
        <v>-0.34408971468116456</v>
      </c>
      <c r="D6276" s="2" t="str">
        <f t="shared" si="97"/>
        <v>Error?</v>
      </c>
      <c r="E6276" s="2" t="s">
        <v>190</v>
      </c>
    </row>
    <row r="6277" spans="1:5" x14ac:dyDescent="0.2">
      <c r="A6277">
        <v>6216</v>
      </c>
      <c r="B6277" s="138">
        <f>'Acct Summary 7-8'!D83</f>
        <v>-4.8359698452862414E-2</v>
      </c>
      <c r="D6277" s="2" t="str">
        <f t="shared" si="97"/>
        <v>Error?</v>
      </c>
      <c r="E6277" s="2" t="s">
        <v>190</v>
      </c>
    </row>
    <row r="6278" spans="1:5" x14ac:dyDescent="0.2">
      <c r="A6278">
        <v>6217</v>
      </c>
      <c r="B6278" s="138">
        <f>'Acct Summary 7-8'!E83</f>
        <v>0.93270658549261265</v>
      </c>
      <c r="D6278" s="2" t="str">
        <f t="shared" si="97"/>
        <v>Error?</v>
      </c>
      <c r="E6278" s="2" t="s">
        <v>190</v>
      </c>
    </row>
    <row r="6279" spans="1:5" x14ac:dyDescent="0.2">
      <c r="A6279">
        <v>6218</v>
      </c>
      <c r="B6279" s="138">
        <f>'Acct Summary 7-8'!F83</f>
        <v>-3.0113782535892725E-2</v>
      </c>
      <c r="D6279" s="2" t="str">
        <f t="shared" si="97"/>
        <v>Error?</v>
      </c>
      <c r="E6279" s="2" t="s">
        <v>190</v>
      </c>
    </row>
    <row r="6280" spans="1:5" x14ac:dyDescent="0.2">
      <c r="A6280">
        <v>6219</v>
      </c>
      <c r="B6280" s="138">
        <f>'Acct Summary 7-8'!G83</f>
        <v>-0.3628274464575359</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0.7806960645340596</v>
      </c>
      <c r="D6282" s="2" t="str">
        <f t="shared" si="97"/>
        <v>Error?</v>
      </c>
      <c r="E6282" s="2" t="s">
        <v>190</v>
      </c>
    </row>
    <row r="6283" spans="1:5" x14ac:dyDescent="0.2">
      <c r="A6283">
        <v>6222</v>
      </c>
      <c r="B6283" s="138">
        <f>'Acct Summary 7-8'!J83</f>
        <v>-0.26596156738012022</v>
      </c>
      <c r="D6283" s="2" t="str">
        <f t="shared" si="97"/>
        <v>Error?</v>
      </c>
      <c r="E6283" s="2" t="s">
        <v>190</v>
      </c>
    </row>
    <row r="6284" spans="1:5" x14ac:dyDescent="0.2">
      <c r="A6284">
        <v>6223</v>
      </c>
      <c r="B6284" s="138">
        <f>'Acct Summary 7-8'!K83</f>
        <v>0.28773589150565598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713054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713054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2413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2413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4376</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715467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47188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36397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8380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47065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27832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8380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2586</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2586</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13647</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13647</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16233</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24613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773832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715467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245</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245</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245</v>
      </c>
      <c r="D7072" s="2" t="str">
        <f t="shared" si="109"/>
        <v>Error?</v>
      </c>
    </row>
    <row r="7073" spans="1:4" x14ac:dyDescent="0.2">
      <c r="A7073">
        <v>7012</v>
      </c>
      <c r="B7073" s="138">
        <f>'Expenditures 15-22'!D216</f>
        <v>528</v>
      </c>
      <c r="D7073" s="2" t="str">
        <f t="shared" si="109"/>
        <v>Error?</v>
      </c>
    </row>
    <row r="7074" spans="1:4" x14ac:dyDescent="0.2">
      <c r="A7074">
        <v>7013</v>
      </c>
      <c r="B7074" s="138">
        <f>'Expenditures 15-22'!K216</f>
        <v>528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192</v>
      </c>
      <c r="D7079" s="2" t="str">
        <f t="shared" si="109"/>
        <v>Error?</v>
      </c>
    </row>
    <row r="7080" spans="1:4" x14ac:dyDescent="0.2">
      <c r="A7080">
        <v>7019</v>
      </c>
      <c r="B7080" s="138">
        <f>'Expenditures 15-22'!K226</f>
        <v>192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6274</v>
      </c>
      <c r="D7093" s="2" t="str">
        <f t="shared" si="109"/>
        <v>Error?</v>
      </c>
    </row>
    <row r="7094" spans="1:4" x14ac:dyDescent="0.2">
      <c r="A7094">
        <v>7033</v>
      </c>
      <c r="B7094" s="138">
        <f>'Expenditures 15-22'!K254</f>
        <v>6274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57722</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57722</v>
      </c>
      <c r="D7135" s="2" t="str">
        <f t="shared" si="110"/>
        <v>Error?</v>
      </c>
    </row>
    <row r="7136" spans="1:4" x14ac:dyDescent="0.2">
      <c r="A7136">
        <v>7075</v>
      </c>
      <c r="B7136" s="138">
        <f>'Expenditures 15-22'!C321</f>
        <v>380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380</v>
      </c>
      <c r="D7144" s="2" t="str">
        <f t="shared" si="110"/>
        <v>Error?</v>
      </c>
    </row>
    <row r="7145" spans="1:4" x14ac:dyDescent="0.2">
      <c r="A7145">
        <v>7084</v>
      </c>
      <c r="B7145" s="138">
        <f>'Expenditures 15-22'!C322</f>
        <v>117436</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117436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455129</v>
      </c>
      <c r="D7172" s="2" t="str">
        <f t="shared" si="111"/>
        <v>Error?</v>
      </c>
    </row>
    <row r="7173" spans="1:4" x14ac:dyDescent="0.2">
      <c r="A7173">
        <v>7112</v>
      </c>
      <c r="B7173" s="138">
        <f>'Expenditures 15-22'!D325</f>
        <v>61201</v>
      </c>
      <c r="D7173" s="2" t="str">
        <f t="shared" si="111"/>
        <v>Error?</v>
      </c>
    </row>
    <row r="7174" spans="1:4" x14ac:dyDescent="0.2">
      <c r="A7174">
        <v>7113</v>
      </c>
      <c r="B7174" s="138">
        <f>'Expenditures 15-22'!E325</f>
        <v>33779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550109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48185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48185</v>
      </c>
      <c r="D7198" s="2" t="str">
        <f t="shared" si="111"/>
        <v>Error?</v>
      </c>
    </row>
    <row r="7199" spans="1:4" x14ac:dyDescent="0.2">
      <c r="A7199">
        <v>7138</v>
      </c>
      <c r="B7199" s="138">
        <f>'Expenditures 15-22'!C330</f>
        <v>630667</v>
      </c>
      <c r="D7199" s="2" t="str">
        <f t="shared" si="111"/>
        <v>Error?</v>
      </c>
    </row>
    <row r="7200" spans="1:4" x14ac:dyDescent="0.2">
      <c r="A7200">
        <v>7139</v>
      </c>
      <c r="B7200" s="138">
        <f>'Expenditures 15-22'!D330</f>
        <v>61201</v>
      </c>
      <c r="D7200" s="2" t="str">
        <f t="shared" si="111"/>
        <v>Error?</v>
      </c>
    </row>
    <row r="7201" spans="1:4" x14ac:dyDescent="0.2">
      <c r="A7201">
        <v>7140</v>
      </c>
      <c r="B7201" s="138">
        <f>'Expenditures 15-22'!E330</f>
        <v>81964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773832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630667</v>
      </c>
      <c r="D7216" s="2" t="str">
        <f t="shared" si="111"/>
        <v>Error?</v>
      </c>
    </row>
    <row r="7217" spans="1:4" x14ac:dyDescent="0.2">
      <c r="A7217">
        <v>7156</v>
      </c>
      <c r="B7217" s="138">
        <f>'Expenditures 15-22'!D342</f>
        <v>61201</v>
      </c>
      <c r="D7217" s="2" t="str">
        <f t="shared" si="111"/>
        <v>Error?</v>
      </c>
    </row>
    <row r="7218" spans="1:4" x14ac:dyDescent="0.2">
      <c r="A7218">
        <v>7157</v>
      </c>
      <c r="B7218" s="138">
        <f>'Expenditures 15-22'!E342</f>
        <v>81964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773832</v>
      </c>
      <c r="D7224" s="2" t="str">
        <f t="shared" si="111"/>
        <v>Error?</v>
      </c>
    </row>
    <row r="7225" spans="1:4" x14ac:dyDescent="0.2">
      <c r="A7225">
        <v>7164</v>
      </c>
      <c r="B7225" s="138">
        <f>'Expenditures 15-22'!K343</f>
        <v>-58365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8941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1727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12699</v>
      </c>
      <c r="D7263" s="2" t="str">
        <f t="shared" si="112"/>
        <v>Error?</v>
      </c>
    </row>
    <row r="7264" spans="1:4" x14ac:dyDescent="0.2">
      <c r="A7264">
        <f t="shared" si="113"/>
        <v>7203</v>
      </c>
      <c r="B7264" s="138">
        <f>'Expenditures 15-22'!D17</f>
        <v>851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307</v>
      </c>
      <c r="D7266" s="2" t="str">
        <f t="shared" si="112"/>
        <v>Error?</v>
      </c>
    </row>
    <row r="7267" spans="1:5" x14ac:dyDescent="0.2">
      <c r="A7267">
        <f t="shared" si="113"/>
        <v>7206</v>
      </c>
      <c r="B7267" s="138">
        <f>'Expenditures 15-22'!G17</f>
        <v>13975</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1166633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-1378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1378</v>
      </c>
      <c r="D7713" s="2" t="str">
        <f t="shared" si="126"/>
        <v>Error?</v>
      </c>
      <c r="E7713" s="2" t="s">
        <v>827</v>
      </c>
    </row>
    <row r="7714" spans="1:6" x14ac:dyDescent="0.2">
      <c r="A7714">
        <v>7653</v>
      </c>
      <c r="B7714" s="138">
        <f>'Rest Tax Levies-Tort Im 25'!K9</f>
        <v>25458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1750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1378</v>
      </c>
      <c r="D7718" s="2" t="str">
        <f t="shared" si="126"/>
        <v>Error?</v>
      </c>
      <c r="E7718" s="2" t="s">
        <v>827</v>
      </c>
    </row>
    <row r="7719" spans="1:6" x14ac:dyDescent="0.2">
      <c r="A7719">
        <v>7658</v>
      </c>
      <c r="B7719" s="138">
        <f>'Rest Tax Levies-Tort Im 25'!K12</f>
        <v>27208</v>
      </c>
      <c r="D7719" s="2" t="str">
        <f t="shared" si="126"/>
        <v>Error?</v>
      </c>
      <c r="E7719" s="2" t="s">
        <v>827</v>
      </c>
    </row>
    <row r="7720" spans="1:6" x14ac:dyDescent="0.2">
      <c r="A7720">
        <v>7659</v>
      </c>
      <c r="B7720" s="138">
        <f>'Rest Tax Levies-Tort Im 25'!H14</f>
        <v>83516</v>
      </c>
      <c r="D7720" s="2" t="str">
        <f t="shared" si="126"/>
        <v>Error?</v>
      </c>
      <c r="E7720" s="2" t="s">
        <v>827</v>
      </c>
    </row>
    <row r="7721" spans="1:6" x14ac:dyDescent="0.2">
      <c r="A7721">
        <v>7660</v>
      </c>
      <c r="B7721" s="138">
        <f>'Rest Tax Levies-Tort Im 25'!K14</f>
        <v>27832</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1378</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-624</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-624</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294338</v>
      </c>
      <c r="D7797" s="2" t="str">
        <f t="shared" si="127"/>
        <v>Error?</v>
      </c>
      <c r="E7797" s="4" t="s">
        <v>1904</v>
      </c>
    </row>
    <row r="7798" spans="1:5" x14ac:dyDescent="0.2">
      <c r="A7798">
        <v>7737</v>
      </c>
      <c r="B7798" s="138">
        <f>'Contracts Paid in CY 29'!F141</f>
        <v>75000</v>
      </c>
      <c r="D7798" s="2" t="str">
        <f t="shared" si="127"/>
        <v>Error?</v>
      </c>
      <c r="E7798" s="4" t="s">
        <v>1904</v>
      </c>
    </row>
    <row r="7799" spans="1:5" x14ac:dyDescent="0.2">
      <c r="A7799">
        <v>7738</v>
      </c>
      <c r="B7799" s="138">
        <f>'Contracts Paid in CY 29'!G141</f>
        <v>219338</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1989</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 xml:space="preserve">Pleasant Plains CUSD 8                    </v>
      </c>
      <c r="B7" s="2384"/>
      <c r="C7" s="2384"/>
      <c r="D7" s="2421"/>
      <c r="E7" s="2422">
        <f>COVER!A13</f>
        <v>51084008026</v>
      </c>
      <c r="F7" s="2423"/>
      <c r="G7" s="2390" t="str">
        <f>COVER!T23</f>
        <v>060-004845</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 xml:space="preserve">Pehlman and Dold, P.C.                 </v>
      </c>
      <c r="H9" s="2397"/>
      <c r="I9" s="2397"/>
      <c r="J9" s="2397"/>
      <c r="K9" s="2397"/>
      <c r="L9" s="2398"/>
    </row>
    <row r="10" spans="1:29" ht="13.5" customHeight="1" x14ac:dyDescent="0.2">
      <c r="A10" s="2380" t="str">
        <f>COVER!A38</f>
        <v>Matt Runge, Superintendent</v>
      </c>
      <c r="B10" s="2381"/>
      <c r="C10" s="2381"/>
      <c r="D10" s="2381"/>
      <c r="E10" s="2381"/>
      <c r="F10" s="2382"/>
      <c r="G10" s="2396" t="str">
        <f>COVER!T17</f>
        <v>100 North Amos Avenue</v>
      </c>
      <c r="H10" s="2409"/>
      <c r="I10" s="2409"/>
      <c r="J10" s="2409"/>
      <c r="K10" s="2409"/>
      <c r="L10" s="2410"/>
    </row>
    <row r="11" spans="1:29" ht="13.5" customHeight="1" x14ac:dyDescent="0.2">
      <c r="A11" s="1184" t="s">
        <v>1519</v>
      </c>
      <c r="B11" s="1185"/>
      <c r="C11" s="1186"/>
      <c r="D11" s="1191"/>
      <c r="E11" s="1186"/>
      <c r="F11" s="1190"/>
      <c r="G11" s="2396" t="str">
        <f>COVER!T19</f>
        <v>Springfield</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dfitzgerald@p-dcpas.com</v>
      </c>
      <c r="J13" s="2418"/>
      <c r="K13" s="2418"/>
      <c r="L13" s="2419"/>
    </row>
    <row r="14" spans="1:29" ht="13.5" customHeight="1" x14ac:dyDescent="0.2">
      <c r="A14" s="2396" t="str">
        <f>COVER!A19</f>
        <v>315 West Church Street</v>
      </c>
      <c r="B14" s="2409"/>
      <c r="C14" s="2409"/>
      <c r="D14" s="2409"/>
      <c r="E14" s="2409"/>
      <c r="F14" s="2410"/>
      <c r="G14" s="1195" t="s">
        <v>1185</v>
      </c>
      <c r="H14" s="1193"/>
      <c r="I14" s="1193"/>
      <c r="J14" s="1193"/>
      <c r="K14" s="1193"/>
      <c r="L14" s="1194"/>
    </row>
    <row r="15" spans="1:29" ht="13.5" customHeight="1" x14ac:dyDescent="0.2">
      <c r="A15" s="2396" t="str">
        <f>COVER!A21</f>
        <v>Pleasant Plains</v>
      </c>
      <c r="B15" s="2409"/>
      <c r="C15" s="2409"/>
      <c r="D15" s="2409"/>
      <c r="E15" s="2409"/>
      <c r="F15" s="2410"/>
      <c r="G15" s="2406" t="str">
        <f>COVER!T15</f>
        <v>Dorinda L Fitzgerald</v>
      </c>
      <c r="H15" s="2407"/>
      <c r="I15" s="2407"/>
      <c r="J15" s="2407"/>
      <c r="K15" s="2407"/>
      <c r="L15" s="2408"/>
    </row>
    <row r="16" spans="1:29" ht="12.2" customHeight="1" x14ac:dyDescent="0.2">
      <c r="A16" s="2386">
        <f>COVER!A25</f>
        <v>62677</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(217) 787-0563</v>
      </c>
      <c r="H18" s="2384"/>
      <c r="I18" s="2384"/>
      <c r="J18" s="2384"/>
      <c r="K18" s="2383" t="str">
        <f>COVER!X21</f>
        <v>(217) 787-9266</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 xml:space="preserve">Pleasant Plains CUSD 8                    </v>
      </c>
      <c r="B1" s="2420"/>
      <c r="C1" s="2420"/>
      <c r="D1" s="2420"/>
    </row>
    <row r="2" spans="1:11" s="1212" customFormat="1" ht="12.75" x14ac:dyDescent="0.2">
      <c r="A2" s="2425">
        <f>'Single Audit Cover'!E7</f>
        <v>51084008026</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 xml:space="preserve">Pleasant Plains CUSD 8                    </v>
      </c>
      <c r="B1" s="2428"/>
      <c r="C1" s="2428"/>
      <c r="D1" s="2428"/>
      <c r="E1" s="2428"/>
    </row>
    <row r="2" spans="1:5" x14ac:dyDescent="0.2">
      <c r="A2" s="2429">
        <f>'Single Audit Cover'!E7</f>
        <v>51084008026</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460070</v>
      </c>
    </row>
    <row r="11" spans="1:5" ht="18" customHeight="1" x14ac:dyDescent="0.2">
      <c r="A11" s="1258" t="s">
        <v>1240</v>
      </c>
      <c r="B11" s="1259"/>
      <c r="C11" s="1259"/>
    </row>
    <row r="12" spans="1:5" x14ac:dyDescent="0.2">
      <c r="A12" s="1258" t="s">
        <v>1239</v>
      </c>
      <c r="B12" s="1259" t="s">
        <v>1238</v>
      </c>
      <c r="C12" s="1259"/>
      <c r="D12" s="1261">
        <f>SUM('Revenues 9-14'!C112:D112,'Revenues 9-14'!F112:G112)</f>
        <v>152997</v>
      </c>
    </row>
    <row r="13" spans="1:5" x14ac:dyDescent="0.2">
      <c r="A13" s="1258" t="s">
        <v>1237</v>
      </c>
      <c r="B13" s="1259"/>
      <c r="C13" s="1259"/>
    </row>
    <row r="14" spans="1:5" x14ac:dyDescent="0.2">
      <c r="A14" s="1258" t="s">
        <v>1727</v>
      </c>
      <c r="B14" s="1259"/>
      <c r="C14" s="1259"/>
      <c r="D14" s="1261">
        <f>'ICR Computation 30'!E11</f>
        <v>33253</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-28700</v>
      </c>
    </row>
    <row r="19" spans="1:4" ht="13.5" thickBot="1" x14ac:dyDescent="0.25">
      <c r="A19" s="1262" t="s">
        <v>1235</v>
      </c>
      <c r="D19" s="1263">
        <f>SUM(D10:D17)</f>
        <v>617620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617620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617620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 xml:space="preserve">Pleasant Plains CUSD 8                    </v>
      </c>
      <c r="C1" s="2432"/>
      <c r="D1" s="2432"/>
      <c r="E1" s="2432"/>
      <c r="F1" s="2432"/>
      <c r="G1" s="2432"/>
      <c r="H1" s="2432"/>
      <c r="I1" s="2432"/>
      <c r="J1" s="2432"/>
      <c r="K1" s="2432"/>
      <c r="L1" s="2432"/>
      <c r="M1" s="2432"/>
    </row>
    <row r="2" spans="2:14" ht="15" x14ac:dyDescent="0.2">
      <c r="B2" s="2433">
        <f>'Single Audit Cover'!E7</f>
        <v>51084008026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 xml:space="preserve">Pleasant Plains CUSD 8                    </v>
      </c>
      <c r="B1" s="2437"/>
      <c r="C1" s="2437"/>
      <c r="D1" s="2437"/>
      <c r="E1" s="2437"/>
      <c r="F1" s="2437"/>
    </row>
    <row r="2" spans="1:7" ht="13.5" customHeight="1" x14ac:dyDescent="0.2">
      <c r="A2" s="2433">
        <f>'Single Audit Cover'!E7</f>
        <v>51084008026</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D1" sqref="D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2070</v>
      </c>
      <c r="C53" s="179">
        <v>22</v>
      </c>
      <c r="D53" s="247" t="s">
        <v>1462</v>
      </c>
      <c r="E53" s="248"/>
      <c r="F53" s="249"/>
      <c r="G53" s="249" t="s">
        <v>1461</v>
      </c>
      <c r="H53" s="250">
        <v>35431</v>
      </c>
      <c r="I53" s="237" t="s">
        <v>1483</v>
      </c>
    </row>
    <row r="54" spans="1:10" s="181" customFormat="1" x14ac:dyDescent="0.2">
      <c r="A54" s="219"/>
      <c r="B54" s="220" t="s">
        <v>2070</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2099</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2107</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2108</v>
      </c>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 xml:space="preserve">Pleasant Plains CUSD 8                    </v>
      </c>
      <c r="C1" s="2453"/>
      <c r="D1" s="2453"/>
      <c r="E1" s="2453"/>
      <c r="F1" s="2453"/>
      <c r="G1" s="2453"/>
      <c r="H1" s="2453"/>
      <c r="I1" s="2453"/>
      <c r="J1" s="1406"/>
    </row>
    <row r="2" spans="2:10" s="317" customFormat="1" ht="12.75" customHeight="1" x14ac:dyDescent="0.2">
      <c r="B2" s="2454">
        <f>'Single Audit Cover'!E7</f>
        <v>51084008026</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1841</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 xml:space="preserve">Pleasant Plains CUSD 8                    </v>
      </c>
      <c r="C1" s="2452"/>
      <c r="D1" s="2452"/>
      <c r="E1" s="2452"/>
      <c r="F1" s="2452"/>
      <c r="G1" s="2452"/>
      <c r="H1" s="2452"/>
      <c r="I1" s="2452"/>
      <c r="J1" s="2452"/>
      <c r="K1" s="2452"/>
      <c r="L1" s="1371"/>
      <c r="M1" s="1371"/>
    </row>
    <row r="2" spans="1:13" ht="12" customHeight="1" x14ac:dyDescent="0.2">
      <c r="B2" s="2454">
        <f>'Single Audit Cover'!E7</f>
        <v>51084008026</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 xml:space="preserve">Pleasant Plains CUSD 8                    </v>
      </c>
      <c r="C1" s="2479"/>
      <c r="D1" s="2479"/>
      <c r="E1" s="2479"/>
      <c r="F1" s="2479"/>
      <c r="G1" s="2479"/>
      <c r="H1" s="2479"/>
      <c r="I1" s="2479"/>
      <c r="J1" s="2479"/>
      <c r="K1" s="2479"/>
      <c r="L1" s="1449"/>
    </row>
    <row r="2" spans="1:12" ht="12.75" customHeight="1" x14ac:dyDescent="0.2">
      <c r="B2" s="2480">
        <f>'Single Audit Cover'!E7</f>
        <v>51084008026</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 xml:space="preserve">Pleasant Plains CUSD 8                    </v>
      </c>
      <c r="C1" s="2452"/>
      <c r="D1" s="2452"/>
      <c r="E1" s="1469"/>
    </row>
    <row r="2" spans="2:5" s="1279" customFormat="1" ht="12.75" customHeight="1" x14ac:dyDescent="0.2">
      <c r="B2" s="2454">
        <f>'Single Audit Cover'!E7</f>
        <v>51084008026</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1" colorId="8" zoomScale="110" zoomScaleNormal="110" workbookViewId="0">
      <selection activeCell="A18" sqref="A1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226722100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3.2883000000000003E-2</v>
      </c>
      <c r="E10" s="356" t="s">
        <v>1005</v>
      </c>
      <c r="F10" s="355">
        <v>6.2170000000000003E-3</v>
      </c>
      <c r="G10" s="356" t="s">
        <v>1005</v>
      </c>
      <c r="H10" s="355">
        <v>2.2060000000000001E-3</v>
      </c>
      <c r="I10" s="356" t="s">
        <v>1006</v>
      </c>
      <c r="J10" s="1732">
        <f>ROUND(D10+F10+H10,5)</f>
        <v>4.1309999999999999E-2</v>
      </c>
      <c r="K10" s="222"/>
      <c r="L10" s="355">
        <v>2.41E-4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11941564</v>
      </c>
      <c r="E16" s="356"/>
      <c r="F16" s="1733">
        <f>SUM('Acct Summary 7-8'!C17,'Acct Summary 7-8'!D17,'Acct Summary 7-8'!F17)</f>
        <v>13506652</v>
      </c>
      <c r="G16" s="356"/>
      <c r="H16" s="1733">
        <f>SUM(D16-F16)</f>
        <v>-1565088</v>
      </c>
      <c r="I16" s="222"/>
      <c r="J16" s="1733">
        <f>SUM('Acct Summary 7-8'!C81,'Acct Summary 7-8'!D81,'Acct Summary 7-8'!F81,'Acct Summary 7-8'!I81)</f>
        <v>13049476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31287649.800000004</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5965000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A18" sqref="A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Pleasant Plains CUSD 8                    </v>
      </c>
      <c r="E7" s="391"/>
      <c r="G7" s="252"/>
      <c r="H7" s="387"/>
      <c r="I7" s="387"/>
      <c r="J7" s="387"/>
      <c r="K7" s="387"/>
      <c r="L7" s="329"/>
      <c r="M7" s="329"/>
      <c r="N7" s="329"/>
      <c r="O7" s="329"/>
      <c r="P7" s="329"/>
    </row>
    <row r="8" spans="1:18" ht="12.75" x14ac:dyDescent="0.2">
      <c r="A8" s="329"/>
      <c r="B8" s="329"/>
      <c r="C8" s="389" t="s">
        <v>1125</v>
      </c>
      <c r="D8" s="392">
        <f>COVER!A13</f>
        <v>51084008026</v>
      </c>
      <c r="E8" s="393"/>
      <c r="G8" s="329"/>
      <c r="H8" s="329"/>
      <c r="I8" s="329"/>
      <c r="J8" s="329"/>
      <c r="K8" s="329"/>
      <c r="L8" s="329"/>
      <c r="M8" s="329"/>
      <c r="N8" s="329"/>
      <c r="O8" s="329"/>
      <c r="P8" s="329"/>
    </row>
    <row r="9" spans="1:18" ht="12.75" x14ac:dyDescent="0.2">
      <c r="A9" s="329"/>
      <c r="B9" s="329"/>
      <c r="C9" s="389" t="s">
        <v>713</v>
      </c>
      <c r="D9" s="394" t="str">
        <f>COVER!A15</f>
        <v>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13049476</v>
      </c>
      <c r="I12" s="404"/>
      <c r="J12" s="404"/>
      <c r="K12" s="405">
        <f>TRUNC((H12/H13*100000),5)/100000</f>
        <v>1.0927777968999999</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11941564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13506652</v>
      </c>
      <c r="I17" s="404"/>
      <c r="J17" s="416"/>
      <c r="K17" s="405">
        <f>TRUNC((H17/H18*100000),5)/100000</f>
        <v>1.1310622293000001</v>
      </c>
      <c r="L17" s="406"/>
      <c r="M17" s="417" t="s">
        <v>1171</v>
      </c>
      <c r="O17" s="418" t="str">
        <f>IF(AND(O16="2", J20 &gt; 2),"1",IF(AND(O16 = "1", J20 &gt; 2),"2",IF(AND(O16="1", J20 &gt;1),"1","0")))</f>
        <v>1</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11941564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7.5748581000000001</v>
      </c>
      <c r="K20" s="405">
        <f>IF(K17&lt;=1,"0",IF(AND(O16="2", J20 &gt; 2),TRUNC(((K12-0.1)/(K17-1)*100),5)/100,IF(AND(O16 = "1", J20 &gt; 2),TRUNC(((K12-0.1)/(K17-1)*100),5)/100,IF(AND(O16="1", J20 &gt;1),TRUNC(((K12-0.1)/(K17-1)*100),5)/100,""))))</f>
        <v>7.5748581000000001</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13075453</v>
      </c>
      <c r="I24" s="422"/>
      <c r="J24" s="422"/>
      <c r="K24" s="423">
        <f>TRUNC(((H24/H25*100000)/100000),2)</f>
        <v>348.5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37518.477780000001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7961006.45835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5965000</v>
      </c>
      <c r="I32" s="420"/>
      <c r="J32" s="420"/>
      <c r="K32" s="423">
        <f>TRUNC(100-((((H32/H33*100))*100)/100),2)</f>
        <v>80.930000000000007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31287649.800000004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activeCell="A18" sqref="A18"/>
      <selection pane="bottomLeft" activeCell="A18" sqref="A1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2676574</v>
      </c>
      <c r="D4" s="466">
        <v>1795270</v>
      </c>
      <c r="E4" s="466"/>
      <c r="F4" s="466">
        <v>2067769</v>
      </c>
      <c r="G4" s="466">
        <v>230093</v>
      </c>
      <c r="H4" s="466"/>
      <c r="I4" s="466">
        <v>4218005</v>
      </c>
      <c r="J4" s="467">
        <v>59885</v>
      </c>
      <c r="K4" s="466">
        <v>373017</v>
      </c>
      <c r="L4" s="466">
        <v>487797</v>
      </c>
      <c r="M4" s="468"/>
      <c r="N4" s="469"/>
    </row>
    <row r="5" spans="1:14" x14ac:dyDescent="0.2">
      <c r="A5" s="463" t="s">
        <v>992</v>
      </c>
      <c r="B5" s="470">
        <v>120</v>
      </c>
      <c r="C5" s="465">
        <v>2054287</v>
      </c>
      <c r="D5" s="466">
        <v>42131</v>
      </c>
      <c r="E5" s="466">
        <v>5916</v>
      </c>
      <c r="F5" s="466">
        <v>139677</v>
      </c>
      <c r="G5" s="466">
        <v>205169</v>
      </c>
      <c r="H5" s="466"/>
      <c r="I5" s="466">
        <v>81740</v>
      </c>
      <c r="J5" s="467">
        <v>159564</v>
      </c>
      <c r="K5" s="471">
        <v>71467</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v>8184</v>
      </c>
      <c r="G11" s="467"/>
      <c r="H11" s="467"/>
      <c r="I11" s="478"/>
      <c r="J11" s="478"/>
      <c r="K11" s="467"/>
      <c r="L11" s="467"/>
      <c r="M11" s="469"/>
      <c r="N11" s="469"/>
    </row>
    <row r="12" spans="1:14" ht="13.5" customHeight="1" x14ac:dyDescent="0.2">
      <c r="A12" s="473" t="s">
        <v>419</v>
      </c>
      <c r="B12" s="470">
        <v>190</v>
      </c>
      <c r="C12" s="465">
        <v>164</v>
      </c>
      <c r="D12" s="466"/>
      <c r="E12" s="466"/>
      <c r="F12" s="466"/>
      <c r="G12" s="466"/>
      <c r="H12" s="466"/>
      <c r="I12" s="466"/>
      <c r="J12" s="467"/>
      <c r="K12" s="466"/>
      <c r="L12" s="466"/>
      <c r="M12" s="469"/>
      <c r="N12" s="469"/>
    </row>
    <row r="13" spans="1:14" ht="13.5" customHeight="1" thickBot="1" x14ac:dyDescent="0.25">
      <c r="A13" s="1736" t="s">
        <v>644</v>
      </c>
      <c r="B13" s="1709"/>
      <c r="C13" s="1737">
        <f>SUM(C4:C12)</f>
        <v>4731025</v>
      </c>
      <c r="D13" s="1737">
        <f t="shared" ref="D13:L13" si="0">SUM(D4:D12)</f>
        <v>1837401</v>
      </c>
      <c r="E13" s="1737">
        <f t="shared" si="0"/>
        <v>5916</v>
      </c>
      <c r="F13" s="1737">
        <f t="shared" si="0"/>
        <v>2215630</v>
      </c>
      <c r="G13" s="1737">
        <f t="shared" si="0"/>
        <v>435262</v>
      </c>
      <c r="H13" s="1737">
        <f t="shared" si="0"/>
        <v>0</v>
      </c>
      <c r="I13" s="1737">
        <f t="shared" si="0"/>
        <v>4299745</v>
      </c>
      <c r="J13" s="1737">
        <f t="shared" si="0"/>
        <v>219449</v>
      </c>
      <c r="K13" s="1737">
        <f t="shared" si="0"/>
        <v>444484</v>
      </c>
      <c r="L13" s="1737">
        <f t="shared" si="0"/>
        <v>487797</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767974</v>
      </c>
      <c r="N16" s="484"/>
    </row>
    <row r="17" spans="1:14" s="485" customFormat="1" ht="12.75" customHeight="1" x14ac:dyDescent="0.2">
      <c r="A17" s="482" t="s">
        <v>1403</v>
      </c>
      <c r="B17" s="483">
        <v>230</v>
      </c>
      <c r="C17" s="477"/>
      <c r="D17" s="477"/>
      <c r="E17" s="477"/>
      <c r="F17" s="477"/>
      <c r="G17" s="477"/>
      <c r="H17" s="477"/>
      <c r="I17" s="477"/>
      <c r="J17" s="477"/>
      <c r="K17" s="477"/>
      <c r="L17" s="477"/>
      <c r="M17" s="467">
        <v>38114120</v>
      </c>
      <c r="N17" s="484"/>
    </row>
    <row r="18" spans="1:14" s="485" customFormat="1" ht="12.75" customHeight="1" x14ac:dyDescent="0.2">
      <c r="A18" s="482" t="s">
        <v>1404</v>
      </c>
      <c r="B18" s="483">
        <v>240</v>
      </c>
      <c r="C18" s="477"/>
      <c r="D18" s="477"/>
      <c r="E18" s="477"/>
      <c r="F18" s="477"/>
      <c r="G18" s="477"/>
      <c r="H18" s="477"/>
      <c r="I18" s="477"/>
      <c r="J18" s="477"/>
      <c r="K18" s="477"/>
      <c r="L18" s="477"/>
      <c r="M18" s="467">
        <v>835659</v>
      </c>
      <c r="N18" s="484"/>
    </row>
    <row r="19" spans="1:14" s="485" customFormat="1" ht="12.75" customHeight="1" x14ac:dyDescent="0.2">
      <c r="A19" s="482" t="s">
        <v>1405</v>
      </c>
      <c r="B19" s="483">
        <v>250</v>
      </c>
      <c r="C19" s="477"/>
      <c r="D19" s="477"/>
      <c r="E19" s="477"/>
      <c r="F19" s="477"/>
      <c r="G19" s="477"/>
      <c r="H19" s="477"/>
      <c r="I19" s="477"/>
      <c r="J19" s="477"/>
      <c r="K19" s="477"/>
      <c r="L19" s="477"/>
      <c r="M19" s="467">
        <v>3126256</v>
      </c>
      <c r="N19" s="484"/>
    </row>
    <row r="20" spans="1:14" s="485" customFormat="1" ht="12.75" customHeight="1" x14ac:dyDescent="0.2">
      <c r="A20" s="482" t="s">
        <v>1406</v>
      </c>
      <c r="B20" s="483">
        <v>260</v>
      </c>
      <c r="C20" s="477"/>
      <c r="D20" s="477"/>
      <c r="E20" s="477"/>
      <c r="F20" s="477"/>
      <c r="G20" s="477"/>
      <c r="H20" s="477"/>
      <c r="I20" s="477"/>
      <c r="J20" s="477"/>
      <c r="K20" s="477"/>
      <c r="L20" s="477"/>
      <c r="M20" s="467">
        <v>27664</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5965000</v>
      </c>
    </row>
    <row r="23" spans="1:14" ht="13.5" customHeight="1" thickBot="1" x14ac:dyDescent="0.25">
      <c r="A23" s="1736" t="s">
        <v>643</v>
      </c>
      <c r="B23" s="1741"/>
      <c r="C23" s="468"/>
      <c r="D23" s="468"/>
      <c r="E23" s="468"/>
      <c r="F23" s="468"/>
      <c r="G23" s="468"/>
      <c r="H23" s="468"/>
      <c r="I23" s="468"/>
      <c r="J23" s="468"/>
      <c r="K23" s="468"/>
      <c r="L23" s="468"/>
      <c r="M23" s="1688">
        <f>SUM(M15:M22)</f>
        <v>42871673</v>
      </c>
      <c r="N23" s="1688">
        <f>SUM(N21:N22)</f>
        <v>5965000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v>113668</v>
      </c>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31861</v>
      </c>
      <c r="D31" s="467">
        <v>2464</v>
      </c>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223933</v>
      </c>
      <c r="M33" s="468"/>
      <c r="N33" s="469"/>
    </row>
    <row r="34" spans="1:14" ht="13.5" customHeight="1" thickBot="1" x14ac:dyDescent="0.25">
      <c r="A34" s="1738" t="s">
        <v>654</v>
      </c>
      <c r="B34" s="1739"/>
      <c r="C34" s="1740">
        <f>SUM(C25:C33)</f>
        <v>31861</v>
      </c>
      <c r="D34" s="1740">
        <f t="shared" ref="D34:K34" si="1">SUM(D25:D33)</f>
        <v>2464</v>
      </c>
      <c r="E34" s="1740">
        <f t="shared" si="1"/>
        <v>113668</v>
      </c>
      <c r="F34" s="1740">
        <f t="shared" si="1"/>
        <v>0</v>
      </c>
      <c r="G34" s="1740">
        <f t="shared" si="1"/>
        <v>0</v>
      </c>
      <c r="H34" s="1740">
        <f t="shared" si="1"/>
        <v>0</v>
      </c>
      <c r="I34" s="1740">
        <f t="shared" si="1"/>
        <v>0</v>
      </c>
      <c r="J34" s="1740">
        <f t="shared" si="1"/>
        <v>0</v>
      </c>
      <c r="K34" s="1740">
        <f t="shared" si="1"/>
        <v>0</v>
      </c>
      <c r="L34" s="1721">
        <f>SUM(L33)</f>
        <v>223933</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5965000</v>
      </c>
    </row>
    <row r="37" spans="1:14" ht="13.5" thickBot="1" x14ac:dyDescent="0.25">
      <c r="A37" s="1736" t="s">
        <v>653</v>
      </c>
      <c r="B37" s="1741"/>
      <c r="C37" s="477"/>
      <c r="D37" s="477"/>
      <c r="E37" s="477"/>
      <c r="F37" s="477"/>
      <c r="G37" s="477"/>
      <c r="H37" s="477"/>
      <c r="I37" s="477"/>
      <c r="J37" s="477"/>
      <c r="K37" s="477"/>
      <c r="L37" s="480"/>
      <c r="M37" s="468"/>
      <c r="N37" s="1688">
        <f>SUM(N36:N36)</f>
        <v>5965000</v>
      </c>
    </row>
    <row r="38" spans="1:14" s="329" customFormat="1" ht="13.5" customHeight="1" thickTop="1" x14ac:dyDescent="0.2">
      <c r="A38" s="496" t="s">
        <v>420</v>
      </c>
      <c r="B38" s="483">
        <v>714</v>
      </c>
      <c r="C38" s="466">
        <v>17957</v>
      </c>
      <c r="D38" s="466"/>
      <c r="E38" s="466"/>
      <c r="F38" s="466"/>
      <c r="G38" s="466"/>
      <c r="H38" s="466"/>
      <c r="I38" s="466"/>
      <c r="J38" s="467"/>
      <c r="K38" s="466"/>
      <c r="L38" s="481">
        <v>263864</v>
      </c>
      <c r="M38" s="497"/>
      <c r="N38" s="497"/>
    </row>
    <row r="39" spans="1:14" s="329" customFormat="1" ht="13.5" customHeight="1" x14ac:dyDescent="0.2">
      <c r="A39" s="496" t="s">
        <v>342</v>
      </c>
      <c r="B39" s="483">
        <v>730</v>
      </c>
      <c r="C39" s="466">
        <v>4681207</v>
      </c>
      <c r="D39" s="466">
        <v>1834937</v>
      </c>
      <c r="E39" s="466">
        <v>-107752</v>
      </c>
      <c r="F39" s="466">
        <v>2215630</v>
      </c>
      <c r="G39" s="466">
        <v>435262</v>
      </c>
      <c r="H39" s="466"/>
      <c r="I39" s="466">
        <v>4299745</v>
      </c>
      <c r="J39" s="467">
        <v>219449</v>
      </c>
      <c r="K39" s="466">
        <v>444484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42871673</v>
      </c>
      <c r="N40" s="497"/>
    </row>
    <row r="41" spans="1:14" ht="13.5" customHeight="1" thickBot="1" x14ac:dyDescent="0.25">
      <c r="A41" s="1736" t="s">
        <v>655</v>
      </c>
      <c r="B41" s="1706"/>
      <c r="C41" s="1688">
        <f>(SUM(C34,C37,C38,C39))</f>
        <v>4731025</v>
      </c>
      <c r="D41" s="1688">
        <f t="shared" ref="D41:L41" si="2">SUM(D34,D37,D38:D39)</f>
        <v>1837401</v>
      </c>
      <c r="E41" s="1688">
        <f t="shared" si="2"/>
        <v>5916</v>
      </c>
      <c r="F41" s="1688">
        <f t="shared" si="2"/>
        <v>2215630</v>
      </c>
      <c r="G41" s="1688">
        <f t="shared" si="2"/>
        <v>435262</v>
      </c>
      <c r="H41" s="1688">
        <f t="shared" si="2"/>
        <v>0</v>
      </c>
      <c r="I41" s="1688">
        <f t="shared" si="2"/>
        <v>4299745</v>
      </c>
      <c r="J41" s="1688">
        <f t="shared" si="2"/>
        <v>219449</v>
      </c>
      <c r="K41" s="1688">
        <f t="shared" si="2"/>
        <v>444484</v>
      </c>
      <c r="L41" s="1688">
        <f t="shared" si="2"/>
        <v>487797</v>
      </c>
      <c r="M41" s="1688">
        <f>SUM(M40)</f>
        <v>42871673</v>
      </c>
      <c r="N41" s="1688">
        <f>SUM(N37)</f>
        <v>5965000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8" sqref="A18"/>
      <selection pane="bottomLeft" activeCell="A18" sqref="A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7226062</v>
      </c>
      <c r="D4" s="1742">
        <f>'Revenues 9-14'!D109</f>
        <v>1308037</v>
      </c>
      <c r="E4" s="1742">
        <f>'Revenues 9-14'!E109</f>
        <v>671687</v>
      </c>
      <c r="F4" s="1742">
        <f>'Revenues 9-14'!F109</f>
        <v>536034</v>
      </c>
      <c r="G4" s="1742">
        <f>'Revenues 9-14'!G109</f>
        <v>272438</v>
      </c>
      <c r="H4" s="1742">
        <f>'Revenues 9-14'!H109</f>
        <v>1378</v>
      </c>
      <c r="I4" s="1742">
        <f>'Revenues 9-14'!I109</f>
        <v>46746</v>
      </c>
      <c r="J4" s="1742">
        <f>'Revenues 9-14'!J109</f>
        <v>715467</v>
      </c>
      <c r="K4" s="1742">
        <f>'Revenues 9-14'!K109</f>
        <v>120226</v>
      </c>
      <c r="L4" s="347"/>
    </row>
    <row r="5" spans="1:13" ht="15.75" customHeight="1" x14ac:dyDescent="0.2">
      <c r="A5" s="1576" t="s">
        <v>1500</v>
      </c>
      <c r="B5" s="1577">
        <v>2000</v>
      </c>
      <c r="C5" s="1743">
        <f>'Revenues 9-14'!C114</f>
        <v>181050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1708451</v>
      </c>
      <c r="D6" s="1743">
        <f>'Revenues 9-14'!D170</f>
        <v>0</v>
      </c>
      <c r="E6" s="1743">
        <f>'Revenues 9-14'!E170</f>
        <v>225682</v>
      </c>
      <c r="F6" s="1743">
        <f>'Revenues 9-14'!F170</f>
        <v>475114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460070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9575633</v>
      </c>
      <c r="D8" s="1688">
        <f t="shared" ref="D8:K8" si="0">SUM(D4:D7)</f>
        <v>1308037</v>
      </c>
      <c r="E8" s="1688">
        <f t="shared" si="0"/>
        <v>897369</v>
      </c>
      <c r="F8" s="1688">
        <f t="shared" si="0"/>
        <v>1011148</v>
      </c>
      <c r="G8" s="1688">
        <f t="shared" si="0"/>
        <v>272438</v>
      </c>
      <c r="H8" s="1688">
        <f t="shared" si="0"/>
        <v>1378</v>
      </c>
      <c r="I8" s="1688">
        <f t="shared" si="0"/>
        <v>46746</v>
      </c>
      <c r="J8" s="1688">
        <f t="shared" si="0"/>
        <v>715467</v>
      </c>
      <c r="K8" s="1688">
        <f t="shared" si="0"/>
        <v>120226</v>
      </c>
      <c r="L8" s="347"/>
    </row>
    <row r="9" spans="1:13" ht="15.75" thickTop="1" x14ac:dyDescent="0.2">
      <c r="A9" s="514" t="s">
        <v>1653</v>
      </c>
      <c r="B9" s="515">
        <v>3998</v>
      </c>
      <c r="C9" s="481">
        <v>5355259</v>
      </c>
      <c r="D9" s="516"/>
      <c r="E9" s="481"/>
      <c r="F9" s="481"/>
      <c r="G9" s="517"/>
      <c r="H9" s="481"/>
      <c r="I9" s="509" t="s">
        <v>1169</v>
      </c>
      <c r="J9" s="478"/>
      <c r="K9" s="481"/>
      <c r="L9" s="347"/>
    </row>
    <row r="10" spans="1:13" s="519" customFormat="1" ht="13.5" thickBot="1" x14ac:dyDescent="0.25">
      <c r="A10" s="1736" t="s">
        <v>1173</v>
      </c>
      <c r="B10" s="1709"/>
      <c r="C10" s="1688">
        <f>SUM(C8:C9)</f>
        <v>14930892</v>
      </c>
      <c r="D10" s="1688">
        <f t="shared" ref="D10:K10" si="1">SUM(D8:D9)</f>
        <v>1308037</v>
      </c>
      <c r="E10" s="1688">
        <f t="shared" si="1"/>
        <v>897369</v>
      </c>
      <c r="F10" s="1688">
        <f t="shared" si="1"/>
        <v>1011148</v>
      </c>
      <c r="G10" s="1688">
        <f t="shared" si="1"/>
        <v>272438</v>
      </c>
      <c r="H10" s="1688">
        <f t="shared" si="1"/>
        <v>1378</v>
      </c>
      <c r="I10" s="1688">
        <f t="shared" si="1"/>
        <v>46746</v>
      </c>
      <c r="J10" s="1688">
        <f t="shared" si="1"/>
        <v>715467</v>
      </c>
      <c r="K10" s="1688">
        <f t="shared" si="1"/>
        <v>120226</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7536651</v>
      </c>
      <c r="D12" s="520" t="s">
        <v>1169</v>
      </c>
      <c r="E12" s="468" t="s">
        <v>1169</v>
      </c>
      <c r="F12" s="468" t="s">
        <v>1169</v>
      </c>
      <c r="G12" s="1742">
        <f>'Expenditures 15-22'!K229</f>
        <v>149591</v>
      </c>
      <c r="H12" s="521"/>
      <c r="I12" s="468" t="s">
        <v>1169</v>
      </c>
      <c r="J12" s="468" t="s">
        <v>1169</v>
      </c>
      <c r="K12" s="521" t="s">
        <v>1169</v>
      </c>
      <c r="L12" s="347"/>
    </row>
    <row r="13" spans="1:13" ht="15.75" customHeight="1" x14ac:dyDescent="0.2">
      <c r="A13" s="1576" t="s">
        <v>457</v>
      </c>
      <c r="B13" s="1578">
        <v>2000</v>
      </c>
      <c r="C13" s="1743">
        <f>'Expenditures 15-22'!K74</f>
        <v>2500285</v>
      </c>
      <c r="D13" s="1743">
        <f>'Expenditures 15-22'!K129</f>
        <v>1379035</v>
      </c>
      <c r="E13" s="469" t="s">
        <v>1169</v>
      </c>
      <c r="F13" s="1743">
        <f>'Expenditures 15-22'!K184</f>
        <v>1076689</v>
      </c>
      <c r="G13" s="1743">
        <f>'Expenditures 15-22'!K279</f>
        <v>259294</v>
      </c>
      <c r="H13" s="1743">
        <f>'Expenditures 15-22'!K303</f>
        <v>0</v>
      </c>
      <c r="I13" s="468" t="s">
        <v>1169</v>
      </c>
      <c r="J13" s="1743">
        <f>'Expenditures 15-22'!K330</f>
        <v>773832</v>
      </c>
      <c r="K13" s="1747">
        <f>'Expenditures 15-22'!K352</f>
        <v>0</v>
      </c>
      <c r="L13" s="347"/>
    </row>
    <row r="14" spans="1:13" ht="15.75" customHeight="1" x14ac:dyDescent="0.2">
      <c r="A14" s="1576" t="s">
        <v>449</v>
      </c>
      <c r="B14" s="1578">
        <v>3000</v>
      </c>
      <c r="C14" s="1743">
        <f>'Expenditures 15-22'!K75</f>
        <v>353937</v>
      </c>
      <c r="D14" s="1743">
        <f>'Expenditures 15-22'!K130</f>
        <v>0</v>
      </c>
      <c r="E14" s="520" t="s">
        <v>1169</v>
      </c>
      <c r="F14" s="1743">
        <f>'Expenditures 15-22'!K185</f>
        <v>0</v>
      </c>
      <c r="G14" s="1743">
        <f>'Expenditures 15-22'!K280</f>
        <v>19057</v>
      </c>
      <c r="H14" s="512"/>
      <c r="I14" s="468" t="s">
        <v>1169</v>
      </c>
      <c r="J14" s="468" t="s">
        <v>1169</v>
      </c>
      <c r="K14" s="512" t="s">
        <v>1169</v>
      </c>
      <c r="L14" s="347"/>
    </row>
    <row r="15" spans="1:13" ht="15.75" customHeight="1" x14ac:dyDescent="0.2">
      <c r="A15" s="1576" t="s">
        <v>107</v>
      </c>
      <c r="B15" s="1578">
        <v>4000</v>
      </c>
      <c r="C15" s="1743">
        <f>'Expenditures 15-22'!K102</f>
        <v>650740</v>
      </c>
      <c r="D15" s="1743">
        <f>'Expenditures 15-22'!K139</f>
        <v>9315</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998381</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11041613</v>
      </c>
      <c r="D17" s="1688">
        <f t="shared" si="2"/>
        <v>1388350</v>
      </c>
      <c r="E17" s="1688">
        <f t="shared" si="2"/>
        <v>998381</v>
      </c>
      <c r="F17" s="1688">
        <f t="shared" si="2"/>
        <v>1076689</v>
      </c>
      <c r="G17" s="1688">
        <f t="shared" si="2"/>
        <v>427942</v>
      </c>
      <c r="H17" s="1688">
        <f t="shared" si="2"/>
        <v>0</v>
      </c>
      <c r="I17" s="468"/>
      <c r="J17" s="1688">
        <f>SUM(J12:J16)</f>
        <v>773832</v>
      </c>
      <c r="K17" s="1688">
        <f>SUM(K12:K16)</f>
        <v>0</v>
      </c>
      <c r="L17" s="347"/>
    </row>
    <row r="18" spans="1:12" ht="15" customHeight="1" thickTop="1" x14ac:dyDescent="0.2">
      <c r="A18" s="1744" t="s">
        <v>1654</v>
      </c>
      <c r="B18" s="1745">
        <v>4180</v>
      </c>
      <c r="C18" s="1742">
        <f t="shared" ref="C18:H18" si="3">C9</f>
        <v>5355259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16396872</v>
      </c>
      <c r="D19" s="1688">
        <f t="shared" si="4"/>
        <v>1388350</v>
      </c>
      <c r="E19" s="1688">
        <f t="shared" si="4"/>
        <v>998381</v>
      </c>
      <c r="F19" s="1688">
        <f t="shared" si="4"/>
        <v>1076689</v>
      </c>
      <c r="G19" s="1688">
        <f t="shared" si="4"/>
        <v>427942</v>
      </c>
      <c r="H19" s="1688">
        <f t="shared" si="4"/>
        <v>0</v>
      </c>
      <c r="I19" s="468"/>
      <c r="J19" s="1688">
        <f>SUM(J17:J18)</f>
        <v>773832</v>
      </c>
      <c r="K19" s="1688">
        <f>SUM(K17:K18)</f>
        <v>0</v>
      </c>
      <c r="L19" s="347"/>
    </row>
    <row r="20" spans="1:12" ht="16.5" thickTop="1" thickBot="1" x14ac:dyDescent="0.25">
      <c r="A20" s="2125" t="s">
        <v>1655</v>
      </c>
      <c r="B20" s="2126"/>
      <c r="C20" s="1746">
        <f>C8-C17</f>
        <v>-1465980</v>
      </c>
      <c r="D20" s="1746">
        <f t="shared" ref="D20:K20" si="5">D8-D17</f>
        <v>-80313</v>
      </c>
      <c r="E20" s="1746">
        <f t="shared" si="5"/>
        <v>-101012</v>
      </c>
      <c r="F20" s="1746">
        <f t="shared" si="5"/>
        <v>-65541</v>
      </c>
      <c r="G20" s="1746">
        <f t="shared" si="5"/>
        <v>-155504</v>
      </c>
      <c r="H20" s="1746">
        <f t="shared" si="5"/>
        <v>1378</v>
      </c>
      <c r="I20" s="1746">
        <f t="shared" si="5"/>
        <v>46746</v>
      </c>
      <c r="J20" s="1746">
        <f t="shared" si="5"/>
        <v>-58365</v>
      </c>
      <c r="K20" s="1746">
        <f t="shared" si="5"/>
        <v>120226</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v>3082</v>
      </c>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4170000</v>
      </c>
      <c r="J33" s="467"/>
      <c r="K33" s="467"/>
      <c r="L33" s="524"/>
    </row>
    <row r="34" spans="1:12" s="485" customFormat="1" x14ac:dyDescent="0.2">
      <c r="A34" s="1489" t="s">
        <v>1001</v>
      </c>
      <c r="B34" s="525">
        <v>7220</v>
      </c>
      <c r="C34" s="467"/>
      <c r="D34" s="467"/>
      <c r="E34" s="467"/>
      <c r="F34" s="467"/>
      <c r="G34" s="477"/>
      <c r="H34" s="478"/>
      <c r="I34" s="478">
        <v>511390</v>
      </c>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3082</v>
      </c>
      <c r="I44" s="1703">
        <f t="shared" si="6"/>
        <v>4681390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v>3082</v>
      </c>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1371342</v>
      </c>
      <c r="J75" s="530"/>
      <c r="K75" s="532"/>
      <c r="L75" s="524"/>
    </row>
    <row r="76" spans="1:12" s="485" customFormat="1" ht="14.25" thickTop="1" thickBot="1" x14ac:dyDescent="0.25">
      <c r="A76" s="2115" t="s">
        <v>440</v>
      </c>
      <c r="B76" s="2116"/>
      <c r="C76" s="1703">
        <f t="shared" ref="C76:K76" si="7">SUM(C47:C75)</f>
        <v>0</v>
      </c>
      <c r="D76" s="1703">
        <f t="shared" si="7"/>
        <v>3082</v>
      </c>
      <c r="E76" s="1703">
        <f t="shared" si="7"/>
        <v>0</v>
      </c>
      <c r="F76" s="1703">
        <f t="shared" si="7"/>
        <v>0</v>
      </c>
      <c r="G76" s="1703">
        <f t="shared" si="7"/>
        <v>0</v>
      </c>
      <c r="H76" s="1703">
        <f t="shared" si="7"/>
        <v>0</v>
      </c>
      <c r="I76" s="1703">
        <f t="shared" si="7"/>
        <v>1371342</v>
      </c>
      <c r="J76" s="1703">
        <f t="shared" si="7"/>
        <v>0</v>
      </c>
      <c r="K76" s="1703">
        <f t="shared" si="7"/>
        <v>0</v>
      </c>
      <c r="L76" s="524"/>
    </row>
    <row r="77" spans="1:12" ht="14.25" thickTop="1" thickBot="1" x14ac:dyDescent="0.25">
      <c r="A77" s="2117" t="s">
        <v>1177</v>
      </c>
      <c r="B77" s="2118"/>
      <c r="C77" s="1703">
        <f t="shared" ref="C77:K77" si="8">C44-C76</f>
        <v>0</v>
      </c>
      <c r="D77" s="1703">
        <f t="shared" si="8"/>
        <v>-3082</v>
      </c>
      <c r="E77" s="1703">
        <f t="shared" si="8"/>
        <v>0</v>
      </c>
      <c r="F77" s="1703">
        <f t="shared" si="8"/>
        <v>0</v>
      </c>
      <c r="G77" s="1703">
        <f t="shared" si="8"/>
        <v>0</v>
      </c>
      <c r="H77" s="1703">
        <f t="shared" si="8"/>
        <v>3082</v>
      </c>
      <c r="I77" s="1703">
        <f t="shared" si="8"/>
        <v>3310048</v>
      </c>
      <c r="J77" s="1703">
        <f t="shared" si="8"/>
        <v>0</v>
      </c>
      <c r="K77" s="1703">
        <f t="shared" si="8"/>
        <v>0</v>
      </c>
      <c r="L77" s="347"/>
    </row>
    <row r="78" spans="1:12" ht="21.75" customHeight="1" thickTop="1" thickBot="1" x14ac:dyDescent="0.25">
      <c r="A78" s="2121" t="s">
        <v>597</v>
      </c>
      <c r="B78" s="2122"/>
      <c r="C78" s="1702">
        <f t="shared" ref="C78:K78" si="9">C20+C77</f>
        <v>-1465980</v>
      </c>
      <c r="D78" s="1702">
        <f t="shared" si="9"/>
        <v>-83395</v>
      </c>
      <c r="E78" s="1702">
        <f t="shared" si="9"/>
        <v>-101012</v>
      </c>
      <c r="F78" s="1702">
        <f t="shared" si="9"/>
        <v>-65541</v>
      </c>
      <c r="G78" s="1702">
        <f t="shared" si="9"/>
        <v>-155504</v>
      </c>
      <c r="H78" s="1702">
        <f t="shared" si="9"/>
        <v>4460</v>
      </c>
      <c r="I78" s="1702">
        <f t="shared" si="9"/>
        <v>3356794</v>
      </c>
      <c r="J78" s="1702">
        <f t="shared" si="9"/>
        <v>-58365</v>
      </c>
      <c r="K78" s="1702">
        <f t="shared" si="9"/>
        <v>120226</v>
      </c>
      <c r="L78" s="533"/>
    </row>
    <row r="79" spans="1:12" ht="13.5" thickTop="1" x14ac:dyDescent="0.2">
      <c r="A79" s="1494" t="s">
        <v>1949</v>
      </c>
      <c r="B79" s="534"/>
      <c r="C79" s="478">
        <v>6316098</v>
      </c>
      <c r="D79" s="535">
        <v>1923674</v>
      </c>
      <c r="E79" s="535">
        <v>-7251</v>
      </c>
      <c r="F79" s="535">
        <v>2282351</v>
      </c>
      <c r="G79" s="535">
        <v>593187</v>
      </c>
      <c r="H79" s="535">
        <v>-4460</v>
      </c>
      <c r="I79" s="535">
        <v>942951</v>
      </c>
      <c r="J79" s="535">
        <v>277814</v>
      </c>
      <c r="K79" s="535">
        <v>316590</v>
      </c>
      <c r="L79" s="347"/>
    </row>
    <row r="80" spans="1:12" x14ac:dyDescent="0.2">
      <c r="A80" s="2127" t="s">
        <v>1795</v>
      </c>
      <c r="B80" s="2128"/>
      <c r="C80" s="467">
        <v>-150954</v>
      </c>
      <c r="D80" s="467">
        <v>-5342</v>
      </c>
      <c r="E80" s="467">
        <v>511</v>
      </c>
      <c r="F80" s="467">
        <v>-1180</v>
      </c>
      <c r="G80" s="467">
        <v>-2421</v>
      </c>
      <c r="H80" s="467"/>
      <c r="I80" s="467"/>
      <c r="J80" s="467"/>
      <c r="K80" s="467">
        <v>7668</v>
      </c>
      <c r="L80" s="347"/>
    </row>
    <row r="81" spans="1:12" ht="13.5" thickBot="1" x14ac:dyDescent="0.25">
      <c r="A81" s="2119" t="s">
        <v>1950</v>
      </c>
      <c r="B81" s="2120"/>
      <c r="C81" s="1688">
        <f>(SUM(C78:C80))</f>
        <v>4699164</v>
      </c>
      <c r="D81" s="1688">
        <f>SUM(D78:D80)</f>
        <v>1834937</v>
      </c>
      <c r="E81" s="1688">
        <f t="shared" ref="E81:K81" si="10">SUM(E78:E80)</f>
        <v>-107752</v>
      </c>
      <c r="F81" s="1688">
        <f t="shared" si="10"/>
        <v>2215630</v>
      </c>
      <c r="G81" s="1688">
        <f t="shared" si="10"/>
        <v>435262</v>
      </c>
      <c r="H81" s="1688">
        <f t="shared" si="10"/>
        <v>0</v>
      </c>
      <c r="I81" s="1688">
        <f t="shared" si="10"/>
        <v>4299745</v>
      </c>
      <c r="J81" s="1688">
        <f t="shared" si="10"/>
        <v>219449</v>
      </c>
      <c r="K81" s="1688">
        <f t="shared" si="10"/>
        <v>444484</v>
      </c>
      <c r="L81" s="347"/>
    </row>
    <row r="82" spans="1:12" ht="0.75" customHeight="1" thickTop="1" thickBot="1" x14ac:dyDescent="0.25">
      <c r="A82" s="536" t="s">
        <v>343</v>
      </c>
      <c r="B82" s="537"/>
      <c r="C82" s="538">
        <f>(C81-C79)</f>
        <v>-1616934</v>
      </c>
      <c r="D82" s="538">
        <f t="shared" ref="D82:K82" si="11">(D81-D79)</f>
        <v>-88737</v>
      </c>
      <c r="E82" s="538">
        <f t="shared" si="11"/>
        <v>-100501</v>
      </c>
      <c r="F82" s="538">
        <f t="shared" si="11"/>
        <v>-66721</v>
      </c>
      <c r="G82" s="538">
        <f t="shared" si="11"/>
        <v>-157925</v>
      </c>
      <c r="H82" s="538">
        <f t="shared" si="11"/>
        <v>4460</v>
      </c>
      <c r="I82" s="538">
        <f t="shared" si="11"/>
        <v>3356794</v>
      </c>
      <c r="J82" s="538">
        <f t="shared" si="11"/>
        <v>-58365</v>
      </c>
      <c r="K82" s="538">
        <f t="shared" si="11"/>
        <v>127894</v>
      </c>
    </row>
    <row r="83" spans="1:12" ht="14.25" hidden="1" thickTop="1" thickBot="1" x14ac:dyDescent="0.25">
      <c r="A83" s="539" t="s">
        <v>344</v>
      </c>
      <c r="B83" s="464"/>
      <c r="C83" s="540">
        <f>C82/C81</f>
        <v>-0.34408971468116456</v>
      </c>
      <c r="D83" s="540">
        <f t="shared" ref="D83:K83" si="12">D82/D81</f>
        <v>-4.8359698452862414E-2</v>
      </c>
      <c r="E83" s="540">
        <f t="shared" si="12"/>
        <v>0.93270658549261265</v>
      </c>
      <c r="F83" s="540">
        <f t="shared" si="12"/>
        <v>-3.0113782535892725E-2</v>
      </c>
      <c r="G83" s="540">
        <f t="shared" si="12"/>
        <v>-0.3628274464575359</v>
      </c>
      <c r="H83" s="540" t="e">
        <f t="shared" si="12"/>
        <v>#DIV/0!</v>
      </c>
      <c r="I83" s="540">
        <f t="shared" si="12"/>
        <v>0.7806960645340596</v>
      </c>
      <c r="J83" s="540">
        <f t="shared" si="12"/>
        <v>-0.26596156738012022</v>
      </c>
      <c r="K83" s="540">
        <f t="shared" si="12"/>
        <v>0.28773589150565598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10" zoomScaleNormal="110" zoomScaleSheetLayoutView="75" workbookViewId="0">
      <pane ySplit="2" topLeftCell="A54" activePane="bottomLeft" state="frozen"/>
      <selection activeCell="A18" sqref="A18"/>
      <selection pane="bottomLeft" activeCell="C69" sqref="C6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5986422</v>
      </c>
      <c r="D5" s="481">
        <v>1198905</v>
      </c>
      <c r="E5" s="466">
        <v>670869</v>
      </c>
      <c r="F5" s="548">
        <v>424352</v>
      </c>
      <c r="G5" s="466">
        <v>44017</v>
      </c>
      <c r="H5" s="466"/>
      <c r="I5" s="466">
        <v>45628</v>
      </c>
      <c r="J5" s="467">
        <v>713054</v>
      </c>
      <c r="K5" s="466">
        <v>117758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83516</v>
      </c>
      <c r="D7" s="466"/>
      <c r="E7" s="468"/>
      <c r="F7" s="467"/>
      <c r="G7" s="467"/>
      <c r="H7" s="467"/>
      <c r="I7" s="468"/>
      <c r="J7" s="468"/>
      <c r="K7" s="468"/>
    </row>
    <row r="8" spans="1:12" x14ac:dyDescent="0.2">
      <c r="A8" s="463" t="s">
        <v>413</v>
      </c>
      <c r="B8" s="470">
        <v>1150</v>
      </c>
      <c r="C8" s="475"/>
      <c r="D8" s="475"/>
      <c r="E8" s="477"/>
      <c r="F8" s="477"/>
      <c r="G8" s="481">
        <v>222941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6069938</v>
      </c>
      <c r="D12" s="1707">
        <f t="shared" si="0"/>
        <v>1198905</v>
      </c>
      <c r="E12" s="1707">
        <f t="shared" si="0"/>
        <v>670869</v>
      </c>
      <c r="F12" s="1707">
        <f t="shared" si="0"/>
        <v>424352</v>
      </c>
      <c r="G12" s="1707">
        <f t="shared" si="0"/>
        <v>266958</v>
      </c>
      <c r="H12" s="1707">
        <f t="shared" si="0"/>
        <v>0</v>
      </c>
      <c r="I12" s="1707">
        <f t="shared" si="0"/>
        <v>45628</v>
      </c>
      <c r="J12" s="1707">
        <f t="shared" si="0"/>
        <v>713054</v>
      </c>
      <c r="K12" s="1688">
        <f t="shared" si="0"/>
        <v>117758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80749</v>
      </c>
      <c r="D16" s="466"/>
      <c r="E16" s="466"/>
      <c r="F16" s="466"/>
      <c r="G16" s="466">
        <v>2200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80749</v>
      </c>
      <c r="D18" s="1710">
        <f t="shared" ref="D18:K18" si="1">SUM(D14:D17)</f>
        <v>0</v>
      </c>
      <c r="E18" s="1710">
        <f t="shared" si="1"/>
        <v>0</v>
      </c>
      <c r="F18" s="1710">
        <f t="shared" si="1"/>
        <v>0</v>
      </c>
      <c r="G18" s="1710">
        <f t="shared" si="1"/>
        <v>2200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45000</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45000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133283</v>
      </c>
      <c r="D65" s="466">
        <v>3141</v>
      </c>
      <c r="E65" s="466">
        <v>414</v>
      </c>
      <c r="F65" s="467">
        <v>3278</v>
      </c>
      <c r="G65" s="466">
        <v>4007</v>
      </c>
      <c r="H65" s="466"/>
      <c r="I65" s="466">
        <v>1118</v>
      </c>
      <c r="J65" s="467">
        <v>2413</v>
      </c>
      <c r="K65" s="466">
        <v>608</v>
      </c>
    </row>
    <row r="66" spans="1:11" ht="12.75" customHeight="1" x14ac:dyDescent="0.2">
      <c r="A66" s="463" t="s">
        <v>679</v>
      </c>
      <c r="B66" s="470">
        <v>1520</v>
      </c>
      <c r="C66" s="466">
        <v>-33212</v>
      </c>
      <c r="D66" s="466">
        <v>-412</v>
      </c>
      <c r="E66" s="466">
        <v>404</v>
      </c>
      <c r="F66" s="466">
        <v>-353</v>
      </c>
      <c r="G66" s="466">
        <v>-727</v>
      </c>
      <c r="H66" s="466"/>
      <c r="I66" s="466"/>
      <c r="J66" s="467"/>
      <c r="K66" s="466">
        <v>1860</v>
      </c>
    </row>
    <row r="67" spans="1:11" ht="12.75" customHeight="1" thickBot="1" x14ac:dyDescent="0.25">
      <c r="A67" s="1708" t="s">
        <v>486</v>
      </c>
      <c r="B67" s="1709"/>
      <c r="C67" s="1688">
        <f>SUM(C65:C66)</f>
        <v>100071</v>
      </c>
      <c r="D67" s="1688">
        <f t="shared" ref="D67:K67" si="2">SUM(D65:D66)</f>
        <v>2729</v>
      </c>
      <c r="E67" s="1688">
        <f t="shared" si="2"/>
        <v>818</v>
      </c>
      <c r="F67" s="1688">
        <f t="shared" si="2"/>
        <v>2925</v>
      </c>
      <c r="G67" s="1688">
        <f t="shared" si="2"/>
        <v>3280</v>
      </c>
      <c r="H67" s="1688">
        <f t="shared" si="2"/>
        <v>0</v>
      </c>
      <c r="I67" s="1688">
        <f t="shared" si="2"/>
        <v>1118</v>
      </c>
      <c r="J67" s="1688">
        <f t="shared" si="2"/>
        <v>2413</v>
      </c>
      <c r="K67" s="1688">
        <f t="shared" si="2"/>
        <v>2468</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379007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10687</v>
      </c>
      <c r="D73" s="468"/>
      <c r="E73" s="468"/>
      <c r="F73" s="468"/>
      <c r="G73" s="468"/>
      <c r="H73" s="468"/>
      <c r="I73" s="468"/>
      <c r="J73" s="468"/>
      <c r="K73" s="468"/>
    </row>
    <row r="74" spans="1:11" ht="12.75" customHeight="1" x14ac:dyDescent="0.2">
      <c r="A74" s="463" t="s">
        <v>25</v>
      </c>
      <c r="B74" s="470">
        <v>1690</v>
      </c>
      <c r="C74" s="551">
        <v>4791</v>
      </c>
      <c r="D74" s="468"/>
      <c r="E74" s="468"/>
      <c r="F74" s="468"/>
      <c r="G74" s="468"/>
      <c r="H74" s="468"/>
      <c r="I74" s="468"/>
      <c r="J74" s="468"/>
      <c r="K74" s="468"/>
    </row>
    <row r="75" spans="1:11" ht="12.75" customHeight="1" thickBot="1" x14ac:dyDescent="0.25">
      <c r="A75" s="1708" t="s">
        <v>548</v>
      </c>
      <c r="B75" s="1709"/>
      <c r="C75" s="1688">
        <f>SUM(C69:C74)</f>
        <v>394485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32667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47426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80093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96617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6018</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102635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76853</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1750</v>
      </c>
      <c r="D98" s="466"/>
      <c r="E98" s="512"/>
      <c r="F98" s="466"/>
      <c r="G98" s="512"/>
      <c r="H98" s="512"/>
      <c r="I98" s="510"/>
      <c r="J98" s="512"/>
      <c r="K98" s="512"/>
    </row>
    <row r="99" spans="1:12" ht="12.75" customHeight="1" x14ac:dyDescent="0.2">
      <c r="A99" s="463" t="s">
        <v>821</v>
      </c>
      <c r="B99" s="470">
        <v>1950</v>
      </c>
      <c r="C99" s="489">
        <v>146372</v>
      </c>
      <c r="D99" s="466">
        <v>14856</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v>4376</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1378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242231</v>
      </c>
      <c r="D106" s="489"/>
      <c r="E106" s="467"/>
      <c r="F106" s="467"/>
      <c r="G106" s="467"/>
      <c r="H106" s="467"/>
      <c r="I106" s="521"/>
      <c r="J106" s="467"/>
      <c r="K106" s="467"/>
    </row>
    <row r="107" spans="1:12" ht="12.75" customHeight="1" x14ac:dyDescent="0.2">
      <c r="A107" s="463" t="s">
        <v>78</v>
      </c>
      <c r="B107" s="470">
        <v>1999</v>
      </c>
      <c r="C107" s="551">
        <v>3362</v>
      </c>
      <c r="D107" s="466">
        <v>14694</v>
      </c>
      <c r="E107" s="466"/>
      <c r="F107" s="466">
        <v>63757</v>
      </c>
      <c r="G107" s="466"/>
      <c r="H107" s="466"/>
      <c r="I107" s="466"/>
      <c r="J107" s="467"/>
      <c r="K107" s="466"/>
    </row>
    <row r="108" spans="1:12" ht="12.75" customHeight="1" thickBot="1" x14ac:dyDescent="0.25">
      <c r="A108" s="1708" t="s">
        <v>487</v>
      </c>
      <c r="B108" s="1712"/>
      <c r="C108" s="1707">
        <f>SUM(C95:C107)</f>
        <v>398091</v>
      </c>
      <c r="D108" s="1707">
        <f t="shared" ref="D108:K108" si="3">SUM(D95:D107)</f>
        <v>106403</v>
      </c>
      <c r="E108" s="1707">
        <f t="shared" si="3"/>
        <v>0</v>
      </c>
      <c r="F108" s="1707">
        <f t="shared" si="3"/>
        <v>63757</v>
      </c>
      <c r="G108" s="1707">
        <f t="shared" si="3"/>
        <v>0</v>
      </c>
      <c r="H108" s="1707">
        <f t="shared" si="3"/>
        <v>1378</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7226062</v>
      </c>
      <c r="D109" s="1715">
        <f t="shared" si="4"/>
        <v>1308037</v>
      </c>
      <c r="E109" s="1715">
        <f t="shared" si="4"/>
        <v>671687</v>
      </c>
      <c r="F109" s="1715">
        <f t="shared" si="4"/>
        <v>536034</v>
      </c>
      <c r="G109" s="1715">
        <f t="shared" si="4"/>
        <v>272438</v>
      </c>
      <c r="H109" s="1715">
        <f t="shared" si="4"/>
        <v>1378</v>
      </c>
      <c r="I109" s="1715">
        <f t="shared" si="4"/>
        <v>46746</v>
      </c>
      <c r="J109" s="1715">
        <f t="shared" si="4"/>
        <v>715467</v>
      </c>
      <c r="K109" s="1702">
        <f t="shared" si="4"/>
        <v>120226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28053</v>
      </c>
      <c r="D111" s="481"/>
      <c r="E111" s="561"/>
      <c r="F111" s="481"/>
      <c r="G111" s="481"/>
      <c r="H111" s="561"/>
      <c r="I111" s="468"/>
      <c r="J111" s="468"/>
      <c r="K111" s="468"/>
    </row>
    <row r="112" spans="1:12" ht="12.75" customHeight="1" x14ac:dyDescent="0.2">
      <c r="A112" s="463" t="s">
        <v>824</v>
      </c>
      <c r="B112" s="470">
        <v>2200</v>
      </c>
      <c r="C112" s="551">
        <v>152997</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181050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1471054</v>
      </c>
      <c r="D117" s="481"/>
      <c r="E117" s="466">
        <v>225682</v>
      </c>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1471054</v>
      </c>
      <c r="D122" s="1707">
        <f t="shared" si="5"/>
        <v>0</v>
      </c>
      <c r="E122" s="1707">
        <f t="shared" si="5"/>
        <v>225682</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v>10080</v>
      </c>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3722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13802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47188</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47188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1262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25458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409351</v>
      </c>
      <c r="G152" s="467"/>
      <c r="H152" s="468"/>
      <c r="I152" s="468"/>
      <c r="J152" s="468"/>
      <c r="K152" s="468"/>
    </row>
    <row r="153" spans="1:11" ht="12.75" customHeight="1" x14ac:dyDescent="0.2">
      <c r="A153" s="463" t="s">
        <v>1057</v>
      </c>
      <c r="B153" s="562">
        <v>3510</v>
      </c>
      <c r="C153" s="551"/>
      <c r="D153" s="466"/>
      <c r="E153" s="561"/>
      <c r="F153" s="466">
        <v>65763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475114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142636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7051</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237397</v>
      </c>
      <c r="D169" s="1722">
        <f t="shared" si="6"/>
        <v>0</v>
      </c>
      <c r="E169" s="1722">
        <f t="shared" si="6"/>
        <v>0</v>
      </c>
      <c r="F169" s="1722">
        <f t="shared" si="6"/>
        <v>475114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1708451</v>
      </c>
      <c r="D170" s="1715">
        <f t="shared" si="7"/>
        <v>0</v>
      </c>
      <c r="E170" s="1715">
        <f t="shared" si="7"/>
        <v>225682</v>
      </c>
      <c r="F170" s="1715">
        <f t="shared" si="7"/>
        <v>475114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74781</v>
      </c>
      <c r="D191" s="468"/>
      <c r="E191" s="561"/>
      <c r="F191" s="468"/>
      <c r="G191" s="585"/>
      <c r="H191" s="468"/>
      <c r="I191" s="468"/>
      <c r="J191" s="468"/>
      <c r="K191" s="468"/>
    </row>
    <row r="192" spans="1:11" ht="12.75" customHeight="1" x14ac:dyDescent="0.2">
      <c r="A192" s="463" t="s">
        <v>1047</v>
      </c>
      <c r="B192" s="470">
        <v>4215</v>
      </c>
      <c r="C192" s="551">
        <v>2988</v>
      </c>
      <c r="D192" s="468"/>
      <c r="E192" s="561"/>
      <c r="F192" s="468"/>
      <c r="G192" s="585"/>
      <c r="H192" s="468"/>
      <c r="I192" s="468"/>
      <c r="J192" s="468"/>
      <c r="K192" s="468"/>
    </row>
    <row r="193" spans="1:11" ht="12.75" customHeight="1" x14ac:dyDescent="0.2">
      <c r="A193" s="463" t="s">
        <v>1059</v>
      </c>
      <c r="B193" s="470">
        <v>4220</v>
      </c>
      <c r="C193" s="551">
        <v>9533</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87302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223982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223982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10135</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10135</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63593</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63593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39053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7305</v>
      </c>
      <c r="D263" s="576"/>
      <c r="E263" s="468"/>
      <c r="F263" s="576"/>
      <c r="G263" s="576"/>
      <c r="H263" s="468"/>
      <c r="I263" s="468"/>
      <c r="J263" s="468"/>
      <c r="K263" s="468"/>
    </row>
    <row r="264" spans="1:11" ht="12.75" customHeight="1" thickTop="1" thickBot="1" x14ac:dyDescent="0.25">
      <c r="A264" s="463" t="s">
        <v>377</v>
      </c>
      <c r="B264" s="470">
        <v>4992</v>
      </c>
      <c r="C264" s="575">
        <v>28700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460070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460070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9575633</v>
      </c>
      <c r="D268" s="1715">
        <f t="shared" si="12"/>
        <v>1308037</v>
      </c>
      <c r="E268" s="1715">
        <f t="shared" si="12"/>
        <v>897369</v>
      </c>
      <c r="F268" s="1715">
        <f t="shared" si="12"/>
        <v>1011148</v>
      </c>
      <c r="G268" s="1715">
        <f t="shared" si="12"/>
        <v>272438</v>
      </c>
      <c r="H268" s="1715">
        <f t="shared" si="12"/>
        <v>1378</v>
      </c>
      <c r="I268" s="1715">
        <f t="shared" si="12"/>
        <v>46746</v>
      </c>
      <c r="J268" s="1715">
        <f t="shared" si="12"/>
        <v>715467</v>
      </c>
      <c r="K268" s="1702">
        <f t="shared" si="12"/>
        <v>120226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7" activePane="bottomLeft" state="frozen"/>
      <selection activeCell="A18" sqref="A18"/>
      <selection pane="bottomLeft" activeCell="A18" sqref="A1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4614076</v>
      </c>
      <c r="D5" s="466">
        <v>1017117</v>
      </c>
      <c r="E5" s="466">
        <v>8807</v>
      </c>
      <c r="F5" s="466">
        <v>237763</v>
      </c>
      <c r="G5" s="466"/>
      <c r="H5" s="466">
        <v>10773</v>
      </c>
      <c r="I5" s="467"/>
      <c r="J5" s="467">
        <v>8380</v>
      </c>
      <c r="K5" s="1671">
        <f>SUM(C5:J5)</f>
        <v>5896916</v>
      </c>
      <c r="L5" s="466">
        <v>6189121</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36397</v>
      </c>
      <c r="D7" s="467">
        <v>8941</v>
      </c>
      <c r="E7" s="467"/>
      <c r="F7" s="467">
        <v>1727</v>
      </c>
      <c r="G7" s="467"/>
      <c r="H7" s="467"/>
      <c r="I7" s="467"/>
      <c r="J7" s="467"/>
      <c r="K7" s="1671">
        <f t="shared" ref="K7:K32" si="0">SUM(C7:J7)</f>
        <v>47065</v>
      </c>
      <c r="L7" s="466">
        <v>73002</v>
      </c>
    </row>
    <row r="8" spans="1:14" x14ac:dyDescent="0.2">
      <c r="A8" s="1504" t="s">
        <v>164</v>
      </c>
      <c r="B8" s="614">
        <v>1200</v>
      </c>
      <c r="C8" s="466">
        <v>534411</v>
      </c>
      <c r="D8" s="466">
        <v>112962</v>
      </c>
      <c r="E8" s="466">
        <v>11140</v>
      </c>
      <c r="F8" s="466">
        <v>4476</v>
      </c>
      <c r="G8" s="466">
        <v>2587</v>
      </c>
      <c r="H8" s="466">
        <v>101</v>
      </c>
      <c r="I8" s="467"/>
      <c r="J8" s="467"/>
      <c r="K8" s="1671">
        <f t="shared" si="0"/>
        <v>665677</v>
      </c>
      <c r="L8" s="466">
        <v>613257</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54099</v>
      </c>
      <c r="D10" s="466">
        <v>15212</v>
      </c>
      <c r="E10" s="466"/>
      <c r="F10" s="466"/>
      <c r="G10" s="466"/>
      <c r="H10" s="466"/>
      <c r="I10" s="467"/>
      <c r="J10" s="467"/>
      <c r="K10" s="1671">
        <f t="shared" si="0"/>
        <v>69311</v>
      </c>
      <c r="L10" s="466">
        <v>68531</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292074</v>
      </c>
      <c r="D13" s="466">
        <v>64957</v>
      </c>
      <c r="E13" s="466">
        <v>435</v>
      </c>
      <c r="F13" s="466">
        <v>12430</v>
      </c>
      <c r="G13" s="466"/>
      <c r="H13" s="466"/>
      <c r="I13" s="467"/>
      <c r="J13" s="467"/>
      <c r="K13" s="1671">
        <f t="shared" si="0"/>
        <v>369896</v>
      </c>
      <c r="L13" s="466">
        <v>351315</v>
      </c>
    </row>
    <row r="14" spans="1:14" x14ac:dyDescent="0.2">
      <c r="A14" s="1504" t="s">
        <v>963</v>
      </c>
      <c r="B14" s="614">
        <v>1500</v>
      </c>
      <c r="C14" s="466">
        <v>277936</v>
      </c>
      <c r="D14" s="466">
        <v>34290</v>
      </c>
      <c r="E14" s="466">
        <v>35885</v>
      </c>
      <c r="F14" s="466">
        <v>11022</v>
      </c>
      <c r="G14" s="466"/>
      <c r="H14" s="466">
        <v>11181</v>
      </c>
      <c r="I14" s="467"/>
      <c r="J14" s="467"/>
      <c r="K14" s="1671">
        <f t="shared" si="0"/>
        <v>370314</v>
      </c>
      <c r="L14" s="466">
        <v>409775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v>75743</v>
      </c>
      <c r="D16" s="466">
        <v>13791</v>
      </c>
      <c r="E16" s="466"/>
      <c r="F16" s="466">
        <v>106</v>
      </c>
      <c r="G16" s="466"/>
      <c r="H16" s="466"/>
      <c r="I16" s="467"/>
      <c r="J16" s="467"/>
      <c r="K16" s="1671">
        <f t="shared" si="0"/>
        <v>89640</v>
      </c>
      <c r="L16" s="466">
        <v>92250</v>
      </c>
    </row>
    <row r="17" spans="1:12" x14ac:dyDescent="0.2">
      <c r="A17" s="1504" t="s">
        <v>724</v>
      </c>
      <c r="B17" s="614" t="s">
        <v>162</v>
      </c>
      <c r="C17" s="467">
        <v>12699</v>
      </c>
      <c r="D17" s="467">
        <v>851</v>
      </c>
      <c r="E17" s="467"/>
      <c r="F17" s="467">
        <v>307</v>
      </c>
      <c r="G17" s="467">
        <v>13975</v>
      </c>
      <c r="H17" s="467"/>
      <c r="I17" s="467"/>
      <c r="J17" s="467"/>
      <c r="K17" s="1671">
        <f t="shared" si="0"/>
        <v>27832</v>
      </c>
      <c r="L17" s="466">
        <v>27800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5897435</v>
      </c>
      <c r="D33" s="1670">
        <f t="shared" ref="D33:L33" si="1">SUM(D5:D32)</f>
        <v>1268121</v>
      </c>
      <c r="E33" s="1670">
        <f t="shared" si="1"/>
        <v>56267</v>
      </c>
      <c r="F33" s="1670">
        <f t="shared" si="1"/>
        <v>267831</v>
      </c>
      <c r="G33" s="1670">
        <f t="shared" si="1"/>
        <v>16562</v>
      </c>
      <c r="H33" s="1670">
        <f t="shared" si="1"/>
        <v>22055</v>
      </c>
      <c r="I33" s="1670">
        <f t="shared" si="1"/>
        <v>0</v>
      </c>
      <c r="J33" s="1670">
        <f t="shared" si="1"/>
        <v>8380</v>
      </c>
      <c r="K33" s="1670">
        <f t="shared" si="1"/>
        <v>7536651</v>
      </c>
      <c r="L33" s="1670">
        <f t="shared" si="1"/>
        <v>7825051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174905</v>
      </c>
      <c r="D37" s="466">
        <v>46607</v>
      </c>
      <c r="E37" s="466">
        <v>2391</v>
      </c>
      <c r="F37" s="466">
        <v>1002</v>
      </c>
      <c r="G37" s="466"/>
      <c r="H37" s="466">
        <v>837</v>
      </c>
      <c r="I37" s="467"/>
      <c r="J37" s="467"/>
      <c r="K37" s="1671">
        <f t="shared" si="2"/>
        <v>225742</v>
      </c>
      <c r="L37" s="466">
        <v>248216</v>
      </c>
    </row>
    <row r="38" spans="1:14" x14ac:dyDescent="0.2">
      <c r="A38" s="1504" t="s">
        <v>198</v>
      </c>
      <c r="B38" s="614">
        <v>2130</v>
      </c>
      <c r="C38" s="466">
        <v>65695</v>
      </c>
      <c r="D38" s="466">
        <v>13321</v>
      </c>
      <c r="E38" s="466">
        <v>997</v>
      </c>
      <c r="F38" s="466">
        <v>2222</v>
      </c>
      <c r="G38" s="466"/>
      <c r="H38" s="466">
        <v>80</v>
      </c>
      <c r="I38" s="467"/>
      <c r="J38" s="467"/>
      <c r="K38" s="1671">
        <f t="shared" si="2"/>
        <v>82315</v>
      </c>
      <c r="L38" s="466">
        <v>87000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240600</v>
      </c>
      <c r="D42" s="1670">
        <f t="shared" ref="D42:L42" si="3">SUM(D36:D41)</f>
        <v>59928</v>
      </c>
      <c r="E42" s="1670">
        <f t="shared" si="3"/>
        <v>3388</v>
      </c>
      <c r="F42" s="1670">
        <f t="shared" si="3"/>
        <v>3224</v>
      </c>
      <c r="G42" s="1670">
        <f t="shared" si="3"/>
        <v>0</v>
      </c>
      <c r="H42" s="1670">
        <f t="shared" si="3"/>
        <v>917</v>
      </c>
      <c r="I42" s="1670">
        <f t="shared" si="3"/>
        <v>0</v>
      </c>
      <c r="J42" s="1670">
        <f t="shared" si="3"/>
        <v>0</v>
      </c>
      <c r="K42" s="1670">
        <f t="shared" si="3"/>
        <v>308057</v>
      </c>
      <c r="L42" s="1670">
        <f t="shared" si="3"/>
        <v>335216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v>144392</v>
      </c>
      <c r="D45" s="466">
        <v>30817</v>
      </c>
      <c r="E45" s="466"/>
      <c r="F45" s="466">
        <v>11869</v>
      </c>
      <c r="G45" s="466"/>
      <c r="H45" s="466">
        <v>351</v>
      </c>
      <c r="I45" s="467"/>
      <c r="J45" s="467"/>
      <c r="K45" s="1672">
        <f>SUM(C45:J45)</f>
        <v>187429</v>
      </c>
      <c r="L45" s="466">
        <v>194025</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144392</v>
      </c>
      <c r="D47" s="1670">
        <f t="shared" ref="D47:K47" si="4">SUM(D44:D46)</f>
        <v>30817</v>
      </c>
      <c r="E47" s="1670">
        <f t="shared" si="4"/>
        <v>0</v>
      </c>
      <c r="F47" s="1670">
        <f t="shared" si="4"/>
        <v>11869</v>
      </c>
      <c r="G47" s="1670">
        <f t="shared" si="4"/>
        <v>0</v>
      </c>
      <c r="H47" s="1670">
        <f t="shared" si="4"/>
        <v>351</v>
      </c>
      <c r="I47" s="1670">
        <f t="shared" si="4"/>
        <v>0</v>
      </c>
      <c r="J47" s="1670">
        <f t="shared" si="4"/>
        <v>0</v>
      </c>
      <c r="K47" s="1670">
        <f t="shared" si="4"/>
        <v>187429</v>
      </c>
      <c r="L47" s="1670">
        <f>SUM(L44:L46)</f>
        <v>194025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2400</v>
      </c>
      <c r="D49" s="481">
        <v>25860</v>
      </c>
      <c r="E49" s="481"/>
      <c r="F49" s="481">
        <v>246</v>
      </c>
      <c r="G49" s="481"/>
      <c r="H49" s="481">
        <v>5537</v>
      </c>
      <c r="I49" s="467"/>
      <c r="J49" s="467"/>
      <c r="K49" s="1672">
        <f>SUM(C49:J49)</f>
        <v>34043</v>
      </c>
      <c r="L49" s="481">
        <v>36600</v>
      </c>
    </row>
    <row r="50" spans="1:14" x14ac:dyDescent="0.2">
      <c r="A50" s="1504" t="s">
        <v>818</v>
      </c>
      <c r="B50" s="614">
        <v>2320</v>
      </c>
      <c r="C50" s="466">
        <v>166272</v>
      </c>
      <c r="D50" s="466">
        <v>46573</v>
      </c>
      <c r="E50" s="466">
        <v>1364</v>
      </c>
      <c r="F50" s="466">
        <v>945</v>
      </c>
      <c r="G50" s="466"/>
      <c r="H50" s="466">
        <v>1467</v>
      </c>
      <c r="I50" s="467"/>
      <c r="J50" s="467"/>
      <c r="K50" s="1672">
        <f>SUM(C50:J50)</f>
        <v>216621</v>
      </c>
      <c r="L50" s="466">
        <v>216862</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168672</v>
      </c>
      <c r="D53" s="1670">
        <f t="shared" ref="D53:L53" si="5">SUM(D49:D52)</f>
        <v>72433</v>
      </c>
      <c r="E53" s="1670">
        <f t="shared" si="5"/>
        <v>1364</v>
      </c>
      <c r="F53" s="1670">
        <f t="shared" si="5"/>
        <v>1191</v>
      </c>
      <c r="G53" s="1670">
        <f t="shared" si="5"/>
        <v>0</v>
      </c>
      <c r="H53" s="1670">
        <f t="shared" si="5"/>
        <v>7004</v>
      </c>
      <c r="I53" s="1670">
        <f t="shared" si="5"/>
        <v>0</v>
      </c>
      <c r="J53" s="1670">
        <f t="shared" si="5"/>
        <v>0</v>
      </c>
      <c r="K53" s="1670">
        <f t="shared" si="5"/>
        <v>250664</v>
      </c>
      <c r="L53" s="1670">
        <f t="shared" si="5"/>
        <v>253462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529656</v>
      </c>
      <c r="D55" s="481">
        <v>99796</v>
      </c>
      <c r="E55" s="481">
        <v>6022</v>
      </c>
      <c r="F55" s="481">
        <v>14287</v>
      </c>
      <c r="G55" s="481"/>
      <c r="H55" s="481">
        <v>2830</v>
      </c>
      <c r="I55" s="467"/>
      <c r="J55" s="467">
        <v>2586</v>
      </c>
      <c r="K55" s="1672">
        <f>SUM(C55:J55)</f>
        <v>655177</v>
      </c>
      <c r="L55" s="481">
        <v>742689</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529656</v>
      </c>
      <c r="D57" s="1674">
        <f t="shared" ref="D57:K57" si="6">SUM(D55:D56)</f>
        <v>99796</v>
      </c>
      <c r="E57" s="1674">
        <f t="shared" si="6"/>
        <v>6022</v>
      </c>
      <c r="F57" s="1674">
        <f t="shared" si="6"/>
        <v>14287</v>
      </c>
      <c r="G57" s="1674">
        <f t="shared" si="6"/>
        <v>0</v>
      </c>
      <c r="H57" s="1674">
        <f t="shared" si="6"/>
        <v>2830</v>
      </c>
      <c r="I57" s="1674">
        <f t="shared" si="6"/>
        <v>0</v>
      </c>
      <c r="J57" s="1674">
        <f t="shared" si="6"/>
        <v>2586</v>
      </c>
      <c r="K57" s="1674">
        <f t="shared" si="6"/>
        <v>655177</v>
      </c>
      <c r="L57" s="1670">
        <f>SUM(L55:L56)</f>
        <v>742689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31604</v>
      </c>
      <c r="D59" s="481"/>
      <c r="E59" s="481"/>
      <c r="F59" s="481">
        <v>10</v>
      </c>
      <c r="G59" s="481"/>
      <c r="H59" s="481">
        <v>1165</v>
      </c>
      <c r="I59" s="467"/>
      <c r="J59" s="467">
        <v>13647</v>
      </c>
      <c r="K59" s="1672">
        <f t="shared" ref="K59:K64" si="7">SUM(C59:J59)</f>
        <v>46426</v>
      </c>
      <c r="L59" s="481">
        <v>46826</v>
      </c>
      <c r="M59" s="609"/>
      <c r="N59" s="609"/>
    </row>
    <row r="60" spans="1:14" s="343" customFormat="1" x14ac:dyDescent="0.2">
      <c r="A60" s="1504" t="s">
        <v>463</v>
      </c>
      <c r="B60" s="614">
        <v>2520</v>
      </c>
      <c r="C60" s="466">
        <v>88982</v>
      </c>
      <c r="D60" s="466">
        <v>12833</v>
      </c>
      <c r="E60" s="466">
        <v>45568</v>
      </c>
      <c r="F60" s="466">
        <v>13150</v>
      </c>
      <c r="G60" s="466"/>
      <c r="H60" s="466">
        <v>939</v>
      </c>
      <c r="I60" s="467"/>
      <c r="J60" s="467"/>
      <c r="K60" s="1672">
        <f t="shared" si="7"/>
        <v>161472</v>
      </c>
      <c r="L60" s="466">
        <v>159660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204368</v>
      </c>
      <c r="D63" s="466">
        <v>35464</v>
      </c>
      <c r="E63" s="466">
        <v>993</v>
      </c>
      <c r="F63" s="466">
        <v>296522</v>
      </c>
      <c r="G63" s="466"/>
      <c r="H63" s="466">
        <v>4389</v>
      </c>
      <c r="I63" s="467"/>
      <c r="J63" s="467"/>
      <c r="K63" s="1672">
        <f t="shared" si="7"/>
        <v>541736</v>
      </c>
      <c r="L63" s="466">
        <v>544127</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324954</v>
      </c>
      <c r="D65" s="1670">
        <f t="shared" ref="D65:L65" si="8">SUM(D59:D64)</f>
        <v>48297</v>
      </c>
      <c r="E65" s="1670">
        <f t="shared" si="8"/>
        <v>46561</v>
      </c>
      <c r="F65" s="1670">
        <f t="shared" si="8"/>
        <v>309682</v>
      </c>
      <c r="G65" s="1670">
        <f t="shared" si="8"/>
        <v>0</v>
      </c>
      <c r="H65" s="1670">
        <f t="shared" si="8"/>
        <v>6493</v>
      </c>
      <c r="I65" s="1670">
        <f t="shared" si="8"/>
        <v>0</v>
      </c>
      <c r="J65" s="1670">
        <f t="shared" si="8"/>
        <v>13647</v>
      </c>
      <c r="K65" s="1670">
        <f t="shared" si="8"/>
        <v>749634</v>
      </c>
      <c r="L65" s="1670">
        <f t="shared" si="8"/>
        <v>750613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152008</v>
      </c>
      <c r="D71" s="466">
        <v>19956</v>
      </c>
      <c r="E71" s="466">
        <v>102495</v>
      </c>
      <c r="F71" s="466">
        <v>28918</v>
      </c>
      <c r="G71" s="466">
        <v>45947</v>
      </c>
      <c r="H71" s="466"/>
      <c r="I71" s="467"/>
      <c r="J71" s="467"/>
      <c r="K71" s="1672">
        <f>SUM(C71:J71)</f>
        <v>349324</v>
      </c>
      <c r="L71" s="466">
        <v>346564</v>
      </c>
      <c r="M71" s="609"/>
      <c r="N71" s="609"/>
    </row>
    <row r="72" spans="1:14" s="343" customFormat="1" ht="12.75" customHeight="1" thickBot="1" x14ac:dyDescent="0.25">
      <c r="A72" s="1668" t="s">
        <v>37</v>
      </c>
      <c r="B72" s="1675" t="s">
        <v>36</v>
      </c>
      <c r="C72" s="1670">
        <f>SUM(C67:C71)</f>
        <v>152008</v>
      </c>
      <c r="D72" s="1670">
        <f t="shared" ref="D72:K72" si="9">SUM(D67:D71)</f>
        <v>19956</v>
      </c>
      <c r="E72" s="1670">
        <f t="shared" si="9"/>
        <v>102495</v>
      </c>
      <c r="F72" s="1670">
        <f t="shared" si="9"/>
        <v>28918</v>
      </c>
      <c r="G72" s="1670">
        <f t="shared" si="9"/>
        <v>45947</v>
      </c>
      <c r="H72" s="1670">
        <f t="shared" si="9"/>
        <v>0</v>
      </c>
      <c r="I72" s="1670">
        <f t="shared" si="9"/>
        <v>0</v>
      </c>
      <c r="J72" s="1670">
        <f t="shared" si="9"/>
        <v>0</v>
      </c>
      <c r="K72" s="1670">
        <f t="shared" si="9"/>
        <v>349324</v>
      </c>
      <c r="L72" s="1670">
        <f>SUM(L67:L71)</f>
        <v>346564</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1560282</v>
      </c>
      <c r="D74" s="1677">
        <f t="shared" ref="D74:K74" si="10">SUM(D42,D47,D53,D57,D65,D72,D73)</f>
        <v>331227</v>
      </c>
      <c r="E74" s="1677">
        <f t="shared" si="10"/>
        <v>159830</v>
      </c>
      <c r="F74" s="1677">
        <f t="shared" si="10"/>
        <v>369171</v>
      </c>
      <c r="G74" s="1677">
        <f t="shared" si="10"/>
        <v>45947</v>
      </c>
      <c r="H74" s="1677">
        <f t="shared" si="10"/>
        <v>17595</v>
      </c>
      <c r="I74" s="1677">
        <f t="shared" si="10"/>
        <v>0</v>
      </c>
      <c r="J74" s="1677">
        <f t="shared" si="10"/>
        <v>16233</v>
      </c>
      <c r="K74" s="1677">
        <f t="shared" si="10"/>
        <v>2500285</v>
      </c>
      <c r="L74" s="1677">
        <f>SUM(L42,L47,L53,L57,L65,L72,L73)</f>
        <v>2622569</v>
      </c>
    </row>
    <row r="75" spans="1:14" s="259" customFormat="1" ht="15.75" customHeight="1" thickTop="1" thickBot="1" x14ac:dyDescent="0.25">
      <c r="A75" s="1610" t="s">
        <v>47</v>
      </c>
      <c r="B75" s="1611" t="s">
        <v>575</v>
      </c>
      <c r="C75" s="573">
        <v>186066</v>
      </c>
      <c r="D75" s="573">
        <v>12966</v>
      </c>
      <c r="E75" s="573">
        <v>131548</v>
      </c>
      <c r="F75" s="573">
        <v>22937</v>
      </c>
      <c r="G75" s="573"/>
      <c r="H75" s="573">
        <v>420</v>
      </c>
      <c r="I75" s="531"/>
      <c r="J75" s="531"/>
      <c r="K75" s="1670">
        <f>SUM(C75:J75)</f>
        <v>353937</v>
      </c>
      <c r="L75" s="576">
        <v>328091</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549069</v>
      </c>
      <c r="I79" s="477"/>
      <c r="J79" s="477"/>
      <c r="K79" s="1671">
        <f t="shared" si="11"/>
        <v>549069</v>
      </c>
      <c r="L79" s="466">
        <v>549069</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88914</v>
      </c>
      <c r="I81" s="477"/>
      <c r="J81" s="477"/>
      <c r="K81" s="1671">
        <f t="shared" si="11"/>
        <v>88914</v>
      </c>
      <c r="L81" s="466">
        <v>88914</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12757</v>
      </c>
      <c r="I83" s="477"/>
      <c r="J83" s="477"/>
      <c r="K83" s="1671">
        <f t="shared" si="11"/>
        <v>12757</v>
      </c>
      <c r="L83" s="466"/>
    </row>
    <row r="84" spans="1:12" ht="13.5" thickBot="1" x14ac:dyDescent="0.25">
      <c r="A84" s="1668" t="s">
        <v>1485</v>
      </c>
      <c r="B84" s="1678">
        <v>4100</v>
      </c>
      <c r="C84" s="616"/>
      <c r="D84" s="616"/>
      <c r="E84" s="1670">
        <f>SUM(E78:E83)</f>
        <v>0</v>
      </c>
      <c r="F84" s="616"/>
      <c r="G84" s="616"/>
      <c r="H84" s="1670">
        <f>SUM(H78:H83)</f>
        <v>650740</v>
      </c>
      <c r="I84" s="477"/>
      <c r="J84" s="477"/>
      <c r="K84" s="1670">
        <f>SUM(K78:K83)</f>
        <v>650740</v>
      </c>
      <c r="L84" s="1670">
        <f>SUM(L78:L83)</f>
        <v>637983</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650740</v>
      </c>
      <c r="I102" s="477"/>
      <c r="J102" s="477"/>
      <c r="K102" s="1677">
        <f>SUM(K84,K92,K100,K101)</f>
        <v>650740</v>
      </c>
      <c r="L102" s="1677">
        <f>SUM(L84,L92,L100,L101)</f>
        <v>637983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7643783</v>
      </c>
      <c r="D114" s="1670">
        <f t="shared" ref="D114:K114" si="13">SUM(D33,D74,D75,D102,D112,D113)</f>
        <v>1612314</v>
      </c>
      <c r="E114" s="1670">
        <f t="shared" si="13"/>
        <v>347645</v>
      </c>
      <c r="F114" s="1670">
        <f t="shared" si="13"/>
        <v>659939</v>
      </c>
      <c r="G114" s="1670">
        <f t="shared" si="13"/>
        <v>62509</v>
      </c>
      <c r="H114" s="1670">
        <f>SUM(H33,H74,H75,H102,H112,H113)</f>
        <v>690810</v>
      </c>
      <c r="I114" s="1670">
        <f t="shared" si="13"/>
        <v>0</v>
      </c>
      <c r="J114" s="1670">
        <f t="shared" si="13"/>
        <v>24613</v>
      </c>
      <c r="K114" s="1670">
        <f t="shared" si="13"/>
        <v>11041613</v>
      </c>
      <c r="L114" s="1670">
        <f>SUM(L33,L74,L75,L102,L112,L113)</f>
        <v>11413694</v>
      </c>
    </row>
    <row r="115" spans="1:14" ht="13.5" thickTop="1" x14ac:dyDescent="0.2">
      <c r="A115" s="2155" t="s">
        <v>996</v>
      </c>
      <c r="B115" s="2156"/>
      <c r="C115" s="618"/>
      <c r="D115" s="618"/>
      <c r="E115" s="618"/>
      <c r="F115" s="618"/>
      <c r="G115" s="618"/>
      <c r="H115" s="618"/>
      <c r="I115" s="618"/>
      <c r="J115" s="618"/>
      <c r="K115" s="1684">
        <f>'Revenues 9-14'!C268-'Expenditures 15-22'!K114</f>
        <v>-1465980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406779</v>
      </c>
      <c r="D124" s="466">
        <v>62807</v>
      </c>
      <c r="E124" s="466">
        <v>170080</v>
      </c>
      <c r="F124" s="466">
        <v>484528</v>
      </c>
      <c r="G124" s="466">
        <v>254841</v>
      </c>
      <c r="H124" s="466"/>
      <c r="I124" s="467"/>
      <c r="J124" s="467"/>
      <c r="K124" s="1670">
        <f>SUM(C124:J124)</f>
        <v>1379035</v>
      </c>
      <c r="L124" s="466">
        <v>1385535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406779</v>
      </c>
      <c r="D127" s="1670">
        <f t="shared" ref="D127:L127" si="14">SUM(D122:D126)</f>
        <v>62807</v>
      </c>
      <c r="E127" s="1670">
        <f t="shared" si="14"/>
        <v>170080</v>
      </c>
      <c r="F127" s="1670">
        <f t="shared" si="14"/>
        <v>484528</v>
      </c>
      <c r="G127" s="1670">
        <f t="shared" si="14"/>
        <v>254841</v>
      </c>
      <c r="H127" s="1670">
        <f t="shared" si="14"/>
        <v>0</v>
      </c>
      <c r="I127" s="1670">
        <f t="shared" si="14"/>
        <v>0</v>
      </c>
      <c r="J127" s="1670">
        <f t="shared" si="14"/>
        <v>0</v>
      </c>
      <c r="K127" s="1670">
        <f t="shared" si="14"/>
        <v>1379035</v>
      </c>
      <c r="L127" s="1670">
        <f t="shared" si="14"/>
        <v>1385535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406779</v>
      </c>
      <c r="D129" s="1677">
        <f t="shared" ref="D129:L129" si="15">SUM(D120,D127,D128)</f>
        <v>62807</v>
      </c>
      <c r="E129" s="1677">
        <f t="shared" si="15"/>
        <v>170080</v>
      </c>
      <c r="F129" s="1677">
        <f t="shared" si="15"/>
        <v>484528</v>
      </c>
      <c r="G129" s="1677">
        <f t="shared" si="15"/>
        <v>254841</v>
      </c>
      <c r="H129" s="1677">
        <f t="shared" si="15"/>
        <v>0</v>
      </c>
      <c r="I129" s="1677">
        <f t="shared" si="15"/>
        <v>0</v>
      </c>
      <c r="J129" s="1677">
        <f t="shared" si="15"/>
        <v>0</v>
      </c>
      <c r="K129" s="1677">
        <f t="shared" si="15"/>
        <v>1379035</v>
      </c>
      <c r="L129" s="1677">
        <f t="shared" si="15"/>
        <v>1385535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v>9315</v>
      </c>
      <c r="I136" s="477"/>
      <c r="J136" s="616"/>
      <c r="K136" s="1672">
        <f>SUM(E136,H136)</f>
        <v>9315</v>
      </c>
      <c r="L136" s="466">
        <v>1187</v>
      </c>
    </row>
    <row r="137" spans="1:14" ht="12.75" customHeight="1" thickBot="1" x14ac:dyDescent="0.25">
      <c r="A137" s="1668" t="s">
        <v>480</v>
      </c>
      <c r="B137" s="1678">
        <v>4100</v>
      </c>
      <c r="C137" s="616"/>
      <c r="D137" s="616"/>
      <c r="E137" s="1670">
        <f>SUM(E133:E136)</f>
        <v>0</v>
      </c>
      <c r="F137" s="616"/>
      <c r="G137" s="616"/>
      <c r="H137" s="1670">
        <f>SUM(H133:H136)</f>
        <v>9315</v>
      </c>
      <c r="I137" s="477"/>
      <c r="J137" s="616"/>
      <c r="K137" s="1670">
        <f>SUM(K133:K136)</f>
        <v>9315</v>
      </c>
      <c r="L137" s="1670">
        <f>SUM(L133:L136)</f>
        <v>1187</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9315</v>
      </c>
      <c r="I139" s="477"/>
      <c r="J139" s="616"/>
      <c r="K139" s="1672">
        <f>SUM(K137,K138)</f>
        <v>9315</v>
      </c>
      <c r="L139" s="1679">
        <f>SUM(L137,L138)</f>
        <v>1187</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406779</v>
      </c>
      <c r="D151" s="1670">
        <f t="shared" ref="D151:K151" si="16">SUM(D129,D130,D139,D149,D150)</f>
        <v>62807</v>
      </c>
      <c r="E151" s="1670">
        <f t="shared" si="16"/>
        <v>170080</v>
      </c>
      <c r="F151" s="1670">
        <f t="shared" si="16"/>
        <v>484528</v>
      </c>
      <c r="G151" s="1670">
        <f t="shared" si="16"/>
        <v>254841</v>
      </c>
      <c r="H151" s="1670">
        <f t="shared" si="16"/>
        <v>9315</v>
      </c>
      <c r="I151" s="1670">
        <f t="shared" si="16"/>
        <v>0</v>
      </c>
      <c r="J151" s="1670">
        <f t="shared" si="16"/>
        <v>0</v>
      </c>
      <c r="K151" s="1670">
        <f t="shared" si="16"/>
        <v>1388350</v>
      </c>
      <c r="L151" s="1670">
        <f>SUM(L129,L130,L139,L149,L150)</f>
        <v>1386722</v>
      </c>
    </row>
    <row r="152" spans="1:14" ht="12.75" customHeight="1" thickTop="1" x14ac:dyDescent="0.2">
      <c r="A152" s="2175" t="s">
        <v>1178</v>
      </c>
      <c r="B152" s="2176"/>
      <c r="C152" s="618"/>
      <c r="D152" s="618"/>
      <c r="E152" s="618"/>
      <c r="F152" s="618"/>
      <c r="G152" s="618"/>
      <c r="H152" s="618"/>
      <c r="I152" s="618"/>
      <c r="J152" s="616"/>
      <c r="K152" s="1684">
        <f>'Revenues 9-14'!D268-'Expenditures 15-22'!K151</f>
        <v>-80313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78120</v>
      </c>
      <c r="I169" s="616"/>
      <c r="J169" s="616"/>
      <c r="K169" s="1671">
        <f>SUM(C169:H169)</f>
        <v>78120</v>
      </c>
      <c r="L169" s="656">
        <v>998383</v>
      </c>
    </row>
    <row r="170" spans="1:14" ht="33.75" customHeight="1" x14ac:dyDescent="0.2">
      <c r="A170" s="669" t="s">
        <v>1670</v>
      </c>
      <c r="B170" s="671" t="s">
        <v>31</v>
      </c>
      <c r="C170" s="616"/>
      <c r="D170" s="616"/>
      <c r="E170" s="616"/>
      <c r="F170" s="616"/>
      <c r="G170" s="616"/>
      <c r="H170" s="569">
        <v>920000</v>
      </c>
      <c r="I170" s="616"/>
      <c r="J170" s="616"/>
      <c r="K170" s="1671">
        <f>SUM(C170:J170)</f>
        <v>920000</v>
      </c>
      <c r="L170" s="569"/>
    </row>
    <row r="171" spans="1:14" ht="15.75" customHeight="1" x14ac:dyDescent="0.2">
      <c r="A171" s="621" t="s">
        <v>766</v>
      </c>
      <c r="B171" s="672" t="s">
        <v>84</v>
      </c>
      <c r="C171" s="616"/>
      <c r="D171" s="616"/>
      <c r="E171" s="466"/>
      <c r="F171" s="616"/>
      <c r="G171" s="616"/>
      <c r="H171" s="569">
        <v>261</v>
      </c>
      <c r="I171" s="477"/>
      <c r="J171" s="616"/>
      <c r="K171" s="1671">
        <f>SUM(C171:J171)</f>
        <v>261</v>
      </c>
      <c r="L171" s="569"/>
    </row>
    <row r="172" spans="1:14" ht="12.75" customHeight="1" thickBot="1" x14ac:dyDescent="0.25">
      <c r="A172" s="1668" t="s">
        <v>638</v>
      </c>
      <c r="B172" s="1669" t="s">
        <v>492</v>
      </c>
      <c r="C172" s="616"/>
      <c r="D172" s="616"/>
      <c r="E172" s="1677">
        <f>SUM(E168,E169,E170,E171)</f>
        <v>0</v>
      </c>
      <c r="F172" s="616"/>
      <c r="G172" s="616"/>
      <c r="H172" s="1677">
        <f>SUM(H168,H169,H170,H171)</f>
        <v>998381</v>
      </c>
      <c r="I172" s="638"/>
      <c r="J172" s="616"/>
      <c r="K172" s="1677">
        <f>SUM(K168,K169,K170,K171)</f>
        <v>998381</v>
      </c>
      <c r="L172" s="1677">
        <f>SUM(L168,L169,L170,L171)</f>
        <v>998383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998381</v>
      </c>
      <c r="I174" s="638"/>
      <c r="J174" s="616"/>
      <c r="K174" s="1677">
        <f>SUM(K160,K172,K173)</f>
        <v>998381</v>
      </c>
      <c r="L174" s="1677">
        <f>SUM(L160,L172,L173)</f>
        <v>998383</v>
      </c>
    </row>
    <row r="175" spans="1:14" ht="13.5" thickTop="1" x14ac:dyDescent="0.2">
      <c r="A175" s="2155" t="s">
        <v>996</v>
      </c>
      <c r="B175" s="2156"/>
      <c r="C175" s="616"/>
      <c r="D175" s="616"/>
      <c r="E175" s="616"/>
      <c r="F175" s="616"/>
      <c r="G175" s="616"/>
      <c r="H175" s="618"/>
      <c r="I175" s="616"/>
      <c r="J175" s="616"/>
      <c r="K175" s="1684">
        <f>'Revenues 9-14'!E268-'Expenditures 15-22'!K174</f>
        <v>-101012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435101</v>
      </c>
      <c r="D182" s="466">
        <v>54393</v>
      </c>
      <c r="E182" s="466">
        <v>33446</v>
      </c>
      <c r="F182" s="466">
        <v>148364</v>
      </c>
      <c r="G182" s="466">
        <v>405140</v>
      </c>
      <c r="H182" s="466"/>
      <c r="I182" s="467"/>
      <c r="J182" s="467">
        <v>245</v>
      </c>
      <c r="K182" s="1671">
        <f>SUM(C182:J182)</f>
        <v>1076689</v>
      </c>
      <c r="L182" s="466">
        <v>1079560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435101</v>
      </c>
      <c r="D184" s="1677">
        <f t="shared" ref="D184:J184" si="17">SUM(D180,D182,D183)</f>
        <v>54393</v>
      </c>
      <c r="E184" s="1677">
        <f t="shared" si="17"/>
        <v>33446</v>
      </c>
      <c r="F184" s="1677">
        <f t="shared" si="17"/>
        <v>148364</v>
      </c>
      <c r="G184" s="1677">
        <f t="shared" si="17"/>
        <v>405140</v>
      </c>
      <c r="H184" s="1677">
        <f t="shared" si="17"/>
        <v>0</v>
      </c>
      <c r="I184" s="1677">
        <f t="shared" si="17"/>
        <v>0</v>
      </c>
      <c r="J184" s="1677">
        <f t="shared" si="17"/>
        <v>245</v>
      </c>
      <c r="K184" s="1677">
        <f>SUM(K180,K182,K183)</f>
        <v>1076689</v>
      </c>
      <c r="L184" s="1677">
        <f>SUM(L180, L182:L183)</f>
        <v>1079560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435101</v>
      </c>
      <c r="D210" s="1670">
        <f>SUM(D184,D185)</f>
        <v>54393</v>
      </c>
      <c r="E210" s="1670">
        <f>SUM(E184,E185,E196)</f>
        <v>33446</v>
      </c>
      <c r="F210" s="1670">
        <f>SUM(F184,F185)</f>
        <v>148364</v>
      </c>
      <c r="G210" s="1670">
        <f>SUM(G184,G185)</f>
        <v>405140</v>
      </c>
      <c r="H210" s="1670">
        <f>SUM(H184,H185,H196,H208,H209)</f>
        <v>0</v>
      </c>
      <c r="I210" s="1670">
        <f>SUM(I184,I185)</f>
        <v>0</v>
      </c>
      <c r="J210" s="1670">
        <f>SUM(J184,J185)</f>
        <v>245</v>
      </c>
      <c r="K210" s="1671">
        <f>SUM(K184,K185,K196,K208,K209)</f>
        <v>1076689</v>
      </c>
      <c r="L210" s="1670">
        <f>SUM(L184,L185,L196,L208,L209)</f>
        <v>1079560</v>
      </c>
    </row>
    <row r="211" spans="1:14" ht="13.5" thickTop="1" x14ac:dyDescent="0.2">
      <c r="A211" s="2155" t="s">
        <v>996</v>
      </c>
      <c r="B211" s="2156"/>
      <c r="C211" s="618"/>
      <c r="D211" s="618"/>
      <c r="E211" s="618"/>
      <c r="F211" s="618"/>
      <c r="G211" s="618"/>
      <c r="H211" s="618"/>
      <c r="I211" s="616"/>
      <c r="J211" s="616"/>
      <c r="K211" s="1684">
        <f>'Revenues 9-14'!F268-'Expenditures 15-22'!K210</f>
        <v>-65541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69019</v>
      </c>
      <c r="E215" s="616"/>
      <c r="F215" s="616"/>
      <c r="G215" s="616"/>
      <c r="H215" s="616"/>
      <c r="I215" s="616"/>
      <c r="J215" s="616"/>
      <c r="K215" s="1671">
        <f>D215</f>
        <v>69019</v>
      </c>
      <c r="L215" s="466">
        <v>69783</v>
      </c>
    </row>
    <row r="216" spans="1:14" x14ac:dyDescent="0.2">
      <c r="A216" s="1504" t="s">
        <v>163</v>
      </c>
      <c r="B216" s="614" t="s">
        <v>967</v>
      </c>
      <c r="C216" s="616"/>
      <c r="D216" s="467">
        <v>528</v>
      </c>
      <c r="E216" s="616"/>
      <c r="F216" s="616"/>
      <c r="G216" s="616"/>
      <c r="H216" s="616"/>
      <c r="I216" s="616"/>
      <c r="J216" s="616"/>
      <c r="K216" s="1671">
        <f t="shared" ref="K216:K228" si="19">D216</f>
        <v>528</v>
      </c>
      <c r="L216" s="466">
        <v>900</v>
      </c>
    </row>
    <row r="217" spans="1:14" x14ac:dyDescent="0.2">
      <c r="A217" s="1504" t="s">
        <v>164</v>
      </c>
      <c r="B217" s="614">
        <v>1200</v>
      </c>
      <c r="C217" s="616"/>
      <c r="D217" s="466">
        <v>61564</v>
      </c>
      <c r="E217" s="616"/>
      <c r="F217" s="616"/>
      <c r="G217" s="616"/>
      <c r="H217" s="616"/>
      <c r="I217" s="616"/>
      <c r="J217" s="616"/>
      <c r="K217" s="1671">
        <f t="shared" si="19"/>
        <v>61564</v>
      </c>
      <c r="L217" s="466">
        <v>64050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3230</v>
      </c>
      <c r="E219" s="616"/>
      <c r="F219" s="616"/>
      <c r="G219" s="616"/>
      <c r="H219" s="616"/>
      <c r="I219" s="616"/>
      <c r="J219" s="616"/>
      <c r="K219" s="1671">
        <f t="shared" si="19"/>
        <v>3230</v>
      </c>
      <c r="L219" s="466">
        <v>6800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4162</v>
      </c>
      <c r="E222" s="616"/>
      <c r="F222" s="616"/>
      <c r="G222" s="616"/>
      <c r="H222" s="616"/>
      <c r="I222" s="616"/>
      <c r="J222" s="616"/>
      <c r="K222" s="1671">
        <f t="shared" si="19"/>
        <v>4162</v>
      </c>
      <c r="L222" s="466">
        <v>4000</v>
      </c>
    </row>
    <row r="223" spans="1:14" x14ac:dyDescent="0.2">
      <c r="A223" s="1504" t="s">
        <v>963</v>
      </c>
      <c r="B223" s="614">
        <v>1500</v>
      </c>
      <c r="C223" s="616"/>
      <c r="D223" s="466">
        <v>9798</v>
      </c>
      <c r="E223" s="616"/>
      <c r="F223" s="616"/>
      <c r="G223" s="616"/>
      <c r="H223" s="616"/>
      <c r="I223" s="616"/>
      <c r="J223" s="616"/>
      <c r="K223" s="1671">
        <f t="shared" si="19"/>
        <v>9798</v>
      </c>
      <c r="L223" s="466">
        <v>14645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v>1098</v>
      </c>
      <c r="E225" s="616"/>
      <c r="F225" s="616"/>
      <c r="G225" s="616"/>
      <c r="H225" s="616"/>
      <c r="I225" s="616"/>
      <c r="J225" s="616"/>
      <c r="K225" s="1671">
        <f t="shared" si="19"/>
        <v>1098</v>
      </c>
      <c r="L225" s="466">
        <v>1500</v>
      </c>
    </row>
    <row r="226" spans="1:12" x14ac:dyDescent="0.2">
      <c r="A226" s="1504" t="s">
        <v>724</v>
      </c>
      <c r="B226" s="614" t="s">
        <v>162</v>
      </c>
      <c r="C226" s="616"/>
      <c r="D226" s="467">
        <v>192</v>
      </c>
      <c r="E226" s="616"/>
      <c r="F226" s="616"/>
      <c r="G226" s="616"/>
      <c r="H226" s="616"/>
      <c r="I226" s="616"/>
      <c r="J226" s="616"/>
      <c r="K226" s="1671">
        <f t="shared" si="19"/>
        <v>192</v>
      </c>
      <c r="L226" s="466">
        <v>150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149591</v>
      </c>
      <c r="E229" s="616"/>
      <c r="F229" s="616"/>
      <c r="G229" s="616"/>
      <c r="H229" s="616"/>
      <c r="I229" s="616"/>
      <c r="J229" s="616"/>
      <c r="K229" s="1670">
        <f>SUM(K215:K228)</f>
        <v>149591</v>
      </c>
      <c r="L229" s="1670">
        <f>SUM(L215:L228)</f>
        <v>161828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2592</v>
      </c>
      <c r="E233" s="616"/>
      <c r="F233" s="616"/>
      <c r="G233" s="616"/>
      <c r="H233" s="616"/>
      <c r="I233" s="616"/>
      <c r="J233" s="616"/>
      <c r="K233" s="1671">
        <f t="shared" si="20"/>
        <v>2592</v>
      </c>
      <c r="L233" s="466">
        <v>3050</v>
      </c>
    </row>
    <row r="234" spans="1:12" x14ac:dyDescent="0.2">
      <c r="A234" s="1504" t="s">
        <v>198</v>
      </c>
      <c r="B234" s="614">
        <v>2130</v>
      </c>
      <c r="C234" s="616"/>
      <c r="D234" s="466">
        <v>5447</v>
      </c>
      <c r="E234" s="616"/>
      <c r="F234" s="616"/>
      <c r="G234" s="616"/>
      <c r="H234" s="616"/>
      <c r="I234" s="616"/>
      <c r="J234" s="616"/>
      <c r="K234" s="1671">
        <f t="shared" si="20"/>
        <v>5447</v>
      </c>
      <c r="L234" s="466">
        <v>6300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8039</v>
      </c>
      <c r="E238" s="616"/>
      <c r="F238" s="616"/>
      <c r="G238" s="616"/>
      <c r="H238" s="616"/>
      <c r="I238" s="616"/>
      <c r="J238" s="616"/>
      <c r="K238" s="1670">
        <f>SUM(K232:K237)</f>
        <v>8039</v>
      </c>
      <c r="L238" s="1670">
        <f>SUM(L232:L237)</f>
        <v>9350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5416</v>
      </c>
      <c r="E241" s="616"/>
      <c r="F241" s="616"/>
      <c r="G241" s="616"/>
      <c r="H241" s="616"/>
      <c r="I241" s="616"/>
      <c r="J241" s="616"/>
      <c r="K241" s="1672">
        <f>D241</f>
        <v>5416</v>
      </c>
      <c r="L241" s="466">
        <v>7075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5416</v>
      </c>
      <c r="E243" s="616"/>
      <c r="F243" s="616"/>
      <c r="G243" s="616"/>
      <c r="H243" s="616"/>
      <c r="I243" s="616"/>
      <c r="J243" s="616"/>
      <c r="K243" s="1670">
        <f>SUM(K240:K242)</f>
        <v>5416</v>
      </c>
      <c r="L243" s="1670">
        <f>SUM(L240:L242)</f>
        <v>7075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184</v>
      </c>
      <c r="E245" s="616"/>
      <c r="F245" s="616"/>
      <c r="G245" s="616"/>
      <c r="H245" s="616"/>
      <c r="I245" s="616"/>
      <c r="J245" s="616"/>
      <c r="K245" s="1672">
        <f>D245</f>
        <v>184</v>
      </c>
      <c r="L245" s="481">
        <v>350</v>
      </c>
    </row>
    <row r="246" spans="1:12" x14ac:dyDescent="0.2">
      <c r="A246" s="1504" t="s">
        <v>818</v>
      </c>
      <c r="B246" s="614">
        <v>2320</v>
      </c>
      <c r="C246" s="616"/>
      <c r="D246" s="466">
        <v>8141</v>
      </c>
      <c r="E246" s="616"/>
      <c r="F246" s="616"/>
      <c r="G246" s="616"/>
      <c r="H246" s="616"/>
      <c r="I246" s="616"/>
      <c r="J246" s="616"/>
      <c r="K246" s="1672">
        <f t="shared" ref="K246:K256" si="21">D246</f>
        <v>8141</v>
      </c>
      <c r="L246" s="466">
        <v>8200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6274</v>
      </c>
      <c r="E254" s="616"/>
      <c r="F254" s="616"/>
      <c r="G254" s="616"/>
      <c r="H254" s="616"/>
      <c r="I254" s="616"/>
      <c r="J254" s="616"/>
      <c r="K254" s="1672">
        <f t="shared" si="21"/>
        <v>6274</v>
      </c>
      <c r="L254" s="466">
        <v>6275</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14599</v>
      </c>
      <c r="E257" s="616"/>
      <c r="F257" s="616"/>
      <c r="G257" s="616"/>
      <c r="H257" s="616"/>
      <c r="I257" s="616"/>
      <c r="J257" s="616"/>
      <c r="K257" s="1670">
        <f>SUM(K245:K256)</f>
        <v>14599</v>
      </c>
      <c r="L257" s="1670">
        <f>SUM(L245:L256)</f>
        <v>14825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27323</v>
      </c>
      <c r="E259" s="616"/>
      <c r="F259" s="616"/>
      <c r="G259" s="616"/>
      <c r="H259" s="616"/>
      <c r="I259" s="616"/>
      <c r="J259" s="616"/>
      <c r="K259" s="1672">
        <f>D259</f>
        <v>27323</v>
      </c>
      <c r="L259" s="481">
        <v>31875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27323</v>
      </c>
      <c r="E261" s="616"/>
      <c r="F261" s="616"/>
      <c r="G261" s="616"/>
      <c r="H261" s="616"/>
      <c r="I261" s="616"/>
      <c r="J261" s="616"/>
      <c r="K261" s="1670">
        <f>SUM(K259:K260)</f>
        <v>27323</v>
      </c>
      <c r="L261" s="1670">
        <f>SUM(L259:L260)</f>
        <v>31875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633</v>
      </c>
      <c r="E263" s="616"/>
      <c r="F263" s="616"/>
      <c r="G263" s="616"/>
      <c r="H263" s="616"/>
      <c r="I263" s="616"/>
      <c r="J263" s="616"/>
      <c r="K263" s="1672">
        <f>D263</f>
        <v>633</v>
      </c>
      <c r="L263" s="481">
        <v>850</v>
      </c>
    </row>
    <row r="264" spans="1:14" x14ac:dyDescent="0.2">
      <c r="A264" s="1504" t="s">
        <v>463</v>
      </c>
      <c r="B264" s="685">
        <v>2520</v>
      </c>
      <c r="C264" s="616"/>
      <c r="D264" s="466">
        <v>15486</v>
      </c>
      <c r="E264" s="616"/>
      <c r="F264" s="616"/>
      <c r="G264" s="616"/>
      <c r="H264" s="616"/>
      <c r="I264" s="616"/>
      <c r="J264" s="616"/>
      <c r="K264" s="1672">
        <f t="shared" ref="K264:K269" si="22">D264</f>
        <v>15486</v>
      </c>
      <c r="L264" s="466">
        <v>16350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66321</v>
      </c>
      <c r="E266" s="616"/>
      <c r="F266" s="616"/>
      <c r="G266" s="616"/>
      <c r="H266" s="616"/>
      <c r="I266" s="616"/>
      <c r="J266" s="616"/>
      <c r="K266" s="1672">
        <f t="shared" si="22"/>
        <v>66321</v>
      </c>
      <c r="L266" s="466">
        <v>75700</v>
      </c>
    </row>
    <row r="267" spans="1:14" x14ac:dyDescent="0.2">
      <c r="A267" s="1504" t="s">
        <v>953</v>
      </c>
      <c r="B267" s="614">
        <v>2550</v>
      </c>
      <c r="C267" s="616"/>
      <c r="D267" s="466">
        <v>69728</v>
      </c>
      <c r="E267" s="616"/>
      <c r="F267" s="616"/>
      <c r="G267" s="616"/>
      <c r="H267" s="616"/>
      <c r="I267" s="616"/>
      <c r="J267" s="616"/>
      <c r="K267" s="1672">
        <f t="shared" si="22"/>
        <v>69728</v>
      </c>
      <c r="L267" s="466">
        <v>71975</v>
      </c>
    </row>
    <row r="268" spans="1:14" x14ac:dyDescent="0.2">
      <c r="A268" s="1504" t="s">
        <v>100</v>
      </c>
      <c r="B268" s="614">
        <v>2560</v>
      </c>
      <c r="C268" s="616"/>
      <c r="D268" s="466">
        <v>36386</v>
      </c>
      <c r="E268" s="616"/>
      <c r="F268" s="616"/>
      <c r="G268" s="616"/>
      <c r="H268" s="616"/>
      <c r="I268" s="616"/>
      <c r="J268" s="616"/>
      <c r="K268" s="1672">
        <f t="shared" si="22"/>
        <v>36386</v>
      </c>
      <c r="L268" s="466">
        <v>39852</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188554</v>
      </c>
      <c r="E270" s="616"/>
      <c r="F270" s="616"/>
      <c r="G270" s="616"/>
      <c r="H270" s="616"/>
      <c r="I270" s="616"/>
      <c r="J270" s="616"/>
      <c r="K270" s="1670">
        <f>SUM(K263:K269)</f>
        <v>188554</v>
      </c>
      <c r="L270" s="1670">
        <f>SUM(L263:L269)</f>
        <v>204727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15363</v>
      </c>
      <c r="E276" s="616"/>
      <c r="F276" s="616"/>
      <c r="G276" s="616"/>
      <c r="H276" s="616"/>
      <c r="I276" s="616"/>
      <c r="J276" s="616"/>
      <c r="K276" s="1672">
        <f>D276</f>
        <v>15363</v>
      </c>
      <c r="L276" s="466">
        <v>15800</v>
      </c>
    </row>
    <row r="277" spans="1:12" ht="12.75" customHeight="1" thickBot="1" x14ac:dyDescent="0.25">
      <c r="A277" s="1691" t="s">
        <v>37</v>
      </c>
      <c r="B277" s="1669" t="s">
        <v>36</v>
      </c>
      <c r="C277" s="616"/>
      <c r="D277" s="1670">
        <f>SUM(D272:D276)</f>
        <v>15363</v>
      </c>
      <c r="E277" s="616"/>
      <c r="F277" s="616"/>
      <c r="G277" s="616"/>
      <c r="H277" s="616"/>
      <c r="I277" s="616"/>
      <c r="J277" s="616"/>
      <c r="K277" s="1670">
        <f>SUM(K272:K276)</f>
        <v>15363</v>
      </c>
      <c r="L277" s="1670">
        <f>SUM(L272:L276)</f>
        <v>15800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259294</v>
      </c>
      <c r="E279" s="616"/>
      <c r="F279" s="616"/>
      <c r="G279" s="616"/>
      <c r="H279" s="616"/>
      <c r="I279" s="616"/>
      <c r="J279" s="616"/>
      <c r="K279" s="1677">
        <f>SUM(K238,K243,K257,K261,K270,K277,K278)</f>
        <v>259294</v>
      </c>
      <c r="L279" s="1677">
        <f>SUM(L238,L243,L257,L261,L270,L277,L278)</f>
        <v>283652</v>
      </c>
    </row>
    <row r="280" spans="1:12" ht="15.75" customHeight="1" thickTop="1" thickBot="1" x14ac:dyDescent="0.25">
      <c r="A280" s="1624" t="s">
        <v>875</v>
      </c>
      <c r="B280" s="1613">
        <v>3000</v>
      </c>
      <c r="C280" s="616"/>
      <c r="D280" s="576">
        <v>19057</v>
      </c>
      <c r="E280" s="616"/>
      <c r="F280" s="616"/>
      <c r="G280" s="616"/>
      <c r="H280" s="616"/>
      <c r="I280" s="616"/>
      <c r="J280" s="616"/>
      <c r="K280" s="1679">
        <f>D280</f>
        <v>19057</v>
      </c>
      <c r="L280" s="576">
        <v>21500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427942</v>
      </c>
      <c r="E295" s="616"/>
      <c r="F295" s="616"/>
      <c r="G295" s="616"/>
      <c r="H295" s="1670">
        <f>H293</f>
        <v>0</v>
      </c>
      <c r="I295" s="616"/>
      <c r="J295" s="616"/>
      <c r="K295" s="1670">
        <f>SUM(K229,K279,K280,K285,K293,K294)</f>
        <v>427942</v>
      </c>
      <c r="L295" s="1670">
        <f>SUM(L229,L279,L280,L285,L293,L294)</f>
        <v>466980</v>
      </c>
    </row>
    <row r="296" spans="1:14" ht="13.5" thickTop="1" x14ac:dyDescent="0.2">
      <c r="A296" s="2155" t="s">
        <v>996</v>
      </c>
      <c r="B296" s="2156"/>
      <c r="C296" s="616"/>
      <c r="D296" s="618"/>
      <c r="E296" s="616"/>
      <c r="F296" s="616"/>
      <c r="G296" s="616"/>
      <c r="H296" s="687"/>
      <c r="I296" s="616"/>
      <c r="J296" s="616"/>
      <c r="K296" s="1684">
        <f>'Revenues 9-14'!G268-'Expenditures 15-22'!K295</f>
        <v>-155504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1378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v>57722</v>
      </c>
      <c r="D320" s="467"/>
      <c r="E320" s="467"/>
      <c r="F320" s="467"/>
      <c r="G320" s="467"/>
      <c r="H320" s="467"/>
      <c r="I320" s="467"/>
      <c r="J320" s="467"/>
      <c r="K320" s="1671">
        <f t="shared" ref="K320:K327" si="24">SUM(C320:J320)</f>
        <v>57722</v>
      </c>
      <c r="L320" s="467">
        <v>57725</v>
      </c>
      <c r="M320" s="665"/>
      <c r="N320" s="665"/>
    </row>
    <row r="321" spans="1:14" s="674" customFormat="1" x14ac:dyDescent="0.2">
      <c r="A321" s="1519" t="s">
        <v>300</v>
      </c>
      <c r="B321" s="697" t="s">
        <v>283</v>
      </c>
      <c r="C321" s="467">
        <v>380</v>
      </c>
      <c r="D321" s="467"/>
      <c r="E321" s="467"/>
      <c r="F321" s="467"/>
      <c r="G321" s="467"/>
      <c r="H321" s="467"/>
      <c r="I321" s="467"/>
      <c r="J321" s="467"/>
      <c r="K321" s="1671">
        <f t="shared" si="24"/>
        <v>380</v>
      </c>
      <c r="L321" s="467">
        <v>380</v>
      </c>
      <c r="M321" s="665"/>
      <c r="N321" s="665"/>
    </row>
    <row r="322" spans="1:14" s="674" customFormat="1" x14ac:dyDescent="0.2">
      <c r="A322" s="1519" t="s">
        <v>238</v>
      </c>
      <c r="B322" s="697" t="s">
        <v>284</v>
      </c>
      <c r="C322" s="467">
        <v>117436</v>
      </c>
      <c r="D322" s="467"/>
      <c r="E322" s="467"/>
      <c r="F322" s="467"/>
      <c r="G322" s="467"/>
      <c r="H322" s="467"/>
      <c r="I322" s="467"/>
      <c r="J322" s="467"/>
      <c r="K322" s="1671">
        <f t="shared" si="24"/>
        <v>117436</v>
      </c>
      <c r="L322" s="467">
        <v>118000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455129</v>
      </c>
      <c r="D325" s="467">
        <v>61201</v>
      </c>
      <c r="E325" s="467">
        <v>33779</v>
      </c>
      <c r="F325" s="467"/>
      <c r="G325" s="467"/>
      <c r="H325" s="467"/>
      <c r="I325" s="467"/>
      <c r="J325" s="467"/>
      <c r="K325" s="1671">
        <f t="shared" si="24"/>
        <v>550109</v>
      </c>
      <c r="L325" s="467">
        <v>457900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48185</v>
      </c>
      <c r="F327" s="467"/>
      <c r="G327" s="467"/>
      <c r="H327" s="467"/>
      <c r="I327" s="467"/>
      <c r="J327" s="467"/>
      <c r="K327" s="1671">
        <f t="shared" si="24"/>
        <v>48185</v>
      </c>
      <c r="L327" s="467">
        <v>48185</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630667</v>
      </c>
      <c r="D330" s="1670">
        <f t="shared" ref="D330:J330" si="25">SUM(D319:D329)</f>
        <v>61201</v>
      </c>
      <c r="E330" s="1670">
        <f t="shared" si="25"/>
        <v>81964</v>
      </c>
      <c r="F330" s="1670">
        <f t="shared" si="25"/>
        <v>0</v>
      </c>
      <c r="G330" s="1670">
        <f t="shared" si="25"/>
        <v>0</v>
      </c>
      <c r="H330" s="1670">
        <f t="shared" si="25"/>
        <v>0</v>
      </c>
      <c r="I330" s="1670">
        <f t="shared" si="25"/>
        <v>0</v>
      </c>
      <c r="J330" s="1670">
        <f t="shared" si="25"/>
        <v>0</v>
      </c>
      <c r="K330" s="1670">
        <f>SUM(K319:K329)</f>
        <v>773832</v>
      </c>
      <c r="L330" s="1670">
        <f>SUM(L319:L329)</f>
        <v>682190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630667</v>
      </c>
      <c r="D342" s="1670">
        <f>SUM(D330)</f>
        <v>61201</v>
      </c>
      <c r="E342" s="1670">
        <f>SUM(E330)</f>
        <v>81964</v>
      </c>
      <c r="F342" s="1670">
        <f>SUM(F330)</f>
        <v>0</v>
      </c>
      <c r="G342" s="1670">
        <f>SUM(G330)</f>
        <v>0</v>
      </c>
      <c r="H342" s="1670">
        <f>SUM(H330,H334,H340)</f>
        <v>0</v>
      </c>
      <c r="I342" s="1670">
        <f>SUM(I330)</f>
        <v>0</v>
      </c>
      <c r="J342" s="1670">
        <f>SUM(J330)</f>
        <v>0</v>
      </c>
      <c r="K342" s="1670">
        <f>SUM(K330,K334,K340)</f>
        <v>773832</v>
      </c>
      <c r="L342" s="1677">
        <f>SUM(L330,L340,L341)</f>
        <v>682190</v>
      </c>
    </row>
    <row r="343" spans="1:14" ht="12.75" customHeight="1" thickTop="1" x14ac:dyDescent="0.2">
      <c r="A343" s="2168" t="s">
        <v>996</v>
      </c>
      <c r="B343" s="2169"/>
      <c r="C343" s="616"/>
      <c r="D343" s="616"/>
      <c r="E343" s="616"/>
      <c r="F343" s="616"/>
      <c r="G343" s="616"/>
      <c r="H343" s="616"/>
      <c r="I343" s="616"/>
      <c r="J343" s="616"/>
      <c r="K343" s="1684">
        <f>'Revenues 9-14'!J268-'Expenditures 15-22'!K342</f>
        <v>-58365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5" t="s">
        <v>996</v>
      </c>
      <c r="B368" s="2156"/>
      <c r="C368" s="654"/>
      <c r="D368" s="654"/>
      <c r="E368" s="626"/>
      <c r="F368" s="626"/>
      <c r="G368" s="626"/>
      <c r="H368" s="626"/>
      <c r="I368" s="626"/>
      <c r="J368" s="623"/>
      <c r="K368" s="1671">
        <f>'Revenues 9-14'!K268-'Expenditures 15-22'!K367</f>
        <v>120226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4d435f69-8686-490b-bd6d-b153bf22ab50"/>
    <ds:schemaRef ds:uri="d21dc803-237d-4c68-8692-8d731fd29118"/>
    <ds:schemaRef ds:uri="http://purl.org/dc/elements/1.1/"/>
    <ds:schemaRef ds:uri="6ce3111e-7420-4802-b50a-75d4e9a0b980"/>
    <ds:schemaRef ds:uri="http://purl.org/dc/dcmitype/"/>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2019-09-27T14:31:25Z</cp:lastPrinted>
  <dcterms:created xsi:type="dcterms:W3CDTF">2003-10-29T19:06:34Z</dcterms:created>
  <dcterms:modified xsi:type="dcterms:W3CDTF">2019-12-12T15:09:31Z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