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A77FAB8-33EF-415A-9ED7-9AD719AC7309}" xr6:coauthVersionLast="36" xr6:coauthVersionMax="36" xr10:uidLastSave="{00000000-0000-0000-0000-000000000000}"/>
  <bookViews>
    <workbookView xWindow="-120" yWindow="-120" windowWidth="19440" windowHeight="151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7" l="1"/>
  <c r="C16" i="7"/>
  <c r="C14" i="7"/>
  <c r="C13" i="7"/>
  <c r="C10" i="7"/>
  <c r="C8" i="7"/>
  <c r="C7" i="7"/>
  <c r="C5" i="7"/>
  <c r="C4" i="7"/>
  <c r="I15" i="185" l="1"/>
  <c r="G15" i="185"/>
  <c r="L15" i="185" s="1"/>
  <c r="F15" i="185"/>
  <c r="E15" i="185"/>
  <c r="I22" i="184"/>
  <c r="G22" i="184"/>
  <c r="L22" i="184" s="1"/>
  <c r="F22" i="184"/>
  <c r="E22" i="184"/>
  <c r="I25" i="184"/>
  <c r="G25" i="184"/>
  <c r="F25" i="184"/>
  <c r="E25" i="184"/>
  <c r="I19" i="184"/>
  <c r="F19" i="184"/>
  <c r="G19" i="184"/>
  <c r="L19" i="184" s="1"/>
  <c r="E19" i="184"/>
  <c r="I16" i="183"/>
  <c r="G16" i="183"/>
  <c r="F16" i="183"/>
  <c r="E16" i="183"/>
  <c r="K26" i="179"/>
  <c r="I26" i="179"/>
  <c r="G26" i="179"/>
  <c r="F26" i="179"/>
  <c r="E26" i="179"/>
  <c r="K19" i="179"/>
  <c r="I19" i="179"/>
  <c r="G19" i="179"/>
  <c r="F19" i="179"/>
  <c r="E19" i="179"/>
  <c r="K15" i="179"/>
  <c r="I15" i="179"/>
  <c r="G15" i="179"/>
  <c r="F15" i="179"/>
  <c r="E15" i="179"/>
  <c r="L27" i="185"/>
  <c r="L26" i="185"/>
  <c r="L25" i="185"/>
  <c r="L24" i="185"/>
  <c r="L23" i="185"/>
  <c r="L22" i="185"/>
  <c r="L21" i="185"/>
  <c r="L20" i="185"/>
  <c r="L19" i="185"/>
  <c r="L18" i="185"/>
  <c r="L16" i="185"/>
  <c r="L14" i="185"/>
  <c r="L13" i="185"/>
  <c r="L12" i="185"/>
  <c r="L11" i="185"/>
  <c r="B4" i="185"/>
  <c r="L24" i="184"/>
  <c r="L23" i="184"/>
  <c r="L21" i="184"/>
  <c r="L20" i="184"/>
  <c r="L18" i="184"/>
  <c r="L17" i="184"/>
  <c r="L16" i="184"/>
  <c r="L15" i="184"/>
  <c r="L14" i="184"/>
  <c r="L13" i="184"/>
  <c r="L12" i="184"/>
  <c r="L11" i="184"/>
  <c r="B4" i="184"/>
  <c r="L27" i="183"/>
  <c r="L26" i="183"/>
  <c r="L25" i="183"/>
  <c r="L23" i="183"/>
  <c r="L22" i="183"/>
  <c r="L21" i="183"/>
  <c r="L20" i="183"/>
  <c r="L18" i="183"/>
  <c r="L15" i="183"/>
  <c r="L14" i="183"/>
  <c r="L13" i="183"/>
  <c r="L12" i="183"/>
  <c r="L11" i="183"/>
  <c r="B4" i="183"/>
  <c r="I26" i="184" l="1"/>
  <c r="I27" i="184" s="1"/>
  <c r="F26" i="184"/>
  <c r="F27" i="184" s="1"/>
  <c r="K24" i="183"/>
  <c r="K17" i="185" s="1"/>
  <c r="E26" i="184"/>
  <c r="E27" i="184" s="1"/>
  <c r="E17" i="185" s="1"/>
  <c r="E17" i="183"/>
  <c r="E19" i="183" s="1"/>
  <c r="E24" i="183" s="1"/>
  <c r="G17" i="183"/>
  <c r="G19" i="183" s="1"/>
  <c r="G24" i="183" s="1"/>
  <c r="G26" i="184"/>
  <c r="L26" i="184" s="1"/>
  <c r="F17" i="183"/>
  <c r="F19" i="183" s="1"/>
  <c r="F24" i="183" s="1"/>
  <c r="I17" i="183"/>
  <c r="I19" i="183" s="1"/>
  <c r="I24" i="183" s="1"/>
  <c r="L24" i="183"/>
  <c r="F17" i="185"/>
  <c r="I17" i="185"/>
  <c r="L25" i="184"/>
  <c r="L16" i="183"/>
  <c r="G27" i="184"/>
  <c r="G17" i="185" s="1"/>
  <c r="L17" i="185"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L17" i="183" l="1"/>
  <c r="L19" i="183"/>
  <c r="L27" i="184"/>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3"/>
  <c r="B1" i="184"/>
  <c r="B2" i="179"/>
  <c r="B2" i="185"/>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B6997" i="106" s="1"/>
  <c r="D6997" i="106" s="1"/>
  <c r="K94" i="29"/>
  <c r="K95" i="29"/>
  <c r="B7001" i="106" s="1"/>
  <c r="D7001" i="106" s="1"/>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E27" i="108"/>
  <c r="G27" i="108"/>
  <c r="F28" i="108"/>
  <c r="F31" i="108"/>
  <c r="F36" i="108"/>
  <c r="G28" i="108"/>
  <c r="D31" i="108"/>
  <c r="D36" i="108"/>
  <c r="E31" i="108"/>
  <c r="G31" i="108"/>
  <c r="E33" i="108"/>
  <c r="E34"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F68" i="34" l="1"/>
  <c r="B2724" i="106"/>
  <c r="D2724" i="106" s="1"/>
  <c r="D54" i="36"/>
  <c r="G29" i="108"/>
  <c r="B1124" i="106"/>
  <c r="D1124" i="106" s="1"/>
  <c r="F72" i="34"/>
  <c r="L22" i="37"/>
  <c r="J22" i="37"/>
  <c r="C342" i="29"/>
  <c r="B7216" i="106" s="1"/>
  <c r="D7216" i="106" s="1"/>
  <c r="F36" i="34"/>
  <c r="I129" i="29"/>
  <c r="B7037" i="106" s="1"/>
  <c r="D7037" i="106" s="1"/>
  <c r="B6289" i="106"/>
  <c r="D6289" i="106" s="1"/>
  <c r="F67" i="34"/>
  <c r="F34" i="34"/>
  <c r="F19" i="7"/>
  <c r="B1807" i="106" s="1"/>
  <c r="D1807" i="106" s="1"/>
  <c r="F77" i="4"/>
  <c r="B3255" i="106" s="1"/>
  <c r="D3255" i="106" s="1"/>
  <c r="D24" i="37"/>
  <c r="B4270" i="106" s="1"/>
  <c r="D4270" i="106" s="1"/>
  <c r="K76" i="4"/>
  <c r="B3586" i="106" s="1"/>
  <c r="D3586" i="106" s="1"/>
  <c r="J129" i="29"/>
  <c r="B7038" i="106" s="1"/>
  <c r="D7038" i="106" s="1"/>
  <c r="H342" i="29"/>
  <c r="H76" i="4"/>
  <c r="B3298" i="106" s="1"/>
  <c r="D3298" i="106" s="1"/>
  <c r="J210" i="29"/>
  <c r="B7072" i="106" s="1"/>
  <c r="D7072" i="106" s="1"/>
  <c r="J41" i="3"/>
  <c r="D51" i="36" s="1"/>
  <c r="C352" i="29"/>
  <c r="B3621" i="106" s="1"/>
  <c r="D3621" i="106" s="1"/>
  <c r="L13" i="11"/>
  <c r="B2060" i="106" s="1"/>
  <c r="D2060" i="106" s="1"/>
  <c r="D69" i="36"/>
  <c r="B3647" i="106"/>
  <c r="D3647" i="106" s="1"/>
  <c r="F71" i="34"/>
  <c r="G35" i="108"/>
  <c r="E35" i="108"/>
  <c r="G30" i="108"/>
  <c r="F27" i="108"/>
  <c r="F50" i="34"/>
  <c r="I210" i="29"/>
  <c r="B7071" i="106" s="1"/>
  <c r="D7071" i="106" s="1"/>
  <c r="J77" i="4"/>
  <c r="B6262" i="106" s="1"/>
  <c r="D6262" i="106" s="1"/>
  <c r="K184" i="29"/>
  <c r="F13" i="4" s="1"/>
  <c r="B2596" i="106" s="1"/>
  <c r="D2596" i="106" s="1"/>
  <c r="G210" i="29"/>
  <c r="C129" i="29"/>
  <c r="C151" i="29" s="1"/>
  <c r="B1226" i="106" s="1"/>
  <c r="D1226" i="106" s="1"/>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365" i="29" l="1"/>
  <c r="H77" i="4"/>
  <c r="B3299" i="106" s="1"/>
  <c r="D3299" i="106" s="1"/>
  <c r="J16" i="4"/>
  <c r="B6226" i="106" s="1"/>
  <c r="D6226" i="106" s="1"/>
  <c r="B1328" i="106"/>
  <c r="D1328" i="106" s="1"/>
  <c r="B6216" i="106"/>
  <c r="D6216" i="106" s="1"/>
  <c r="I7" i="4"/>
  <c r="B4444" i="106" s="1"/>
  <c r="D4444" i="106" s="1"/>
  <c r="D7254" i="106"/>
  <c r="C367" i="29"/>
  <c r="B3622" i="106" s="1"/>
  <c r="D3622" i="106" s="1"/>
  <c r="B1266" i="106"/>
  <c r="D1266" i="106" s="1"/>
  <c r="D41" i="108"/>
  <c r="E43" i="108" s="1"/>
  <c r="D7256" i="106"/>
  <c r="D7250" i="106"/>
  <c r="F66" i="34"/>
  <c r="D7251" i="106"/>
  <c r="B7235" i="106"/>
  <c r="D7235" i="106" s="1"/>
  <c r="L114" i="29"/>
  <c r="L16" i="11"/>
  <c r="B2061" i="106" s="1"/>
  <c r="D2061" i="106" s="1"/>
  <c r="N23" i="3"/>
  <c r="B284" i="106" s="1"/>
  <c r="D284" i="106" s="1"/>
  <c r="B1381" i="106"/>
  <c r="D1381" i="106" s="1"/>
  <c r="B1225" i="106"/>
  <c r="D1225" i="106" s="1"/>
  <c r="F41" i="108"/>
  <c r="G43" i="108" s="1"/>
  <c r="C114" i="29"/>
  <c r="B757" i="106" s="1"/>
  <c r="D757" i="106" s="1"/>
  <c r="B5527" i="106"/>
  <c r="D5527" i="106" s="1"/>
  <c r="D44" i="36"/>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<sst xmlns="http://schemas.openxmlformats.org/spreadsheetml/2006/main" count="5375" uniqueCount="2200">
  <si>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</si>
  <si>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</si>
  <si>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</si>
  <si>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</si>
  <si>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</si>
  <si>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</si>
  <si>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</si>
  <si>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</si>
  <si>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</si>
  <si>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</si>
  <si>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</si>
  <si>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</si>
  <si>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</si>
  <si>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</si>
  <si>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</si>
  <si>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</si>
  <si>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</si>
  <si>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</si>
  <si>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</si>
  <si>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</si>
  <si>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</si>
  <si>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</si>
  <si>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</si>
  <si>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</si>
  <si>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</si>
  <si>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</si>
  <si>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</si>
  <si>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</si>
  <si>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</si>
  <si>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</si>
  <si>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</si>
  <si>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</si>
  <si>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</si>
  <si>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</si>
  <si>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</si>
  <si>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</si>
  <si>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</si>
  <si>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</si>
  <si>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</si>
  <si>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</si>
  <si>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</si>
  <si>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</si>
  <si>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</si>
  <si>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</si>
  <si>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</si>
  <si>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</si>
  <si>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</si>
  <si>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</si>
  <si>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</si>
  <si>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</si>
  <si>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</si>
  <si>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</si>
  <si>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</si>
  <si>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</si>
  <si>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</si>
  <si>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</si>
  <si>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</si>
  <si>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</si>
  <si>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</si>
  <si>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</si>
  <si>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</si>
  <si>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</si>
  <si>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</si>
  <si>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</si>
  <si>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</si>
  <si>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</si>
  <si>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</si>
  <si>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</si>
  <si>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</si>
  <si>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</si>
  <si>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</si>
  <si>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</si>
  <si>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</si>
  <si>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</si>
  <si>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</si>
  <si>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</si>
  <si>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</si>
  <si>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</si>
  <si>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</si>
  <si>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</si>
  <si>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</si>
  <si>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</si>
  <si>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</si>
  <si>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</si>
  <si>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</si>
  <si>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</si>
  <si>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</si>
  <si>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</si>
  <si>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</si>
  <si>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</si>
  <si>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</si>
  <si>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</si>
  <si>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</si>
  <si>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</si>
  <si>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</si>
  <si>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</si>
  <si>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</si>
  <si>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</si>
  <si>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</si>
  <si>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</si>
  <si>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</si>
  <si>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</si>
  <si>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</si>
  <si>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</si>
  <si>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</si>
  <si>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</si>
  <si>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</si>
  <si>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</si>
  <si>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</si>
  <si>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</si>
  <si>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</si>
  <si>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</si>
  <si>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</si>
  <si>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</si>
  <si>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</si>
  <si>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</si>
  <si>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</si>
  <si>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</si>
  <si>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</si>
  <si>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</si>
  <si>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</si>
  <si>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</si>
  <si>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</si>
  <si>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</si>
  <si>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</si>
  <si>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</si>
  <si>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</si>
  <si>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</si>
  <si>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</si>
  <si>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</si>
  <si>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</si>
  <si>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</si>
  <si>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</si>
  <si>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</si>
  <si>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</si>
  <si>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</si>
  <si>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</si>
  <si>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</si>
  <si>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</si>
  <si>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</si>
  <si>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</si>
  <si>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</si>
  <si>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</si>
  <si>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</si>
  <si>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</si>
  <si>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</si>
  <si>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</si>
  <si>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</si>
  <si>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</si>
  <si>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</si>
  <si>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</si>
  <si>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</si>
  <si>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</si>
  <si>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</si>
  <si>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</si>
  <si>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</si>
  <si>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</si>
  <si>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</si>
  <si>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</si>
  <si>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</si>
  <si>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</si>
  <si>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</si>
  <si>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</si>
  <si>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</si>
  <si>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</si>
  <si>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</si>
  <si>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</si>
  <si>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</si>
  <si>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</si>
  <si>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</si>
  <si>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</si>
  <si>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</si>
  <si>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</si>
  <si>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</si>
  <si>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</si>
  <si>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</si>
  <si>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</si>
  <si>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</si>
  <si>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</si>
  <si>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</si>
  <si>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</si>
  <si>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</si>
  <si>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</si>
  <si>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</si>
  <si>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</si>
  <si>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</si>
  <si>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</si>
  <si>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</si>
  <si>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</si>
  <si>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</si>
  <si>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</si>
  <si>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</si>
  <si>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</si>
  <si>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</si>
  <si>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</si>
  <si>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</si>
  <si>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</si>
  <si>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</si>
  <si>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</si>
  <si>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</si>
  <si>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</si>
  <si>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</si>
  <si>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</si>
  <si>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</si>
  <si>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</si>
  <si>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</si>
  <si>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</si>
  <si>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</si>
  <si>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</si>
  <si>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</si>
  <si>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</si>
  <si>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</si>
  <si>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</si>
  <si>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</si>
  <si>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</si>
  <si>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</si>
  <si>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</si>
  <si>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</si>
  <si>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</si>
  <si>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</si>
  <si>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</si>
  <si>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</si>
  <si>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</si>
  <si>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</si>
  <si>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</si>
  <si>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</si>
  <si>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</si>
  <si>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</si>
  <si>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</si>
  <si>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</si>
  <si>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</si>
  <si>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</si>
  <si>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</si>
  <si>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</si>
  <si>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</si>
  <si>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</si>
  <si>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</si>
  <si>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</si>
  <si>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</si>
  <si>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</si>
  <si>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</si>
  <si>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</si>
  <si>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</si>
  <si>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</si>
  <si>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</si>
  <si>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</si>
  <si>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</si>
  <si>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</si>
  <si>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</si>
  <si>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</si>
  <si>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</si>
  <si>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</si>
  <si>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</si>
  <si>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</si>
  <si>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</si>
  <si>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</si>
  <si>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</si>
  <si>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</si>
  <si>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</si>
  <si>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</si>
  <si>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</si>
  <si>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</si>
  <si>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</si>
  <si>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</si>
  <si>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</si>
  <si>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</si>
  <si>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</si>
  <si>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</si>
  <si>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</si>
  <si>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</si>
  <si>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</si>
  <si>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</si>
  <si>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</si>
  <si>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</si>
  <si>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</si>
  <si>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</si>
  <si>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</si>
  <si>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</si>
  <si>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</si>
  <si>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</si>
  <si>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</si>
  <si>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</si>
  <si>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</si>
  <si>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</si>
  <si>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</si>
  <si>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</si>
  <si>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</si>
  <si>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</si>
  <si>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</si>
  <si>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</si>
  <si>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</si>
  <si>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</si>
  <si>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</si>
  <si>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</si>
  <si>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</si>
  <si>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</si>
  <si>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</si>
  <si>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</si>
  <si>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</si>
  <si>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</si>
  <si>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</si>
  <si>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</si>
  <si>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</si>
  <si>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</si>
  <si>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</si>
  <si>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</si>
  <si>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</si>
  <si>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</si>
  <si>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</si>
  <si>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</si>
  <si>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</si>
  <si>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</si>
  <si>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</si>
  <si>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</si>
  <si>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</si>
  <si>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</si>
  <si>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</si>
  <si>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</si>
  <si>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</si>
  <si>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</si>
  <si>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</si>
  <si>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</si>
  <si>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</si>
  <si>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</si>
  <si>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</si>
  <si>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</si>
  <si>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</si>
  <si>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</si>
  <si>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</si>
  <si>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</si>
  <si>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</si>
  <si>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</si>
  <si>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</si>
  <si>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</si>
  <si>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</si>
  <si>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</si>
  <si>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</si>
  <si>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</si>
  <si>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</si>
  <si>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</si>
  <si>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</si>
  <si>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</si>
  <si>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</si>
  <si>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</si>
  <si>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</si>
  <si>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</si>
  <si>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</si>
  <si>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</si>
  <si>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</si>
  <si>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</si>
  <si>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</si>
  <si>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</si>
  <si>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</si>
  <si>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</si>
  <si>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</si>
  <si>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</si>
  <si>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</si>
  <si>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</si>
  <si>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</si>
  <si>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</si>
  <si>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</si>
  <si>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</si>
  <si>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</si>
  <si>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</si>
  <si>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</si>
  <si>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</si>
  <si>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</si>
  <si>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</si>
  <si>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</si>
  <si>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</si>
  <si>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</si>
  <si>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</si>
  <si>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</si>
  <si>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</si>
  <si>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</si>
  <si>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</si>
  <si>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</si>
  <si>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</si>
  <si>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</si>
  <si>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</si>
  <si>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</si>
  <si>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</si>
  <si>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</si>
  <si>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</si>
  <si>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</si>
  <si>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</si>
  <si>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</si>
  <si>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</si>
  <si>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</si>
  <si>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</si>
  <si>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</si>
  <si>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</si>
  <si>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</si>
  <si>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</si>
  <si>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</si>
  <si>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</si>
  <si>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</si>
  <si>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</si>
  <si>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</si>
  <si>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</si>
  <si>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</si>
  <si>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</si>
  <si>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</si>
  <si>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</si>
  <si>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</si>
  <si>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</si>
  <si>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</si>
  <si>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</si>
  <si>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</si>
  <si>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</si>
  <si>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</si>
  <si>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</si>
  <si>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</si>
  <si>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</si>
  <si>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</si>
  <si>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</si>
  <si>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</si>
  <si>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</si>
  <si>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</si>
  <si>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</si>
  <si>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</si>
  <si>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</si>
  <si>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</si>
  <si>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</si>
  <si>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</si>
  <si>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</si>
  <si>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</si>
  <si>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</si>
  <si>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</si>
  <si>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</si>
  <si>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</si>
  <si>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</si>
  <si>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</si>
  <si>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</si>
  <si>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</si>
  <si>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</si>
  <si>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</si>
  <si>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</si>
  <si>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</si>
  <si>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</si>
  <si>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</si>
  <si>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</si>
  <si>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</si>
  <si>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</si>
  <si>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</si>
  <si>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</si>
  <si>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</si>
  <si>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</si>
  <si>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</si>
  <si>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</si>
  <si>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</si>
  <si>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</si>
  <si>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</si>
  <si>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</si>
  <si>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</si>
  <si>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</si>
  <si>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</si>
  <si>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</si>
  <si>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</si>
  <si>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</si>
  <si>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</si>
  <si>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</si>
  <si>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</si>
  <si>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</si>
  <si>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</si>
  <si>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</si>
  <si>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</si>
  <si>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</si>
  <si>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</si>
  <si>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</si>
  <si>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</si>
  <si>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</si>
  <si>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</si>
  <si>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</si>
  <si>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</si>
  <si>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</si>
  <si>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</si>
  <si>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</si>
  <si>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</si>
  <si>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</si>
  <si>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</si>
  <si>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</si>
  <si>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</si>
  <si>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</si>
  <si>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</si>
  <si>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</si>
  <si>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</si>
  <si>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</si>
  <si>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</si>
  <si>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</si>
  <si>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</si>
  <si>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</si>
  <si>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</si>
  <si>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</si>
  <si>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</si>
  <si>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</si>
  <si>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</si>
  <si>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</si>
  <si>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</si>
  <si>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</si>
  <si>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</si>
  <si>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</si>
  <si>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</si>
  <si>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</si>
  <si>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</si>
  <si>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</si>
  <si>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</si>
  <si>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</si>
  <si>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</si>
  <si>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</si>
  <si>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</si>
  <si>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</si>
  <si>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</si>
  <si>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</si>
  <si>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</si>
  <si>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</si>
  <si>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</si>
  <si>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</si>
  <si>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</si>
  <si>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</si>
  <si>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</si>
  <si>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</si>
  <si>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</si>
  <si>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</si>
  <si>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</si>
  <si>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</si>
  <si>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</si>
  <si>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</si>
  <si>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</si>
  <si>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</si>
  <si>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</si>
  <si>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</si>
  <si>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</si>
  <si>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</si>
  <si>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</si>
  <si>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</si>
  <si>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</si>
  <si>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</si>
  <si>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</si>
  <si>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</si>
  <si>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</si>
  <si>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</si>
  <si>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</si>
  <si>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</si>
  <si>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</si>
  <si>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</si>
  <si>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</si>
  <si>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</si>
  <si>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</si>
  <si>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</si>
  <si>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</si>
  <si>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</si>
  <si>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</si>
  <si>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</si>
  <si>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</si>
  <si>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</si>
  <si>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</si>
  <si>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</si>
  <si>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</si>
  <si>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</si>
  <si>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</si>
  <si>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</si>
  <si>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</si>
  <si>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</si>
  <si>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</si>
  <si>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</si>
  <si>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</si>
  <si>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</si>
  <si>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</si>
  <si>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</si>
  <si>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</si>
  <si>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</si>
  <si>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</si>
  <si>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</si>
  <si>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</si>
  <si>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</si>
  <si>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</si>
  <si>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</si>
  <si>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</si>
  <si>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</si>
  <si>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</si>
  <si>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</si>
  <si>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</si>
  <si>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</si>
  <si>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</si>
  <si>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</si>
  <si>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</si>
  <si>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</si>
  <si>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</si>
  <si>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</si>
  <si>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</si>
  <si>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</si>
  <si>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</si>
  <si>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</si>
  <si>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</si>
  <si>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</si>
  <si>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</si>
  <si>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</si>
  <si>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</si>
  <si>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</si>
  <si>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</si>
  <si>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</si>
  <si>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</si>
  <si>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</si>
  <si>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</si>
  <si>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</si>
  <si>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</si>
  <si>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</si>
  <si>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</si>
  <si>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</si>
  <si>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</si>
  <si>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</si>
  <si>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</si>
  <si>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</si>
  <si>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</si>
  <si>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</si>
  <si>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</si>
  <si>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</si>
  <si>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</si>
  <si>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</si>
  <si>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</si>
  <si>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</si>
  <si>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</si>
  <si>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</si>
  <si>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</si>
  <si>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</si>
  <si>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</si>
  <si>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</si>
  <si>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</si>
  <si>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</si>
  <si>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</si>
  <si>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</si>
  <si>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</si>
  <si>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</si>
  <si>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</si>
  <si>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</si>
  <si>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</si>
  <si>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</si>
  <si>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</si>
  <si>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</si>
  <si>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</si>
  <si>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</si>
  <si>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</si>
  <si>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</si>
  <si>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</si>
  <si>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</si>
  <si>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</si>
  <si>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</si>
  <si>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</si>
  <si>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</si>
  <si>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</si>
  <si>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</si>
  <si>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</si>
  <si>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</si>
  <si>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</si>
  <si>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</si>
  <si>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</si>
  <si>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</si>
  <si>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</si>
  <si>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</si>
  <si>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</si>
  <si>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</si>
  <si>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</si>
  <si>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</si>
  <si>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</si>
  <si>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</si>
  <si>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</si>
  <si>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</si>
  <si>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</si>
  <si>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</si>
  <si>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</si>
  <si>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</si>
  <si>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</si>
  <si>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</si>
  <si>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</si>
  <si>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</si>
  <si>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</si>
  <si>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</si>
  <si>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</si>
  <si>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</si>
  <si>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</si>
  <si>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</si>
  <si>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</si>
  <si>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</si>
  <si>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</si>
  <si>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</si>
  <si>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</si>
  <si>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</si>
  <si>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</si>
  <si>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</si>
  <si>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</si>
  <si>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</si>
  <si>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</si>
  <si>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</si>
  <si>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</si>
  <si>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</si>
  <si>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</si>
  <si>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</si>
  <si>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</si>
  <si>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</si>
  <si>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</si>
  <si>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</si>
  <si>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</si>
  <si>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</si>
  <si>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</si>
  <si>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</si>
  <si>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</si>
  <si>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</si>
  <si>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</si>
  <si>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</si>
  <si>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</si>
  <si>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</si>
  <si>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</si>
  <si>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</si>
  <si>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</si>
  <si>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</si>
  <si>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</si>
  <si>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</si>
  <si>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</si>
  <si>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</si>
  <si>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</si>
  <si>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</si>
  <si>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</si>
  <si>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</si>
  <si>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</si>
  <si>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</si>
  <si>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</si>
  <si>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</si>
  <si>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</si>
  <si>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</si>
  <si>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</si>
  <si>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</si>
  <si>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</si>
  <si>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</si>
  <si>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</si>
  <si>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</si>
  <si>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</si>
  <si>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</si>
  <si>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</si>
  <si>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</si>
  <si>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</si>
  <si>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</si>
  <si>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</si>
  <si>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</si>
  <si>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</si>
  <si>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</si>
  <si>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</si>
  <si>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</si>
  <si>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</si>
  <si>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</si>
  <si>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</si>
  <si>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</si>
  <si>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</si>
  <si>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</si>
  <si>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</si>
  <si>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</si>
  <si>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</si>
  <si>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</si>
  <si>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</si>
  <si>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</si>
  <si>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</si>
  <si>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</si>
  <si>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</si>
  <si>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</si>
  <si>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</si>
  <si>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</si>
  <si>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</si>
  <si>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</si>
  <si>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</si>
  <si>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</si>
  <si>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</si>
  <si>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</si>
  <si>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</si>
  <si>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</si>
  <si>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</si>
  <si>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</si>
  <si>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</si>
  <si>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</si>
  <si>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</si>
  <si>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</si>
  <si>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</si>
  <si>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</si>
  <si>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</si>
  <si>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</si>
  <si>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</si>
  <si>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</si>
  <si>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</si>
  <si>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</si>
  <si>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</si>
  <si>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</si>
  <si>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</si>
  <si>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</si>
  <si>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</si>
  <si>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</si>
  <si>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</si>
  <si>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</si>
  <si>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</si>
  <si>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</si>
  <si>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</si>
  <si>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</si>
  <si>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</si>
  <si>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</si>
  <si>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</si>
  <si>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</si>
  <si>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</si>
  <si>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</si>
  <si>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</si>
  <si>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</si>
  <si>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</si>
  <si>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</si>
  <si>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</si>
  <si>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</si>
  <si>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</si>
  <si>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</si>
  <si>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</si>
  <si>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</si>
  <si>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</si>
  <si>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</si>
  <si>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</si>
  <si>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</si>
  <si>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</si>
  <si>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</si>
  <si>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</si>
  <si>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</si>
  <si>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</si>
  <si>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</si>
  <si>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</si>
  <si>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</si>
  <si>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</si>
  <si>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</si>
  <si>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</si>
  <si>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</si>
  <si>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</si>
  <si>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</si>
  <si>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</si>
  <si>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</si>
  <si>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</si>
  <si>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</si>
  <si>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</si>
  <si>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</si>
  <si>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</si>
  <si>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</si>
  <si>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</si>
  <si>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</si>
  <si>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</si>
  <si>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</si>
  <si>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</si>
  <si>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</si>
  <si>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</si>
  <si>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</si>
  <si>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</si>
  <si>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</si>
  <si>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</si>
  <si>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</si>
  <si>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</si>
  <si>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</si>
  <si>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</si>
  <si>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</si>
  <si>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</si>
  <si>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</si>
  <si>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</si>
  <si>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</si>
  <si>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</si>
  <si>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</si>
  <si>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</si>
  <si>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</si>
  <si>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</si>
  <si>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</si>
  <si>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</si>
  <si>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</si>
  <si>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</si>
  <si>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</si>
  <si>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</si>
  <si>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</si>
  <si>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</si>
  <si>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</si>
  <si>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</si>
  <si>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</si>
  <si>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</si>
  <si>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</si>
  <si>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</si>
  <si>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</si>
  <si>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</si>
  <si>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</si>
  <si>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</si>
  <si>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</si>
  <si>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</si>
  <si>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</si>
  <si>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</si>
  <si>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</si>
  <si>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</si>
  <si>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</si>
  <si>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</si>
  <si>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</si>
  <si>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</si>
  <si>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</si>
  <si>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</si>
  <si>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</si>
  <si>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</si>
  <si>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</si>
  <si>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</si>
  <si>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</si>
  <si>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</si>
  <si>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</si>
  <si>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</si>
  <si>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</si>
  <si>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</si>
  <si>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</si>
  <si>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</si>
  <si>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</si>
  <si>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</si>
  <si>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</si>
  <si>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</si>
  <si>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</si>
  <si>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</si>
  <si>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</si>
  <si>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</si>
  <si>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</si>
  <si>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</si>
  <si>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</si>
  <si>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</si>
  <si>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</si>
  <si>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</si>
  <si>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</si>
  <si>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</si>
  <si>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</si>
  <si>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</si>
  <si>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</si>
  <si>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</si>
  <si>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</si>
  <si>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</si>
  <si>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</si>
  <si>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</si>
  <si>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</si>
  <si>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</si>
  <si>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</si>
  <si>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</si>
  <si>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</si>
  <si>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</si>
  <si>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</si>
  <si>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</si>
  <si>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</si>
  <si>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</si>
  <si>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</si>
  <si>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</si>
  <si>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</si>
  <si>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</si>
  <si>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</si>
  <si>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</si>
  <si>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</si>
  <si>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</si>
  <si>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</si>
  <si>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</si>
  <si>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</si>
  <si>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</si>
  <si>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</si>
  <si>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</si>
  <si>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</si>
  <si>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</si>
  <si>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</si>
  <si>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</si>
  <si>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</si>
  <si>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</si>
  <si>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</si>
  <si>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</si>
  <si>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</si>
  <si>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</si>
  <si>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</si>
  <si>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</si>
  <si>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</si>
  <si>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</si>
  <si>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</si>
  <si>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</si>
  <si>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</si>
  <si>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</si>
  <si>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</si>
  <si>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</si>
  <si>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</si>
  <si>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</si>
  <si>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</si>
  <si>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</si>
  <si>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</si>
  <si>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</si>
  <si>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</si>
  <si>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</si>
  <si>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</si>
  <si>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</si>
  <si>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</si>
  <si>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</si>
  <si>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</si>
  <si>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</si>
  <si>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</si>
  <si>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</si>
  <si>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</si>
  <si>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</si>
  <si>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</si>
  <si>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</si>
  <si>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</si>
  <si>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</si>
  <si>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</si>
  <si>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</si>
  <si>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</si>
  <si>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</si>
  <si>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</si>
  <si>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</si>
  <si>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</si>
  <si>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</si>
  <si>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</si>
  <si>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</si>
  <si>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</si>
  <si>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</si>
  <si>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</si>
  <si>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</si>
  <si>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</si>
  <si>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</si>
  <si>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</si>
  <si>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</si>
  <si>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</si>
  <si>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</si>
  <si>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</si>
  <si>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</si>
  <si>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</si>
  <si>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</si>
  <si>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</si>
  <si>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</si>
  <si>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</si>
  <si>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</si>
  <si>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</si>
  <si>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</si>
  <si>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</si>
  <si>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</si>
  <si>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</si>
  <si>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</si>
  <si>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</si>
  <si>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</si>
  <si>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</si>
  <si>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</si>
  <si>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</si>
  <si>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</si>
  <si>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</si>
  <si>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</si>
  <si>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</si>
  <si>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</si>
  <si>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</si>
  <si>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</si>
  <si>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</si>
  <si>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</si>
  <si>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</si>
  <si>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</si>
  <si>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</si>
  <si>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</si>
  <si>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</si>
  <si>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</si>
  <si>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</si>
  <si>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</si>
  <si>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</si>
  <si>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</si>
  <si>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</si>
  <si>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</si>
  <si>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</si>
  <si>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</si>
  <si>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</si>
  <si>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</si>
  <si>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</si>
  <si>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</si>
  <si>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</si>
  <si>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</si>
  <si>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</si>
  <si>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</si>
  <si>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</si>
  <si>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</si>
  <si>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</si>
  <si>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</si>
  <si>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</si>
  <si>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</si>
  <si>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</si>
  <si>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</si>
  <si>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</si>
  <si>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</si>
  <si>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</si>
  <si>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</si>
  <si>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</si>
  <si>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</si>
  <si>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</si>
  <si>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</si>
  <si>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</si>
  <si>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</si>
  <si>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</si>
  <si>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</si>
  <si>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</si>
  <si>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</si>
  <si>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</si>
  <si>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</si>
  <si>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</si>
  <si>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</si>
  <si>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</si>
  <si>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</si>
  <si>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</si>
  <si>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</si>
  <si>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</si>
  <si>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</si>
  <si>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</si>
  <si>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</si>
  <si>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</si>
  <si>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</si>
  <si>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</si>
  <si>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</si>
  <si>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</si>
  <si>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</si>
  <si>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</si>
  <si>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</si>
  <si>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</si>
  <si>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</si>
  <si>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</si>
  <si>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</si>
  <si>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</si>
  <si>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</si>
  <si>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</si>
  <si>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</si>
  <si>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</si>
  <si>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</si>
  <si>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</si>
  <si>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</si>
  <si>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</si>
  <si>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</si>
  <si>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</si>
  <si>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</si>
  <si>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</si>
  <si>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</si>
  <si>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</si>
  <si>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</si>
  <si>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</si>
  <si>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</si>
  <si>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</si>
  <si>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</si>
  <si>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</si>
  <si>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</si>
  <si>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</si>
  <si>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</si>
  <si>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</si>
  <si>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</si>
  <si>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</si>
  <si>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</si>
  <si>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</si>
  <si>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</si>
  <si>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</si>
  <si>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</si>
  <si>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</si>
  <si>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</si>
  <si>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</si>
  <si>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</si>
  <si>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</si>
  <si>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</si>
  <si>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</si>
  <si>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</si>
  <si>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</si>
  <si>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</si>
  <si>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</si>
  <si>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</si>
  <si>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</si>
  <si>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</si>
  <si>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</si>
  <si>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</si>
  <si>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</si>
  <si>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</si>
  <si>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</si>
  <si>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</si>
  <si>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</si>
  <si>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</si>
  <si>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</si>
  <si>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</si>
  <si>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</si>
  <si>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</si>
  <si>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</si>
  <si>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</si>
  <si>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</si>
  <si>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</si>
  <si>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</si>
  <si>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</si>
  <si>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</si>
  <si>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</si>
  <si>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</si>
  <si>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</si>
  <si>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</si>
  <si>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</si>
  <si>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</si>
  <si>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</si>
  <si>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</si>
  <si>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</si>
  <si>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</si>
  <si>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</si>
  <si>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</si>
  <si>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</si>
  <si>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</si>
  <si>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</si>
  <si>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</si>
  <si>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</si>
  <si>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</si>
  <si>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</si>
  <si>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</si>
  <si>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</si>
  <si>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</si>
  <si>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</si>
  <si>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</si>
  <si>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</si>
  <si>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</si>
  <si>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</si>
  <si>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</si>
  <si>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</si>
  <si>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</si>
  <si>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</si>
  <si>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</si>
  <si>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</si>
  <si>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</si>
  <si>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</si>
  <si>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</si>
  <si>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</si>
  <si>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</si>
  <si>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</si>
  <si>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</si>
  <si>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</si>
  <si>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</si>
  <si>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</si>
  <si>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</si>
  <si>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</si>
  <si>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</si>
  <si>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</si>
  <si>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</si>
  <si>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</si>
  <si>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</si>
  <si>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</si>
  <si>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</si>
  <si>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</si>
  <si>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</si>
  <si>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</si>
  <si>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</si>
  <si>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</si>
  <si>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</si>
  <si>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</si>
  <si>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</si>
  <si>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</si>
  <si>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</si>
  <si>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</si>
  <si>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</si>
  <si>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</si>
  <si>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</si>
  <si>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</si>
  <si>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</si>
  <si>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</si>
  <si>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</si>
  <si>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</si>
  <si>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</si>
  <si>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</si>
  <si>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</si>
  <si>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</si>
  <si>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</si>
  <si>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</si>
  <si>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</si>
  <si>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</si>
  <si>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</si>
  <si>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</si>
  <si>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</si>
  <si>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</si>
  <si>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</si>
  <si>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</si>
  <si>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</si>
  <si>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</si>
  <si>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</si>
  <si>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</si>
  <si>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</si>
  <si>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</si>
  <si>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</si>
  <si>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</si>
  <si>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</si>
  <si>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</si>
  <si>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</si>
  <si>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</si>
  <si>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</si>
  <si>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</si>
  <si>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</si>
  <si>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</si>
  <si>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</si>
  <si>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</si>
  <si>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</si>
  <si>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</si>
  <si>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</si>
  <si>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</si>
  <si>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</si>
  <si>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</si>
  <si>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</si>
  <si>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</si>
  <si>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</si>
  <si>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</si>
  <si>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</si>
  <si>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</si>
  <si>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</si>
  <si>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</si>
  <si>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</si>
  <si>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</si>
  <si>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</si>
  <si>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</si>
  <si>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</si>
  <si>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</si>
  <si>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</si>
  <si>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</si>
  <si>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</si>
  <si>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</si>
  <si>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</si>
  <si>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</si>
  <si>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</si>
  <si>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</si>
  <si>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</si>
  <si>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</si>
  <si>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</si>
  <si>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</si>
  <si>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</si>
  <si>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</si>
  <si>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</si>
  <si>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</si>
  <si>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</si>
  <si>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</si>
  <si>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</si>
  <si>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</si>
  <si>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</si>
  <si>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</si>
  <si>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</si>
  <si>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</si>
  <si>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</si>
  <si>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</si>
  <si>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</si>
  <si>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</si>
  <si>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</si>
  <si>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</si>
  <si>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</si>
  <si>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</si>
  <si>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</si>
  <si>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</si>
  <si>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</si>
  <si>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</si>
  <si>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</si>
  <si>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</si>
  <si>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</si>
  <si>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</si>
  <si>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</si>
  <si>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</si>
  <si>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</si>
  <si>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</si>
  <si>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</si>
  <si>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</si>
  <si>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</si>
  <si>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</si>
  <si>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</si>
  <si>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</si>
  <si>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</si>
  <si>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</si>
  <si>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</si>
  <si>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</si>
  <si>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</si>
  <si>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</si>
  <si>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</si>
  <si>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</si>
  <si>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</si>
  <si>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</si>
  <si>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</si>
  <si>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</si>
  <si>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</si>
  <si>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</si>
  <si>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</si>
  <si>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</si>
  <si>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</si>
  <si>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</si>
  <si>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</si>
  <si>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</si>
  <si>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</si>
  <si>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</si>
  <si>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</si>
  <si>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</si>
  <si>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</si>
  <si>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</si>
  <si>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</si>
  <si>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</si>
  <si>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</si>
  <si>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</si>
  <si>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</si>
  <si>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</si>
  <si>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</si>
  <si>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</si>
  <si>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</si>
  <si>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</si>
  <si>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</si>
  <si>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</si>
  <si>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</si>
  <si>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</si>
  <si>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</si>
  <si>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</si>
  <si>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</si>
  <si>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</si>
  <si>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</si>
  <si>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</si>
  <si>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</si>
  <si>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</si>
  <si>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</si>
  <si>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</si>
  <si>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</si>
  <si>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</si>
  <si>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</si>
  <si>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</si>
  <si>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</si>
  <si>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</si>
  <si>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</si>
  <si>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</si>
  <si>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</si>
  <si>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</si>
  <si>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</si>
  <si>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</si>
  <si>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</si>
  <si>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</si>
  <si>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</si>
  <si>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</si>
  <si>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</si>
  <si>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</si>
  <si>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</si>
  <si>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</si>
  <si>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</si>
  <si>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</si>
  <si>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</si>
  <si>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</si>
  <si>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</si>
  <si>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</si>
  <si>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</si>
  <si>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</si>
  <si>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</si>
  <si>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</si>
  <si>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</si>
  <si>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</si>
  <si>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</si>
  <si>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</si>
  <si>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</si>
  <si>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</si>
  <si>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</si>
  <si>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</si>
  <si>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</si>
  <si>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</si>
  <si>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</si>
  <si>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</si>
  <si>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</si>
  <si>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</si>
  <si>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</si>
  <si>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</si>
  <si>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</si>
  <si>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</si>
  <si>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</si>
  <si>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</si>
  <si>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</si>
  <si>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</si>
  <si>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</si>
  <si>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</si>
  <si>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</si>
  <si>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</si>
  <si>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</si>
  <si>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</si>
  <si>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</si>
  <si>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</si>
  <si>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</si>
  <si>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</si>
  <si>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</si>
  <si>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</si>
  <si>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</si>
  <si>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</si>
  <si>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</si>
  <si>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</si>
  <si>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</si>
  <si>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</si>
  <si>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</si>
  <si>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</si>
  <si>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</si>
  <si>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</si>
  <si>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</si>
  <si>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</si>
  <si>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</si>
  <si>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</si>
  <si>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</si>
  <si>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</si>
  <si>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</si>
  <si>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</si>
  <si>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</si>
  <si>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</si>
  <si>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</si>
  <si>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</si>
  <si>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</si>
  <si>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</si>
  <si>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</si>
  <si>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</si>
  <si>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</si>
  <si>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</si>
  <si>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</si>
  <si>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</si>
  <si>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</si>
  <si>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</si>
  <si>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</si>
  <si>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</si>
  <si>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</si>
  <si>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</si>
  <si>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</si>
  <si>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</si>
  <si>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</si>
  <si>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</si>
  <si>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</si>
  <si>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</si>
  <si>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</si>
  <si>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</si>
  <si>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</si>
  <si>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</si>
  <si>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</si>
  <si>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</si>
  <si>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</si>
  <si>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</si>
  <si>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</si>
  <si>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</si>
  <si>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</si>
  <si>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</si>
  <si>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</si>
  <si>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</si>
  <si>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</si>
  <si>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</si>
  <si>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</si>
  <si>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</si>
  <si>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</si>
  <si>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</si>
  <si>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</si>
  <si>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</si>
  <si>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</si>
  <si>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</si>
  <si>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</si>
  <si>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</si>
  <si>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</si>
  <si>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</si>
  <si>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</si>
  <si>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</si>
  <si>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</si>
  <si>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</si>
  <si>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</si>
  <si>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</si>
  <si>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</si>
  <si>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</si>
  <si>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</si>
  <si>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</si>
  <si>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</si>
  <si>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</si>
  <si>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</si>
  <si>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</si>
  <si>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</si>
  <si>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</si>
  <si>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</si>
  <si>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</si>
  <si>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</si>
  <si>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</si>
  <si>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</si>
  <si>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</si>
  <si>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</si>
  <si>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</si>
  <si>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</si>
  <si>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</si>
  <si>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</si>
  <si>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</si>
  <si>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</si>
  <si>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</si>
  <si>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</si>
  <si>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</si>
  <si>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</si>
  <si>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</si>
  <si>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</si>
  <si>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</si>
  <si>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</si>
  <si>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</si>
  <si>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</si>
  <si>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</si>
  <si>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</si>
  <si>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</si>
  <si>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</si>
  <si>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</si>
  <si>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</si>
  <si>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</si>
  <si>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</si>
  <si>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</si>
  <si>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</si>
  <si>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</si>
  <si>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</si>
  <si>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</si>
  <si>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</si>
  <si>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</si>
  <si>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</si>
  <si>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</si>
  <si>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</si>
  <si>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</si>
  <si>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</si>
  <si>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</si>
  <si>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</si>
  <si>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</si>
  <si>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</si>
  <si>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</si>
  <si>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</si>
  <si>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</si>
  <si>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</si>
  <si>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</si>
  <si>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</si>
  <si>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</si>
  <si>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</si>
  <si>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</si>
  <si>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</si>
  <si>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</si>
  <si>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</si>
  <si>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</si>
  <si>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</si>
  <si>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</si>
  <si>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</si>
  <si>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</si>
  <si>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</si>
  <si>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</si>
  <si>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</si>
  <si>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</si>
  <si>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</si>
  <si>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</si>
  <si>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</si>
  <si>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</si>
  <si>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</si>
  <si>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</si>
  <si>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</si>
  <si>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</si>
  <si>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</si>
  <si>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</si>
  <si>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</si>
  <si>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</si>
  <si>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</si>
  <si>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</si>
  <si>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</si>
  <si>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</si>
  <si>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</si>
  <si>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</si>
  <si>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</si>
  <si>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</si>
  <si>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</si>
  <si>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</si>
  <si>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</si>
  <si>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</si>
  <si>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</si>
  <si>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</si>
  <si>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</si>
  <si>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</si>
  <si>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</si>
  <si>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</si>
  <si>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</si>
  <si>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</si>
  <si>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</si>
  <si>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</si>
  <si>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</si>
  <si>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</si>
  <si>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</si>
  <si>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</si>
  <si>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</si>
  <si>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</si>
  <si>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</si>
  <si>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</si>
  <si>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</si>
  <si>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</si>
  <si>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</si>
  <si>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</si>
  <si>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</si>
  <si>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</si>
  <si>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</si>
  <si>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</si>
  <si>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</si>
  <si>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</si>
  <si>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</si>
  <si>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</si>
  <si>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</si>
  <si>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</si>
  <si>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</si>
  <si>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</si>
  <si>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</si>
  <si>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</si>
  <si>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</si>
  <si>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</si>
  <si>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</si>
  <si>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</si>
  <si>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</si>
  <si>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</si>
  <si>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</si>
  <si>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</si>
  <si>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</si>
  <si>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</si>
  <si>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</si>
  <si>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</si>
  <si>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</si>
  <si>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</si>
  <si>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</si>
  <si>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</si>
  <si>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</si>
  <si>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</si>
  <si>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</si>
  <si>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</si>
  <si>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</si>
  <si>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</si>
  <si>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</si>
  <si>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</si>
  <si>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</si>
  <si>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</si>
  <si>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</si>
  <si>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</si>
  <si>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</si>
  <si>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</si>
  <si>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</si>
  <si>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</si>
  <si>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</si>
  <si>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</si>
  <si>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</si>
  <si>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</si>
  <si>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</si>
  <si>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</si>
  <si>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</si>
  <si>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</si>
  <si>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</si>
  <si>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</si>
  <si>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</si>
  <si>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</si>
  <si>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</si>
  <si>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</si>
  <si>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</si>
  <si>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</si>
  <si>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</si>
  <si>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</si>
  <si>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</si>
  <si>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</si>
  <si>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</si>
  <si>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</si>
  <si>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</si>
  <si>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</si>
  <si>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</si>
  <si>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</si>
  <si>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</si>
  <si>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</si>
  <si>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</si>
  <si>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</si>
  <si>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</si>
  <si>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</si>
  <si>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</si>
  <si>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</si>
  <si>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</si>
  <si>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</si>
  <si>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</si>
  <si>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</si>
  <si>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</si>
  <si>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</si>
  <si>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</si>
  <si>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</si>
  <si>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</si>
  <si>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</si>
  <si>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</si>
  <si>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</si>
  <si>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</si>
  <si>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</si>
  <si>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</si>
  <si>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</si>
  <si>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</si>
  <si>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</si>
  <si>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</si>
  <si>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</si>
  <si>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</si>
  <si>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</si>
  <si>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</si>
  <si>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</si>
  <si>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</si>
  <si>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</si>
  <si>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</si>
  <si>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</si>
  <si>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</si>
  <si>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</si>
  <si>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</si>
  <si>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</si>
  <si>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</si>
  <si>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</si>
  <si>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</si>
  <si>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</si>
  <si>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</si>
  <si>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</si>
  <si>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</si>
  <si>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</si>
  <si>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</si>
  <si>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</si>
  <si>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</si>
  <si>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</si>
  <si>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</si>
  <si>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</si>
  <si>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</si>
  <si>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</si>
  <si>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</si>
  <si>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</si>
  <si>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</si>
  <si>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</si>
  <si>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</si>
  <si>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</si>
  <si>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</si>
  <si>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</si>
  <si>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</si>
  <si>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</si>
  <si>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</si>
  <si>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</si>
  <si>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</si>
  <si>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</si>
  <si>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</si>
  <si>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</si>
  <si>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</si>
  <si>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</si>
  <si>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</si>
  <si>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</si>
  <si>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</si>
  <si>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</si>
  <si>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</si>
  <si>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</si>
  <si>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</si>
  <si>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</si>
  <si>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</si>
  <si>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</si>
  <si>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</si>
  <si>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</si>
  <si>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</si>
  <si>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</si>
  <si>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</si>
  <si>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</si>
  <si>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</si>
  <si>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</si>
  <si>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</si>
  <si>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</si>
  <si>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</si>
  <si>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</si>
  <si>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</si>
  <si>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</si>
  <si>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</si>
  <si>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</si>
  <si>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</si>
  <si>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</si>
  <si>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</si>
  <si>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</si>
  <si>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</si>
  <si>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</si>
  <si>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</si>
  <si>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</si>
  <si>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</si>
  <si>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</si>
  <si>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</si>
  <si>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</si>
  <si>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</si>
  <si>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</si>
  <si>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</si>
  <si>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</si>
  <si>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</si>
  <si>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</si>
  <si>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</si>
  <si>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</si>
  <si>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</si>
  <si>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</si>
  <si>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</si>
  <si>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</si>
  <si>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</si>
  <si>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</si>
  <si>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</si>
  <si>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</si>
  <si>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</si>
  <si>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</si>
  <si>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</si>
  <si>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</si>
  <si>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</si>
  <si>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</si>
  <si>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</si>
  <si>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</si>
  <si>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</si>
  <si>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</si>
  <si>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</si>
  <si>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</si>
  <si>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</si>
  <si>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</si>
  <si>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</si>
  <si>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</si>
  <si>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</si>
  <si>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</si>
  <si>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</si>
  <si>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</si>
  <si>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</si>
  <si>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</si>
  <si>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</si>
  <si>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</si>
  <si>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</si>
  <si>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</si>
  <si>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</si>
  <si>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</si>
  <si>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</si>
  <si>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</si>
  <si>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</si>
  <si>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</si>
  <si>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</si>
  <si>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</si>
  <si>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</si>
  <si>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</si>
  <si>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</si>
  <si>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</si>
  <si>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</si>
  <si>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</si>
  <si>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</si>
  <si>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</si>
  <si>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</si>
  <si>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</si>
  <si>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</si>
  <si>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</si>
  <si>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</si>
  <si>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</si>
  <si>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</si>
  <si>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</si>
  <si>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</si>
  <si>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</si>
  <si>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</si>
  <si>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</si>
  <si>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</si>
  <si>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</si>
  <si>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</si>
  <si>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</si>
  <si>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</si>
  <si>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</si>
  <si>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</si>
  <si>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</si>
  <si>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</si>
  <si>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</si>
  <si>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</si>
  <si>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</si>
  <si>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</si>
  <si>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</si>
  <si>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</si>
  <si>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</si>
  <si>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</si>
  <si>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</si>
  <si>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</si>
  <si>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</si>
  <si>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</si>
  <si>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</si>
  <si>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</si>
  <si>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</si>
  <si>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</si>
  <si>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</si>
  <si>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</si>
  <si>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</si>
  <si>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</si>
  <si>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</si>
  <si>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</si>
  <si>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</si>
  <si>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</si>
  <si>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</si>
  <si>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</si>
  <si>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</si>
  <si>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</si>
  <si>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</si>
  <si>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</si>
  <si>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</si>
  <si>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</si>
  <si>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</si>
  <si>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</si>
  <si>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</si>
  <si>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</si>
  <si>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</si>
  <si>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</si>
  <si>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</si>
  <si>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</si>
  <si>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</si>
  <si>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</si>
  <si>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</si>
  <si>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</si>
  <si>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</si>
  <si>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</si>
  <si>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</si>
  <si>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</si>
  <si>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</si>
  <si>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</si>
  <si>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</si>
  <si>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</si>
  <si>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</si>
  <si>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</si>
  <si>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</si>
  <si>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</si>
  <si>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</si>
  <si>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</si>
  <si>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</si>
  <si>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</si>
  <si>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</si>
  <si>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</si>
  <si>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</si>
  <si>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</si>
  <si>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</si>
  <si>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</si>
  <si>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</si>
  <si>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</si>
  <si>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</si>
  <si>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</si>
  <si>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</si>
  <si>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</si>
  <si>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</si>
  <si>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</si>
  <si>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</si>
  <si>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</si>
  <si>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</si>
  <si>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</si>
  <si>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</si>
  <si>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</si>
  <si>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</si>
  <si>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</si>
  <si>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</si>
  <si>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</si>
  <si>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</si>
  <si>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</si>
  <si>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</si>
  <si>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</si>
  <si>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</si>
  <si>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</si>
  <si>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</si>
  <si>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</si>
  <si>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</si>
  <si>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</si>
  <si>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</si>
  <si>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</si>
  <si>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</si>
  <si>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</si>
  <si>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</si>
  <si>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</si>
  <si>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</si>
  <si>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</si>
  <si>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</si>
  <si>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</si>
  <si>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</si>
  <si>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</si>
  <si>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</si>
  <si>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</si>
  <si>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</si>
  <si>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</si>
  <si>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</si>
  <si>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</si>
  <si>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</si>
  <si>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</si>
  <si>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</si>
  <si>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</si>
  <si>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</si>
  <si>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</si>
  <si>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</si>
  <si>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</si>
  <si>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</si>
  <si>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</si>
  <si>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</si>
  <si>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</si>
  <si>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</si>
  <si>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</si>
  <si>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</si>
  <si>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</si>
  <si>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</si>
  <si>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</si>
  <si>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Mack &amp; Associates, P.C.</t>
  </si>
  <si>
    <t>Tawnya Mack, CPA</t>
  </si>
  <si>
    <t>116 E. Washington St., Suite One</t>
  </si>
  <si>
    <t>Morris</t>
  </si>
  <si>
    <t>IL</t>
  </si>
  <si>
    <t>815-942-3306</t>
  </si>
  <si>
    <t>815-942-9430</t>
  </si>
  <si>
    <t>066-005100</t>
  </si>
  <si>
    <t>tmack@mackcpas.com</t>
  </si>
  <si>
    <t>x</t>
  </si>
  <si>
    <t>Sangamon</t>
  </si>
  <si>
    <t>201 W Mulberry</t>
  </si>
  <si>
    <t>Chatham</t>
  </si>
  <si>
    <t>camontgomery@bcsd5.org</t>
  </si>
  <si>
    <t>Dr. Douglas Wood</t>
  </si>
  <si>
    <t>dwood@bcsd5.org</t>
  </si>
  <si>
    <t>217-483-2416</t>
  </si>
  <si>
    <t>217-483-2940</t>
  </si>
  <si>
    <t>PDF in Opinion Page with signature</t>
  </si>
  <si>
    <t>Series 2010A</t>
  </si>
  <si>
    <t>Series 2010B</t>
  </si>
  <si>
    <t>Series 2012</t>
  </si>
  <si>
    <t>Series 2013</t>
  </si>
  <si>
    <t>Series 2014A</t>
  </si>
  <si>
    <t>Series 2014B</t>
  </si>
  <si>
    <t>Series 2014C</t>
  </si>
  <si>
    <t>Series 2015A</t>
  </si>
  <si>
    <t>Series 2015B</t>
  </si>
  <si>
    <t>Series 2015C</t>
  </si>
  <si>
    <t>Series 2016</t>
  </si>
  <si>
    <t>CACC</t>
  </si>
  <si>
    <t>Rochester CUSD 3A</t>
  </si>
  <si>
    <t>Page 10, Line 81 - Educational Fund:  Athletic participation fees.</t>
  </si>
  <si>
    <t>Page 10, Line 91 - Educational Fund:  Sales of physical education uniforms and locks.</t>
  </si>
  <si>
    <t>Page 11, Line 107 - Educational Fund:  RevTrack fees collected, and other miscellaneous receipts.</t>
  </si>
  <si>
    <t>Page 11, Line 107 - Operations &amp; Maintenance Fund:  Other miscellaneous receipts.</t>
  </si>
  <si>
    <t>Page 11, Line 107 - Transportation Fund:  Refunds, insurance reimbursements, and other miscellaneous receipts.</t>
  </si>
  <si>
    <t>Page 15, Line 41 - Educational Fund:  Expenditures for physical therapy, vision, and hearing services.</t>
  </si>
  <si>
    <t>Page 14, Line 265 - Educational Fund:  STEP Grant received.</t>
  </si>
  <si>
    <t>Page 19, Line 237 - IMRF &amp; SS Fund:  Employee benefits for physical therapy, vision, and hearing services employees.</t>
  </si>
  <si>
    <t>Page 13, Line 208 - Title IV- Student support and academic enrichment</t>
  </si>
  <si>
    <t>O&amp;M - O&amp;M PLANT - PURCHASED SERVICES</t>
  </si>
  <si>
    <t>20-2540-300</t>
  </si>
  <si>
    <t>BACON &amp; VAN BUSKIRK GLASS CO</t>
  </si>
  <si>
    <t>DUDE SOLUTIONS</t>
  </si>
  <si>
    <t>ENVIRONMENTAL CONSULTANTS, LLC</t>
  </si>
  <si>
    <t>GEORGE ALARM COMPANY, INC.</t>
  </si>
  <si>
    <t>HENSON ROBINSON COMPANY</t>
  </si>
  <si>
    <t>THERMAL MECHANICS, INC.</t>
  </si>
  <si>
    <t>ED - STAFF SERVICES - PURCHASED SERVICES</t>
  </si>
  <si>
    <t>10-2640-300</t>
  </si>
  <si>
    <t>AMERICAN CENTRAL INSURANCE</t>
  </si>
  <si>
    <t>ED - DATA PROCESSING - PURCHASED SERVICES</t>
  </si>
  <si>
    <t>10-2660-300</t>
  </si>
  <si>
    <t>SENTINEL TECHNOLOGIES</t>
  </si>
  <si>
    <t>US DEPARTMENT OF EDUCATION:</t>
  </si>
  <si>
    <t xml:space="preserve">  PASSED THROUGH ISBE:</t>
  </si>
  <si>
    <t>84.010A</t>
  </si>
  <si>
    <t xml:space="preserve">    TITLE I - LOW INCOME - 2018</t>
  </si>
  <si>
    <t>2018-4300</t>
  </si>
  <si>
    <t xml:space="preserve">      TOTAL TITLE I - LOW INCOME</t>
  </si>
  <si>
    <t>84.367A</t>
  </si>
  <si>
    <t xml:space="preserve">    TITLE II - TEACHER QUALITY - 2018</t>
  </si>
  <si>
    <t>2018-4932</t>
  </si>
  <si>
    <t xml:space="preserve">      TOTAL TITLE II - TEACHER QUALITY</t>
  </si>
  <si>
    <t xml:space="preserve">    SPECIAL EDUCATION CLUSTER (M):</t>
  </si>
  <si>
    <t>84.027A</t>
  </si>
  <si>
    <t xml:space="preserve">      IDEA - SPECIAL EDUCATION FLOW-THRU 2018</t>
  </si>
  <si>
    <t>2018-4620</t>
  </si>
  <si>
    <t>N/A</t>
  </si>
  <si>
    <t xml:space="preserve">      IDEA - SPECIAL EDUCATION - ROOM &amp; BOARD 2018</t>
  </si>
  <si>
    <t>2018-4625</t>
  </si>
  <si>
    <t xml:space="preserve">        TOTAL IDEA</t>
  </si>
  <si>
    <t>US DEPARTMENT OF EDUCATION (CONT):</t>
  </si>
  <si>
    <t xml:space="preserve">  PASSED THROUGH ISBE (CONT):</t>
  </si>
  <si>
    <t xml:space="preserve">    SPECIAL EDUCATION CLUSTER (M) (CONT):</t>
  </si>
  <si>
    <t>84.173A</t>
  </si>
  <si>
    <t xml:space="preserve">      IDEA - SPEC. ED. - PRESCHOOL 2018</t>
  </si>
  <si>
    <t>2018-4600</t>
  </si>
  <si>
    <t xml:space="preserve">        TOTAL IDEA PRESCHOOL</t>
  </si>
  <si>
    <t xml:space="preserve">    TOTAL SPECIAL EDUCATION CLUSTER</t>
  </si>
  <si>
    <t>TOTAL US DEPARTMENT OF EDUCATION</t>
  </si>
  <si>
    <t xml:space="preserve">  TOTAL PASSED THROUGH ISBE</t>
  </si>
  <si>
    <t xml:space="preserve">  PASSED THROUGH IL DHS:</t>
  </si>
  <si>
    <t xml:space="preserve">  STEP  - VR GRANT</t>
  </si>
  <si>
    <t>US DEPARTMENT OF AGRICULTURE:</t>
  </si>
  <si>
    <t xml:space="preserve">    PASSED THROUGH U.S. DoD:</t>
  </si>
  <si>
    <t xml:space="preserve">      COMMODITY CREDIT</t>
  </si>
  <si>
    <t xml:space="preserve">    PASSED THROUGH ISBE:</t>
  </si>
  <si>
    <t xml:space="preserve">      NATIONAL SCHOOL LUNCH PROGRAM - 2018</t>
  </si>
  <si>
    <t>2018-4210</t>
  </si>
  <si>
    <t xml:space="preserve">    TOTAL NATIONAL SCHOOL LUNCH PROGRAM</t>
  </si>
  <si>
    <t xml:space="preserve">      SPECIAL MILK PROGRAM - 2018</t>
  </si>
  <si>
    <t>2018-4215</t>
  </si>
  <si>
    <t xml:space="preserve">    TOTAL SPECIAL MILK PROGRAM</t>
  </si>
  <si>
    <t xml:space="preserve">      SCHOOL BREAKFAST PROGRAM - 2018</t>
  </si>
  <si>
    <t>2018-4220</t>
  </si>
  <si>
    <t xml:space="preserve">    TOTAL SCHOOL BREAKFAST PROGRAM</t>
  </si>
  <si>
    <t xml:space="preserve">    TOTAL PASSED THROUGH ISBE</t>
  </si>
  <si>
    <t>TOTAL US DEPARTMENT OF AGRICULTURE</t>
  </si>
  <si>
    <t xml:space="preserve">  CHILD NUTRITION CLUSTER (M):</t>
  </si>
  <si>
    <t>US DEPARTMENT OF HEALTH &amp; HUMAN SERV:</t>
  </si>
  <si>
    <t xml:space="preserve">  PASSED THROUGH IL DCHFS:</t>
  </si>
  <si>
    <t xml:space="preserve">    MEDICAL ASSISTANCE PROGRAM - 2018</t>
  </si>
  <si>
    <t>2018-4991</t>
  </si>
  <si>
    <t>TOTAL US DEPARTMENT OF HEALTH &amp; FAMILY SVC.</t>
  </si>
  <si>
    <t>TOTAL FEDERAL AWARDS</t>
  </si>
  <si>
    <t xml:space="preserve">    TITLE I - LOW INCOME - 2019</t>
  </si>
  <si>
    <t xml:space="preserve">    TITLE II - TEACHER QUALITY - 2019</t>
  </si>
  <si>
    <t xml:space="preserve">      IDEA - SPECIAL EDUCATION FLOW-THRU 2019</t>
  </si>
  <si>
    <t xml:space="preserve">      IDEA - SPECIAL EDUCATION - ROOM &amp; BOARD 2019</t>
  </si>
  <si>
    <t>2019-4625</t>
  </si>
  <si>
    <t>2019-4300</t>
  </si>
  <si>
    <t>2019-4932</t>
  </si>
  <si>
    <t>2019-4620</t>
  </si>
  <si>
    <t xml:space="preserve">    TITLE IV- STUDENT SUPPORT</t>
  </si>
  <si>
    <t>2019-440</t>
  </si>
  <si>
    <t xml:space="preserve">      IDEA - SPEC. ED. - PRESCHOOL 2019</t>
  </si>
  <si>
    <t>2019-4999</t>
  </si>
  <si>
    <t>2019-4600</t>
  </si>
  <si>
    <t xml:space="preserve">      NATIONAL SCHOOL LUNCH PROGRAM - 2019</t>
  </si>
  <si>
    <t xml:space="preserve">      SPECIAL MILK PROGRAM - 2019</t>
  </si>
  <si>
    <t xml:space="preserve">      SCHOOL BREAKFAST PROGRAM - 2019</t>
  </si>
  <si>
    <t>2019-4250</t>
  </si>
  <si>
    <t>2019-4210</t>
  </si>
  <si>
    <t>2019-4215</t>
  </si>
  <si>
    <t>2019-4220</t>
  </si>
  <si>
    <t xml:space="preserve">    MEDICAL ASSISTANCE PROGRAM - 2019</t>
  </si>
  <si>
    <t>2019-4991</t>
  </si>
  <si>
    <t>Building America Bonds Reimbursements</t>
  </si>
  <si>
    <t>None</t>
  </si>
  <si>
    <t>n/a</t>
  </si>
  <si>
    <t>Unmodified</t>
  </si>
  <si>
    <t>84.027A/ 84.173A</t>
  </si>
  <si>
    <t>Special Education Cluster</t>
  </si>
  <si>
    <t>N /A</t>
  </si>
  <si>
    <r>
      <t xml:space="preserve">Of the federal expenditures presented in the schedule, </t>
    </r>
    <r>
      <rPr>
        <b/>
        <sz val="9"/>
        <rFont val="Calibri"/>
        <family val="2"/>
        <scheme val="minor"/>
      </rPr>
      <t>Ball Chatham Community Unit School District 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</si>
  <si>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Ball Chatham Community Unit School District 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</si>
  <si>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Ball Chatham Community Unit School District 5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General-purpose financial statements.</t>
  </si>
  <si>
    <t>Ball Chatham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</si>
</sst>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9" fillId="0" borderId="0"/>
    <xf numFmtId="0" fontId="1" fillId="0" borderId="0"/>
    <xf numFmtId="0" fontId="1" fillId="0" borderId="0"/>
    <xf numFmtId="0" fontId="1"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6" fillId="0" borderId="0" xfId="19" applyFont="1"/>
    <xf numFmtId="0" fontId="1" fillId="0" borderId="157" xfId="22" applyFont="1" applyBorder="1" applyAlignment="1" applyProtection="1">
      <alignment horizontal="left" vertical="top" wrapText="1"/>
      <protection locked="0"/>
    </xf>
    <xf numFmtId="49" fontId="1" fillId="0" borderId="157" xfId="22" applyNumberFormat="1" applyFont="1" applyBorder="1" applyAlignment="1" applyProtection="1">
      <alignment horizontal="center" vertical="top"/>
      <protection locked="0"/>
    </xf>
    <xf numFmtId="0" fontId="1" fillId="0" borderId="157" xfId="22" applyFont="1" applyBorder="1" applyAlignment="1" applyProtection="1">
      <alignment vertical="top"/>
      <protection locked="0"/>
    </xf>
    <xf numFmtId="38" fontId="1" fillId="0" borderId="157" xfId="22" applyNumberFormat="1" applyBorder="1" applyAlignment="1" applyProtection="1">
      <alignment horizontal="righ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_Contracts Paid in CY 29" xfId="21" xr:uid="{00000000-0005-0000-0000-000008000000}"/>
    <cellStyle name="Normal 3_Contracts Paid in CY 29" xfId="20" xr:uid="{00000000-0005-0000-0000-000009000000}"/>
    <cellStyle name="Normal 4" xfId="16" xr:uid="{00000000-0005-0000-0000-00000A000000}"/>
    <cellStyle name="Normal 5" xfId="17" xr:uid="{00000000-0005-0000-0000-00000B000000}"/>
    <cellStyle name="Normal 5_Contracts Paid in CY 29" xfId="22"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Itemization 33" xfId="19" xr:uid="{00000000-0005-0000-0000-000015000000}"/>
    <cellStyle name="Normal_THRESHOLD CALCULATOR v3" xfId="13"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80" zoomScaleNormal="8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84" t="s">
        <v>404</v>
      </c>
      <c r="J1" s="1985"/>
      <c r="K1" s="1985"/>
      <c r="L1" s="1985"/>
      <c r="M1" s="1985"/>
      <c r="N1" s="1985"/>
      <c r="O1" s="1985"/>
      <c r="P1" s="1985"/>
      <c r="Q1" s="1985"/>
      <c r="R1" s="1985"/>
      <c r="S1" s="1985"/>
    </row>
    <row r="2" spans="1:28" ht="12" customHeight="1" x14ac:dyDescent="0.2">
      <c r="A2" s="47" t="s">
        <v>1987</v>
      </c>
      <c r="D2" s="48"/>
      <c r="I2" s="1986" t="s">
        <v>978</v>
      </c>
      <c r="J2" s="1985"/>
      <c r="K2" s="1985"/>
      <c r="L2" s="1985"/>
      <c r="M2" s="1985"/>
      <c r="N2" s="1985"/>
      <c r="O2" s="1985"/>
      <c r="P2" s="1985"/>
      <c r="Q2" s="1985"/>
      <c r="R2" s="1985"/>
      <c r="S2" s="1985"/>
    </row>
    <row r="3" spans="1:28" ht="12" customHeight="1" x14ac:dyDescent="0.2">
      <c r="A3" s="155" t="s">
        <v>1939</v>
      </c>
      <c r="B3" s="156"/>
      <c r="C3" s="156"/>
      <c r="D3" s="157"/>
      <c r="I3" s="1986" t="s">
        <v>52</v>
      </c>
      <c r="J3" s="1985"/>
      <c r="K3" s="1985"/>
      <c r="L3" s="1985"/>
      <c r="M3" s="1985"/>
      <c r="N3" s="1985"/>
      <c r="O3" s="1985"/>
      <c r="P3" s="1985"/>
      <c r="Q3" s="1985"/>
      <c r="R3" s="1985"/>
      <c r="S3" s="1985"/>
    </row>
    <row r="4" spans="1:28" ht="12" customHeight="1" x14ac:dyDescent="0.2">
      <c r="A4" s="37"/>
      <c r="I4" s="1986" t="s">
        <v>523</v>
      </c>
      <c r="J4" s="1985"/>
      <c r="K4" s="1985"/>
      <c r="L4" s="1985"/>
      <c r="M4" s="1985"/>
      <c r="N4" s="1985"/>
      <c r="O4" s="1985"/>
      <c r="P4" s="1985"/>
      <c r="Q4" s="1985"/>
      <c r="R4" s="1985"/>
      <c r="S4" s="1985"/>
    </row>
    <row r="5" spans="1:28" ht="14.1" customHeight="1" x14ac:dyDescent="0.2">
      <c r="B5" s="104" t="s">
        <v>2069</v>
      </c>
      <c r="C5" s="26" t="s">
        <v>909</v>
      </c>
      <c r="D5" s="84"/>
      <c r="E5" s="84"/>
      <c r="H5" s="38"/>
      <c r="I5" s="1994" t="s">
        <v>679</v>
      </c>
      <c r="J5" s="1993"/>
      <c r="K5" s="1993"/>
      <c r="L5" s="1993"/>
      <c r="M5" s="1993"/>
      <c r="N5" s="1993"/>
      <c r="O5" s="1993"/>
      <c r="P5" s="1993"/>
      <c r="Q5" s="1993"/>
      <c r="R5" s="1993"/>
      <c r="S5" s="1993"/>
    </row>
    <row r="6" spans="1:28" ht="14.1" customHeight="1" x14ac:dyDescent="0.2">
      <c r="B6" s="104"/>
      <c r="C6" s="26" t="s">
        <v>910</v>
      </c>
      <c r="D6" s="84"/>
      <c r="E6" s="84"/>
      <c r="I6" s="1992" t="s">
        <v>882</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673</v>
      </c>
      <c r="J9" s="1990"/>
      <c r="K9" s="1990"/>
      <c r="L9" s="1990"/>
      <c r="M9" s="1990"/>
      <c r="N9" s="1990"/>
      <c r="O9" s="1990"/>
      <c r="P9" s="1990"/>
      <c r="Q9" s="1990"/>
      <c r="R9" s="1990"/>
      <c r="S9" s="1991"/>
      <c r="T9" s="2005" t="s">
        <v>532</v>
      </c>
      <c r="U9" s="2006"/>
      <c r="V9" s="2006"/>
      <c r="W9" s="2006"/>
      <c r="X9" s="2006"/>
      <c r="Y9" s="2006"/>
      <c r="Z9" s="2006"/>
      <c r="AA9" s="2007"/>
    </row>
    <row r="10" spans="1:28" ht="13.5" customHeight="1" x14ac:dyDescent="0.2">
      <c r="A10" s="2012" t="s">
        <v>674</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954</v>
      </c>
      <c r="B11" s="2016"/>
      <c r="C11" s="2016"/>
      <c r="D11" s="2016"/>
      <c r="E11" s="2016"/>
      <c r="F11" s="2016"/>
      <c r="G11" s="2016"/>
      <c r="H11" s="2017"/>
      <c r="I11" s="27"/>
      <c r="J11" s="74"/>
      <c r="K11" s="27"/>
      <c r="O11" s="148" t="s">
        <v>2069</v>
      </c>
      <c r="P11" s="100" t="s">
        <v>201</v>
      </c>
      <c r="Q11" s="30"/>
      <c r="R11" s="28"/>
      <c r="S11" s="27"/>
      <c r="T11" s="2009"/>
      <c r="U11" s="2010"/>
      <c r="V11" s="2010"/>
      <c r="W11" s="2010"/>
      <c r="X11" s="2010"/>
      <c r="Y11" s="2010"/>
      <c r="Z11" s="2010"/>
      <c r="AA11" s="2011"/>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9">
        <v>51084005026</v>
      </c>
      <c r="B13" s="2020"/>
      <c r="C13" s="2020"/>
      <c r="D13" s="2020"/>
      <c r="E13" s="2020"/>
      <c r="F13" s="2020"/>
      <c r="G13" s="2020"/>
      <c r="H13" s="2021"/>
      <c r="I13" s="31"/>
      <c r="J13" s="30"/>
      <c r="K13" s="28"/>
      <c r="L13" s="30"/>
      <c r="M13" s="30"/>
      <c r="N13" s="30"/>
      <c r="O13" s="30"/>
      <c r="P13" s="30"/>
      <c r="Q13" s="30"/>
      <c r="R13" s="30"/>
      <c r="S13" s="30"/>
      <c r="T13" s="2024" t="s">
        <v>2060</v>
      </c>
      <c r="U13" s="2025"/>
      <c r="V13" s="2025"/>
      <c r="W13" s="2025"/>
      <c r="X13" s="2025"/>
      <c r="Y13" s="2026"/>
      <c r="Z13" s="2026"/>
      <c r="AA13" s="202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8" t="s">
        <v>2070</v>
      </c>
      <c r="B15" s="2022"/>
      <c r="C15" s="2022"/>
      <c r="D15" s="2022"/>
      <c r="E15" s="2022"/>
      <c r="F15" s="2022"/>
      <c r="G15" s="2022"/>
      <c r="H15" s="2023"/>
      <c r="T15" s="2028" t="s">
        <v>2061</v>
      </c>
      <c r="U15" s="1972"/>
      <c r="V15" s="1972"/>
      <c r="W15" s="1972"/>
      <c r="X15" s="1972"/>
      <c r="Y15" s="2029"/>
      <c r="Z15" s="2029"/>
      <c r="AA15" s="203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8" t="s">
        <v>2199</v>
      </c>
      <c r="B17" s="1979"/>
      <c r="C17" s="1979"/>
      <c r="D17" s="1979"/>
      <c r="E17" s="1979"/>
      <c r="F17" s="1979"/>
      <c r="G17" s="1979"/>
      <c r="H17" s="2004"/>
      <c r="T17" s="2035" t="s">
        <v>2062</v>
      </c>
      <c r="U17" s="2036"/>
      <c r="V17" s="2036"/>
      <c r="W17" s="2036"/>
      <c r="X17" s="2036"/>
      <c r="Y17" s="2036"/>
      <c r="Z17" s="2036"/>
      <c r="AA17" s="2037"/>
    </row>
    <row r="18" spans="1:27" ht="13.5" customHeight="1" x14ac:dyDescent="0.2">
      <c r="A18" s="85" t="s">
        <v>529</v>
      </c>
      <c r="B18" s="76"/>
      <c r="C18" s="72"/>
      <c r="D18" s="76"/>
      <c r="E18" s="76"/>
      <c r="F18" s="76"/>
      <c r="G18" s="76"/>
      <c r="H18" s="56"/>
      <c r="I18" s="2003" t="s">
        <v>675</v>
      </c>
      <c r="J18" s="1954"/>
      <c r="K18" s="1954"/>
      <c r="L18" s="1954"/>
      <c r="M18" s="1954"/>
      <c r="N18" s="1954"/>
      <c r="O18" s="1954"/>
      <c r="P18" s="1954"/>
      <c r="Q18" s="1954"/>
      <c r="R18" s="1954"/>
      <c r="S18" s="1955"/>
      <c r="T18" s="85" t="s">
        <v>710</v>
      </c>
      <c r="U18" s="51"/>
      <c r="V18" s="72"/>
      <c r="W18" s="50"/>
      <c r="X18" s="85" t="s">
        <v>265</v>
      </c>
      <c r="Y18" s="81"/>
      <c r="Z18" s="159" t="s">
        <v>676</v>
      </c>
      <c r="AA18" s="46"/>
    </row>
    <row r="19" spans="1:27" ht="13.5" customHeight="1" x14ac:dyDescent="0.2">
      <c r="A19" s="2018" t="s">
        <v>2071</v>
      </c>
      <c r="B19" s="1964"/>
      <c r="C19" s="1964"/>
      <c r="D19" s="1964"/>
      <c r="E19" s="1964"/>
      <c r="F19" s="1964"/>
      <c r="G19" s="1964"/>
      <c r="H19" s="1944"/>
      <c r="I19" s="30"/>
      <c r="J19" s="99"/>
      <c r="K19" s="40"/>
      <c r="L19" s="38"/>
      <c r="M19" s="112" t="s">
        <v>314</v>
      </c>
      <c r="P19" s="27"/>
      <c r="Q19" s="27"/>
      <c r="R19" s="27"/>
      <c r="S19" s="31"/>
      <c r="T19" s="2018" t="s">
        <v>2063</v>
      </c>
      <c r="U19" s="1943"/>
      <c r="V19" s="1943"/>
      <c r="W19" s="1944"/>
      <c r="X19" s="2033" t="s">
        <v>2064</v>
      </c>
      <c r="Y19" s="2034"/>
      <c r="Z19" s="2031">
        <v>60450</v>
      </c>
      <c r="AA19" s="203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2" t="s">
        <v>2072</v>
      </c>
      <c r="B21" s="1943"/>
      <c r="C21" s="1943"/>
      <c r="D21" s="1943"/>
      <c r="E21" s="1943"/>
      <c r="F21" s="1943"/>
      <c r="G21" s="1943"/>
      <c r="H21" s="1944"/>
      <c r="I21" s="1998" t="s">
        <v>677</v>
      </c>
      <c r="J21" s="1993"/>
      <c r="K21" s="1993"/>
      <c r="L21" s="1993"/>
      <c r="M21" s="1993"/>
      <c r="N21" s="1993"/>
      <c r="O21" s="1993"/>
      <c r="P21" s="1993"/>
      <c r="Q21" s="1993"/>
      <c r="R21" s="1993"/>
      <c r="S21" s="1999"/>
      <c r="T21" s="2042" t="s">
        <v>2065</v>
      </c>
      <c r="U21" s="2043"/>
      <c r="V21" s="2043"/>
      <c r="W21" s="2043"/>
      <c r="X21" s="2048" t="s">
        <v>2066</v>
      </c>
      <c r="Y21" s="2049"/>
      <c r="Z21" s="2049"/>
      <c r="AA21" s="2050"/>
    </row>
    <row r="22" spans="1:27" ht="13.5" customHeight="1" x14ac:dyDescent="0.2">
      <c r="A22" s="87" t="s">
        <v>530</v>
      </c>
      <c r="B22" s="59"/>
      <c r="C22" s="59"/>
      <c r="D22" s="59"/>
      <c r="E22" s="59"/>
      <c r="F22" s="59"/>
      <c r="G22" s="59"/>
      <c r="H22" s="60"/>
      <c r="I22" s="2000" t="s">
        <v>1428</v>
      </c>
      <c r="J22" s="2001"/>
      <c r="K22" s="2001"/>
      <c r="L22" s="2001"/>
      <c r="M22" s="2001"/>
      <c r="N22" s="2001"/>
      <c r="O22" s="2001"/>
      <c r="P22" s="2001"/>
      <c r="Q22" s="2001"/>
      <c r="R22" s="2001"/>
      <c r="S22" s="2002"/>
      <c r="T22" s="85" t="s">
        <v>1515</v>
      </c>
      <c r="U22" s="51"/>
      <c r="V22" s="72"/>
      <c r="W22" s="51"/>
      <c r="X22" s="160" t="s">
        <v>1317</v>
      </c>
      <c r="Z22" s="45"/>
      <c r="AA22" s="46"/>
    </row>
    <row r="23" spans="1:27" ht="13.5" customHeight="1" x14ac:dyDescent="0.2">
      <c r="A23" s="1995" t="s">
        <v>2073</v>
      </c>
      <c r="B23" s="1996"/>
      <c r="C23" s="1996"/>
      <c r="D23" s="1996"/>
      <c r="E23" s="1996"/>
      <c r="F23" s="1996"/>
      <c r="G23" s="1996"/>
      <c r="H23" s="1997"/>
      <c r="T23" s="1978" t="s">
        <v>2067</v>
      </c>
      <c r="U23" s="2041"/>
      <c r="V23" s="2041"/>
      <c r="W23" s="2041"/>
      <c r="X23" s="2045">
        <v>44530</v>
      </c>
      <c r="Y23" s="2046"/>
      <c r="Z23" s="2046"/>
      <c r="AA23" s="2047"/>
    </row>
    <row r="24" spans="1:27" ht="14.1" customHeight="1" x14ac:dyDescent="0.2">
      <c r="A24" s="88" t="s">
        <v>676</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530</v>
      </c>
      <c r="U24" s="106"/>
      <c r="V24" s="106"/>
      <c r="W24" s="106"/>
      <c r="X24" s="107"/>
      <c r="Y24" s="107"/>
      <c r="Z24" s="107"/>
      <c r="AA24" s="108"/>
    </row>
    <row r="25" spans="1:27" ht="14.1" customHeight="1" x14ac:dyDescent="0.2">
      <c r="A25" s="1942">
        <v>62629</v>
      </c>
      <c r="B25" s="1943"/>
      <c r="C25" s="1943"/>
      <c r="D25" s="1943"/>
      <c r="E25" s="1943"/>
      <c r="F25" s="1943"/>
      <c r="G25" s="1943"/>
      <c r="H25" s="1944"/>
      <c r="I25" s="113"/>
      <c r="J25" s="1967"/>
      <c r="K25" s="1967"/>
      <c r="L25" s="1967"/>
      <c r="M25" s="1967"/>
      <c r="N25" s="1967"/>
      <c r="O25" s="1967"/>
      <c r="P25" s="1967"/>
      <c r="Q25" s="1967"/>
      <c r="R25" s="1967"/>
      <c r="S25" s="1968"/>
      <c r="T25" s="2038" t="s">
        <v>2068</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3" t="s">
        <v>1510</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2069</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2069</v>
      </c>
      <c r="C30" s="124" t="s">
        <v>1163</v>
      </c>
      <c r="D30" s="28"/>
      <c r="E30" s="28"/>
      <c r="F30" s="140"/>
      <c r="G30" s="114"/>
      <c r="H30" s="114"/>
      <c r="I30" s="54"/>
      <c r="J30" s="148" t="s">
        <v>2069</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c r="K31" s="40" t="s">
        <v>884</v>
      </c>
      <c r="L31" s="148" t="s">
        <v>2069</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2069</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8" t="s">
        <v>2074</v>
      </c>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530</v>
      </c>
      <c r="B39" s="1949"/>
      <c r="C39" s="72"/>
      <c r="D39" s="69"/>
      <c r="E39" s="69"/>
      <c r="F39" s="79"/>
      <c r="G39" s="69"/>
      <c r="H39" s="56"/>
      <c r="I39" s="1948" t="s">
        <v>530</v>
      </c>
      <c r="J39" s="1949"/>
      <c r="K39" s="1949"/>
      <c r="L39" s="1949"/>
      <c r="M39" s="1949"/>
      <c r="N39" s="67"/>
      <c r="O39" s="72"/>
      <c r="P39" s="72"/>
      <c r="Q39" s="78"/>
      <c r="R39" s="72"/>
      <c r="S39" s="56"/>
      <c r="T39" s="72" t="s">
        <v>530</v>
      </c>
      <c r="U39" s="51"/>
      <c r="V39" s="72"/>
      <c r="W39" s="50"/>
      <c r="X39" s="78"/>
      <c r="Y39" s="45"/>
      <c r="Z39" s="45"/>
      <c r="AA39" s="46"/>
    </row>
    <row r="40" spans="1:27" ht="13.5" customHeight="1" x14ac:dyDescent="0.2">
      <c r="A40" s="1956" t="s">
        <v>2075</v>
      </c>
      <c r="B40" s="1957"/>
      <c r="C40" s="1958"/>
      <c r="D40" s="1958"/>
      <c r="E40" s="1958"/>
      <c r="F40" s="1959"/>
      <c r="G40" s="1959"/>
      <c r="H40" s="1960"/>
      <c r="I40" s="1981"/>
      <c r="J40" s="1982"/>
      <c r="K40" s="1982"/>
      <c r="L40" s="1982"/>
      <c r="M40" s="1982"/>
      <c r="N40" s="1982"/>
      <c r="O40" s="1982"/>
      <c r="P40" s="1982"/>
      <c r="Q40" s="1982"/>
      <c r="R40" s="1982"/>
      <c r="S40" s="1983"/>
      <c r="T40" s="1981"/>
      <c r="U40" s="2044"/>
      <c r="V40" s="1982"/>
      <c r="W40" s="1982"/>
      <c r="X40" s="1982"/>
      <c r="Y40" s="1982"/>
      <c r="Z40" s="1982"/>
      <c r="AA40" s="198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0" t="s">
        <v>2076</v>
      </c>
      <c r="B42" s="1962"/>
      <c r="C42" s="1963"/>
      <c r="D42" s="1961" t="s">
        <v>2077</v>
      </c>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6" t="s">
        <v>1610</v>
      </c>
    </row>
    <row r="23" spans="1:5" x14ac:dyDescent="0.2">
      <c r="A23" s="168"/>
      <c r="B23" s="162" t="s">
        <v>1852</v>
      </c>
      <c r="D23" s="167" t="s">
        <v>636</v>
      </c>
      <c r="E23" s="1836"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4" t="s">
        <v>1064</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690</v>
      </c>
      <c r="B40" s="2051"/>
      <c r="C40" s="2051"/>
      <c r="D40" s="2051"/>
      <c r="E40" s="2051"/>
    </row>
    <row r="41" spans="1:5" x14ac:dyDescent="0.2">
      <c r="A41" s="2052" t="s">
        <v>1607</v>
      </c>
      <c r="B41" s="2052"/>
      <c r="C41" s="2052"/>
      <c r="D41" s="2052"/>
      <c r="E41" s="2052"/>
    </row>
    <row r="42" spans="1:5" ht="12.75" customHeight="1" x14ac:dyDescent="0.2">
      <c r="A42" s="2053" t="s">
        <v>1021</v>
      </c>
      <c r="B42" s="2053"/>
      <c r="C42" s="2053"/>
      <c r="D42" s="2053"/>
      <c r="E42" s="2053"/>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4" colorId="8" zoomScale="110" zoomScaleNormal="110" workbookViewId="0">
      <selection activeCell="D120" sqref="D12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1167</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9" t="s">
        <v>1632</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312</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2069</v>
      </c>
      <c r="C53" s="179">
        <v>22</v>
      </c>
      <c r="D53" s="247" t="s">
        <v>1461</v>
      </c>
      <c r="E53" s="248"/>
      <c r="F53" s="249"/>
      <c r="G53" s="249" t="s">
        <v>1460</v>
      </c>
      <c r="H53" s="250">
        <v>35431</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1322</v>
      </c>
      <c r="B70" s="2072"/>
      <c r="C70" s="2072"/>
      <c r="D70" s="2072"/>
      <c r="E70" s="2073"/>
      <c r="F70" s="2073"/>
      <c r="G70" s="2073"/>
      <c r="H70" s="2073"/>
      <c r="I70" s="2073"/>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1319</v>
      </c>
      <c r="B83" s="2074"/>
      <c r="C83" s="2074"/>
      <c r="D83" s="2075"/>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2060</v>
      </c>
      <c r="D114" s="2065"/>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1329</v>
      </c>
      <c r="D117" s="2067"/>
      <c r="E117" s="2068"/>
      <c r="F117" s="2068"/>
      <c r="G117" s="2068"/>
      <c r="H117" s="2068"/>
      <c r="I117" s="304"/>
    </row>
    <row r="118" spans="1:9" s="181" customFormat="1" ht="24" customHeight="1" x14ac:dyDescent="0.2">
      <c r="A118" s="316"/>
      <c r="B118" s="316"/>
      <c r="C118" s="316"/>
      <c r="D118" s="323" t="s">
        <v>2078</v>
      </c>
      <c r="E118" s="322"/>
      <c r="F118" s="324"/>
      <c r="G118" s="1840"/>
      <c r="H118" s="322"/>
      <c r="I118" s="304"/>
    </row>
    <row r="119" spans="1:9" s="181" customFormat="1" ht="11.25" customHeight="1" x14ac:dyDescent="0.2">
      <c r="A119" s="325"/>
      <c r="B119" s="325"/>
      <c r="C119" s="326"/>
      <c r="D119" s="327" t="s">
        <v>360</v>
      </c>
      <c r="E119" s="310"/>
      <c r="F119" s="1839" t="s">
        <v>1901</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20" colorId="8" zoomScale="110" zoomScaleNormal="110" workbookViewId="0">
      <selection activeCell="N32" sqref="N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385</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790156855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2.7786000000000002E-2</v>
      </c>
      <c r="E10" s="356" t="s">
        <v>1004</v>
      </c>
      <c r="F10" s="355">
        <v>5.4770000000000001E-3</v>
      </c>
      <c r="G10" s="356" t="s">
        <v>1004</v>
      </c>
      <c r="H10" s="355">
        <v>1.872E-3</v>
      </c>
      <c r="I10" s="356" t="s">
        <v>1005</v>
      </c>
      <c r="J10" s="1732">
        <f>ROUND(D10+F10+H10,5)</f>
        <v>3.5139999999999998E-2</v>
      </c>
      <c r="K10" s="222"/>
      <c r="L10" s="355">
        <v>1.5300000000000001E-4</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41051648</v>
      </c>
      <c r="E16" s="356"/>
      <c r="F16" s="1733">
        <f>SUM('Acct Summary 7-8'!C17,'Acct Summary 7-8'!D17,'Acct Summary 7-8'!F17)</f>
        <v>41241800</v>
      </c>
      <c r="G16" s="356"/>
      <c r="H16" s="1733">
        <f>SUM(D16-F16)</f>
        <v>-190152</v>
      </c>
      <c r="I16" s="222"/>
      <c r="J16" s="1733">
        <f>SUM('Acct Summary 7-8'!C81,'Acct Summary 7-8'!D81,'Acct Summary 7-8'!F81,'Acct Summary 7-8'!I81)</f>
        <v>23392983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109041645.99000001</v>
      </c>
      <c r="I31" s="368"/>
      <c r="J31" s="222"/>
      <c r="K31" s="222"/>
      <c r="L31" s="222"/>
      <c r="M31" s="222"/>
    </row>
    <row r="32" spans="1:13" ht="13.35" customHeight="1" x14ac:dyDescent="0.2">
      <c r="B32" s="369" t="s">
        <v>2069</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45635000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555</v>
      </c>
      <c r="B2" s="2104"/>
      <c r="C2" s="2104"/>
      <c r="D2" s="2104"/>
      <c r="E2" s="2104"/>
      <c r="F2" s="2104"/>
      <c r="G2" s="2104"/>
      <c r="H2" s="2104"/>
      <c r="I2" s="2104"/>
      <c r="J2" s="2104"/>
      <c r="K2" s="2104"/>
      <c r="L2" s="2104"/>
      <c r="M2" s="2104"/>
      <c r="N2" s="2104"/>
      <c r="O2" s="2104"/>
      <c r="P2" s="2104"/>
      <c r="Q2" s="2104"/>
      <c r="R2" s="2104"/>
    </row>
    <row r="3" spans="1:18" ht="12.75" x14ac:dyDescent="0.2">
      <c r="A3" s="2105" t="s">
        <v>1412</v>
      </c>
      <c r="B3" s="2105"/>
      <c r="C3" s="2105"/>
      <c r="D3" s="2105"/>
      <c r="E3" s="2105"/>
      <c r="F3" s="2105"/>
      <c r="G3" s="2105"/>
      <c r="H3" s="2105"/>
      <c r="I3" s="2105"/>
      <c r="J3" s="2105"/>
      <c r="K3" s="2105"/>
      <c r="L3" s="2105"/>
      <c r="M3" s="2105"/>
      <c r="N3" s="2105"/>
      <c r="O3" s="2105"/>
      <c r="P3" s="2105"/>
      <c r="Q3" s="2105"/>
      <c r="R3" s="2105"/>
    </row>
    <row r="4" spans="1:18" x14ac:dyDescent="0.2">
      <c r="A4" s="2106" t="s">
        <v>1553</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Ball Chatham CUSD 5</v>
      </c>
      <c r="E7" s="391"/>
      <c r="G7" s="252"/>
      <c r="H7" s="387"/>
      <c r="I7" s="387"/>
      <c r="J7" s="387"/>
      <c r="K7" s="387"/>
      <c r="L7" s="329"/>
      <c r="M7" s="329"/>
      <c r="N7" s="329"/>
      <c r="O7" s="329"/>
      <c r="P7" s="329"/>
    </row>
    <row r="8" spans="1:18" ht="12.75" x14ac:dyDescent="0.2">
      <c r="A8" s="329"/>
      <c r="B8" s="329"/>
      <c r="C8" s="389" t="s">
        <v>1124</v>
      </c>
      <c r="D8" s="392">
        <f>COVER!A13</f>
        <v>51084005026</v>
      </c>
      <c r="E8" s="393"/>
      <c r="G8" s="329"/>
      <c r="H8" s="329"/>
      <c r="I8" s="329"/>
      <c r="J8" s="329"/>
      <c r="K8" s="329"/>
      <c r="L8" s="329"/>
      <c r="M8" s="329"/>
      <c r="N8" s="329"/>
      <c r="O8" s="329"/>
      <c r="P8" s="329"/>
    </row>
    <row r="9" spans="1:18" ht="12.75" x14ac:dyDescent="0.2">
      <c r="A9" s="329"/>
      <c r="B9" s="329"/>
      <c r="C9" s="389" t="s">
        <v>712</v>
      </c>
      <c r="D9" s="394" t="str">
        <f>COVER!A15</f>
        <v>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23392983</v>
      </c>
      <c r="I12" s="404"/>
      <c r="J12" s="404"/>
      <c r="K12" s="405">
        <f>TRUNC((H12/H13*100000),5)/100000</f>
        <v>0.56984272589999996</v>
      </c>
      <c r="L12" s="406"/>
      <c r="M12" s="360" t="s">
        <v>1143</v>
      </c>
      <c r="N12" s="360"/>
      <c r="O12" s="407">
        <v>0.35</v>
      </c>
      <c r="P12" s="218"/>
      <c r="Q12" s="218"/>
    </row>
    <row r="13" spans="1:18" s="408" customFormat="1" ht="12.75" x14ac:dyDescent="0.2">
      <c r="A13" s="218"/>
      <c r="B13" s="401"/>
      <c r="C13" s="2102" t="s">
        <v>1323</v>
      </c>
      <c r="D13" s="2103"/>
      <c r="E13" s="218"/>
      <c r="F13" s="409" t="s">
        <v>792</v>
      </c>
      <c r="G13" s="402"/>
      <c r="H13" s="403">
        <f>SUM('Acct Summary 7-8'!C8+'Acct Summary 7-8'!D8+'Acct Summary 7-8'!F8+'Acct Summary 7-8'!I8)+H14</f>
        <v>41051648</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41241800</v>
      </c>
      <c r="I17" s="404"/>
      <c r="J17" s="416"/>
      <c r="K17" s="405">
        <f>TRUNC((H17/H18*100000),5)/100000</f>
        <v>1.0046320186</v>
      </c>
      <c r="L17" s="406"/>
      <c r="M17" s="417" t="s">
        <v>1170</v>
      </c>
      <c r="O17" s="418" t="str">
        <f>IF(AND(O16="2", J20 &gt; 2),"1",IF(AND(O16 = "1", J20 &gt; 2),"2",IF(AND(O16="1", J20 &gt;1),"1","0")))</f>
        <v>0</v>
      </c>
      <c r="P17" s="218"/>
    </row>
    <row r="18" spans="1:18" s="408" customFormat="1" ht="11.25" x14ac:dyDescent="0.2">
      <c r="A18" s="218"/>
      <c r="B18" s="401"/>
      <c r="C18" s="2102" t="s">
        <v>1316</v>
      </c>
      <c r="D18" s="2103"/>
      <c r="E18" s="218"/>
      <c r="F18" s="419" t="s">
        <v>793</v>
      </c>
      <c r="G18" s="402"/>
      <c r="H18" s="403">
        <f>SUM('Acct Summary 7-8'!C8+'Acct Summary 7-8'!D8+'Acct Summary 7-8'!F8+'Acct Summary 7-8'!I8)+H19</f>
        <v>41051648</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101.43368720000001</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99" t="s">
        <v>1411</v>
      </c>
      <c r="D24" s="2099"/>
      <c r="E24" s="218"/>
      <c r="F24" s="218" t="s">
        <v>444</v>
      </c>
      <c r="G24" s="402"/>
      <c r="H24" s="403">
        <f>SUM('Assets-Liab 5-6'!C4+'Assets-Liab 5-6'!D4+'Assets-Liab 5-6'!F4+'Assets-Liab 5-6'!I4+'Assets-Liab 5-6'!C5+'Assets-Liab 5-6'!D5+'Assets-Liab 5-6'!F5+'Assets-Liab 5-6'!I5)</f>
        <v>23684361</v>
      </c>
      <c r="I24" s="422"/>
      <c r="J24" s="422"/>
      <c r="K24" s="423">
        <f>TRUNC(((H24/H25*100000)/100000),2)</f>
        <v>206.74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114560.55555999999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23601195.102000002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45635000</v>
      </c>
      <c r="I32" s="420"/>
      <c r="J32" s="420"/>
      <c r="K32" s="423">
        <f>TRUNC(100-((((H32/H33*100))*100)/100),2)</f>
        <v>58.14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109041645.99000001</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18" activePane="bottomLeft" state="frozen"/>
      <selection pane="bottomLeft" activeCell="C38" sqref="C38: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8"/>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9" t="s">
        <v>972</v>
      </c>
      <c r="B3" s="2110"/>
      <c r="C3" s="1559"/>
      <c r="D3" s="1560"/>
      <c r="E3" s="1560"/>
      <c r="F3" s="1560"/>
      <c r="G3" s="1560"/>
      <c r="H3" s="1560"/>
      <c r="I3" s="1560"/>
      <c r="J3" s="1560"/>
      <c r="K3" s="1560"/>
      <c r="L3" s="1560"/>
      <c r="M3" s="1561"/>
      <c r="N3" s="1562"/>
    </row>
    <row r="4" spans="1:14" ht="13.5" customHeight="1" x14ac:dyDescent="0.2">
      <c r="A4" s="463" t="s">
        <v>1650</v>
      </c>
      <c r="B4" s="464"/>
      <c r="C4" s="465">
        <v>2176727</v>
      </c>
      <c r="D4" s="466">
        <v>6218205</v>
      </c>
      <c r="E4" s="466">
        <v>2705531</v>
      </c>
      <c r="F4" s="466">
        <v>2553294</v>
      </c>
      <c r="G4" s="466">
        <v>1299831</v>
      </c>
      <c r="H4" s="466"/>
      <c r="I4" s="466">
        <v>2393308</v>
      </c>
      <c r="J4" s="467"/>
      <c r="K4" s="466">
        <v>839154</v>
      </c>
      <c r="L4" s="466">
        <v>700922</v>
      </c>
      <c r="M4" s="468"/>
      <c r="N4" s="469"/>
    </row>
    <row r="5" spans="1:14" x14ac:dyDescent="0.2">
      <c r="A5" s="463" t="s">
        <v>991</v>
      </c>
      <c r="B5" s="470">
        <v>120</v>
      </c>
      <c r="C5" s="465">
        <v>10342827</v>
      </c>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12519554</v>
      </c>
      <c r="D13" s="1737">
        <f t="shared" ref="D13:L13" si="0">SUM(D4:D12)</f>
        <v>6218205</v>
      </c>
      <c r="E13" s="1737">
        <f t="shared" si="0"/>
        <v>2705531</v>
      </c>
      <c r="F13" s="1737">
        <f t="shared" si="0"/>
        <v>2553294</v>
      </c>
      <c r="G13" s="1737">
        <f t="shared" si="0"/>
        <v>1299831</v>
      </c>
      <c r="H13" s="1737">
        <f t="shared" si="0"/>
        <v>0</v>
      </c>
      <c r="I13" s="1737">
        <f t="shared" si="0"/>
        <v>2393308</v>
      </c>
      <c r="J13" s="1737">
        <f t="shared" si="0"/>
        <v>0</v>
      </c>
      <c r="K13" s="1737">
        <f t="shared" si="0"/>
        <v>839154</v>
      </c>
      <c r="L13" s="1737">
        <f t="shared" si="0"/>
        <v>700922</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4426429</v>
      </c>
      <c r="N16" s="484"/>
    </row>
    <row r="17" spans="1:14" s="485" customFormat="1" ht="12.75" customHeight="1" x14ac:dyDescent="0.2">
      <c r="A17" s="482" t="s">
        <v>1402</v>
      </c>
      <c r="B17" s="483">
        <v>230</v>
      </c>
      <c r="C17" s="477"/>
      <c r="D17" s="477"/>
      <c r="E17" s="477"/>
      <c r="F17" s="477"/>
      <c r="G17" s="477"/>
      <c r="H17" s="477"/>
      <c r="I17" s="477"/>
      <c r="J17" s="477"/>
      <c r="K17" s="477"/>
      <c r="L17" s="477"/>
      <c r="M17" s="467">
        <v>111532232</v>
      </c>
      <c r="N17" s="484"/>
    </row>
    <row r="18" spans="1:14" s="485" customFormat="1" ht="12.75" customHeight="1" x14ac:dyDescent="0.2">
      <c r="A18" s="482" t="s">
        <v>1403</v>
      </c>
      <c r="B18" s="483">
        <v>240</v>
      </c>
      <c r="C18" s="477"/>
      <c r="D18" s="477"/>
      <c r="E18" s="477"/>
      <c r="F18" s="477"/>
      <c r="G18" s="477"/>
      <c r="H18" s="477"/>
      <c r="I18" s="477"/>
      <c r="J18" s="477"/>
      <c r="K18" s="477"/>
      <c r="L18" s="477"/>
      <c r="M18" s="467">
        <v>9465948</v>
      </c>
      <c r="N18" s="484"/>
    </row>
    <row r="19" spans="1:14" s="485" customFormat="1" ht="12.75" customHeight="1" x14ac:dyDescent="0.2">
      <c r="A19" s="482" t="s">
        <v>1404</v>
      </c>
      <c r="B19" s="483">
        <v>250</v>
      </c>
      <c r="C19" s="477"/>
      <c r="D19" s="477"/>
      <c r="E19" s="477"/>
      <c r="F19" s="477"/>
      <c r="G19" s="477"/>
      <c r="H19" s="477"/>
      <c r="I19" s="477"/>
      <c r="J19" s="477"/>
      <c r="K19" s="477"/>
      <c r="L19" s="477"/>
      <c r="M19" s="467">
        <v>15326549</v>
      </c>
      <c r="N19" s="484"/>
    </row>
    <row r="20" spans="1:14" s="485" customFormat="1" ht="12.75" customHeight="1" x14ac:dyDescent="0.2">
      <c r="A20" s="482" t="s">
        <v>1405</v>
      </c>
      <c r="B20" s="483">
        <v>260</v>
      </c>
      <c r="C20" s="477"/>
      <c r="D20" s="477"/>
      <c r="E20" s="477"/>
      <c r="F20" s="477"/>
      <c r="G20" s="477"/>
      <c r="H20" s="477"/>
      <c r="I20" s="477"/>
      <c r="J20" s="477"/>
      <c r="K20" s="477"/>
      <c r="L20" s="477"/>
      <c r="M20" s="467">
        <v>30782</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2705531</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42929469</v>
      </c>
    </row>
    <row r="23" spans="1:14" ht="13.5" customHeight="1" thickBot="1" x14ac:dyDescent="0.25">
      <c r="A23" s="1736" t="s">
        <v>642</v>
      </c>
      <c r="B23" s="1741"/>
      <c r="C23" s="468"/>
      <c r="D23" s="468"/>
      <c r="E23" s="468"/>
      <c r="F23" s="468"/>
      <c r="G23" s="468"/>
      <c r="H23" s="468"/>
      <c r="I23" s="468"/>
      <c r="J23" s="468"/>
      <c r="K23" s="468"/>
      <c r="L23" s="468"/>
      <c r="M23" s="1688">
        <f>SUM(M15:M22)</f>
        <v>140781940</v>
      </c>
      <c r="N23" s="1688">
        <f>SUM(N21:N22)</f>
        <v>45635000</v>
      </c>
    </row>
    <row r="24" spans="1:14" ht="18" customHeight="1" thickTop="1" x14ac:dyDescent="0.2">
      <c r="A24" s="2113" t="s">
        <v>597</v>
      </c>
      <c r="B24" s="2114"/>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251022</v>
      </c>
      <c r="D31" s="467">
        <v>37137</v>
      </c>
      <c r="E31" s="467"/>
      <c r="F31" s="466">
        <v>3219</v>
      </c>
      <c r="G31" s="467">
        <v>3443</v>
      </c>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700922</v>
      </c>
      <c r="M33" s="468"/>
      <c r="N33" s="469"/>
    </row>
    <row r="34" spans="1:14" ht="13.5" customHeight="1" thickBot="1" x14ac:dyDescent="0.25">
      <c r="A34" s="1738" t="s">
        <v>653</v>
      </c>
      <c r="B34" s="1739"/>
      <c r="C34" s="1740">
        <f>SUM(C25:C33)</f>
        <v>251022</v>
      </c>
      <c r="D34" s="1740">
        <f t="shared" ref="D34:K34" si="1">SUM(D25:D33)</f>
        <v>37137</v>
      </c>
      <c r="E34" s="1740">
        <f t="shared" si="1"/>
        <v>0</v>
      </c>
      <c r="F34" s="1740">
        <f t="shared" si="1"/>
        <v>3219</v>
      </c>
      <c r="G34" s="1740">
        <f t="shared" si="1"/>
        <v>3443</v>
      </c>
      <c r="H34" s="1740">
        <f t="shared" si="1"/>
        <v>0</v>
      </c>
      <c r="I34" s="1740">
        <f t="shared" si="1"/>
        <v>0</v>
      </c>
      <c r="J34" s="1740">
        <f t="shared" si="1"/>
        <v>0</v>
      </c>
      <c r="K34" s="1740">
        <f t="shared" si="1"/>
        <v>0</v>
      </c>
      <c r="L34" s="1721">
        <f>SUM(L33)</f>
        <v>700922</v>
      </c>
      <c r="M34" s="468"/>
      <c r="N34" s="480"/>
    </row>
    <row r="35" spans="1:14" ht="18" customHeight="1" thickTop="1" x14ac:dyDescent="0.2">
      <c r="A35" s="2115" t="s">
        <v>528</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45635000</v>
      </c>
    </row>
    <row r="37" spans="1:14" ht="13.5" thickBot="1" x14ac:dyDescent="0.25">
      <c r="A37" s="1736" t="s">
        <v>652</v>
      </c>
      <c r="B37" s="1741"/>
      <c r="C37" s="477"/>
      <c r="D37" s="477"/>
      <c r="E37" s="477"/>
      <c r="F37" s="477"/>
      <c r="G37" s="477"/>
      <c r="H37" s="477"/>
      <c r="I37" s="477"/>
      <c r="J37" s="477"/>
      <c r="K37" s="477"/>
      <c r="L37" s="480"/>
      <c r="M37" s="468"/>
      <c r="N37" s="1688">
        <f>SUM(N36:N36)</f>
        <v>45635000</v>
      </c>
    </row>
    <row r="38" spans="1:14" s="329" customFormat="1" ht="13.5" customHeight="1" thickTop="1" x14ac:dyDescent="0.2">
      <c r="A38" s="496" t="s">
        <v>419</v>
      </c>
      <c r="B38" s="483">
        <v>714</v>
      </c>
      <c r="C38" s="466">
        <v>1849467</v>
      </c>
      <c r="D38" s="466"/>
      <c r="E38" s="466"/>
      <c r="F38" s="466"/>
      <c r="G38" s="466">
        <v>571667</v>
      </c>
      <c r="H38" s="466"/>
      <c r="I38" s="466"/>
      <c r="J38" s="467"/>
      <c r="K38" s="466"/>
      <c r="L38" s="481"/>
      <c r="M38" s="497"/>
      <c r="N38" s="497"/>
    </row>
    <row r="39" spans="1:14" s="329" customFormat="1" ht="13.5" customHeight="1" x14ac:dyDescent="0.2">
      <c r="A39" s="496" t="s">
        <v>341</v>
      </c>
      <c r="B39" s="483">
        <v>730</v>
      </c>
      <c r="C39" s="466">
        <v>10419065</v>
      </c>
      <c r="D39" s="466">
        <v>6181068</v>
      </c>
      <c r="E39" s="466">
        <v>2705531</v>
      </c>
      <c r="F39" s="466">
        <v>2550075</v>
      </c>
      <c r="G39" s="466">
        <v>724721</v>
      </c>
      <c r="H39" s="466"/>
      <c r="I39" s="466">
        <v>2393308</v>
      </c>
      <c r="J39" s="467"/>
      <c r="K39" s="466">
        <v>839154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140781940</v>
      </c>
      <c r="N40" s="497"/>
    </row>
    <row r="41" spans="1:14" ht="13.5" customHeight="1" thickBot="1" x14ac:dyDescent="0.25">
      <c r="A41" s="1736" t="s">
        <v>654</v>
      </c>
      <c r="B41" s="1706"/>
      <c r="C41" s="1688">
        <f>(SUM(C34,C37,C38,C39))</f>
        <v>12519554</v>
      </c>
      <c r="D41" s="1688">
        <f t="shared" ref="D41:L41" si="2">SUM(D34,D37,D38:D39)</f>
        <v>6218205</v>
      </c>
      <c r="E41" s="1688">
        <f t="shared" si="2"/>
        <v>2705531</v>
      </c>
      <c r="F41" s="1688">
        <f t="shared" si="2"/>
        <v>2553294</v>
      </c>
      <c r="G41" s="1688">
        <f t="shared" si="2"/>
        <v>1299831</v>
      </c>
      <c r="H41" s="1688">
        <f t="shared" si="2"/>
        <v>0</v>
      </c>
      <c r="I41" s="1688">
        <f t="shared" si="2"/>
        <v>2393308</v>
      </c>
      <c r="J41" s="1688">
        <f t="shared" si="2"/>
        <v>0</v>
      </c>
      <c r="K41" s="1688">
        <f t="shared" si="2"/>
        <v>839154</v>
      </c>
      <c r="L41" s="1688">
        <f t="shared" si="2"/>
        <v>700922</v>
      </c>
      <c r="M41" s="1688">
        <f>SUM(M40)</f>
        <v>140781940</v>
      </c>
      <c r="N41" s="1688">
        <f>SUM(N37)</f>
        <v>45635000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90" zoomScaleNormal="90" zoomScaleSheetLayoutView="100" workbookViewId="0">
      <pane ySplit="2" topLeftCell="A63" activePane="bottomLeft" state="frozen"/>
      <selection pane="bottomLeft" activeCell="C79" sqref="C79:K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6"/>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7" t="s">
        <v>1174</v>
      </c>
      <c r="B3" s="2138"/>
      <c r="C3" s="1573"/>
      <c r="D3" s="1574"/>
      <c r="E3" s="1574"/>
      <c r="F3" s="1574"/>
      <c r="G3" s="1574"/>
      <c r="H3" s="1574"/>
      <c r="I3" s="1574"/>
      <c r="J3" s="1574"/>
      <c r="K3" s="1575"/>
      <c r="L3" s="506"/>
    </row>
    <row r="4" spans="1:13" ht="15.75" customHeight="1" x14ac:dyDescent="0.2">
      <c r="A4" s="1928" t="s">
        <v>1498</v>
      </c>
      <c r="B4" s="1929">
        <v>1000</v>
      </c>
      <c r="C4" s="1742">
        <f>'Revenues 9-14'!C109</f>
        <v>23235247</v>
      </c>
      <c r="D4" s="1742">
        <f>'Revenues 9-14'!D109</f>
        <v>4132895</v>
      </c>
      <c r="E4" s="1742">
        <f>'Revenues 9-14'!E109</f>
        <v>4791657</v>
      </c>
      <c r="F4" s="1742">
        <f>'Revenues 9-14'!F109</f>
        <v>1577402</v>
      </c>
      <c r="G4" s="1742">
        <f>'Revenues 9-14'!G109</f>
        <v>1548812</v>
      </c>
      <c r="H4" s="1742">
        <f>'Revenues 9-14'!H109</f>
        <v>0</v>
      </c>
      <c r="I4" s="1742">
        <f>'Revenues 9-14'!I109</f>
        <v>131091</v>
      </c>
      <c r="J4" s="1742">
        <f>'Revenues 9-14'!J109</f>
        <v>0</v>
      </c>
      <c r="K4" s="1742">
        <f>'Revenues 9-14'!K109</f>
        <v>0</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8815066</v>
      </c>
      <c r="D6" s="1743">
        <f>'Revenues 9-14'!D170</f>
        <v>0</v>
      </c>
      <c r="E6" s="1743">
        <f>'Revenues 9-14'!E170</f>
        <v>0</v>
      </c>
      <c r="F6" s="1743">
        <f>'Revenues 9-14'!F170</f>
        <v>760308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2399229</v>
      </c>
      <c r="D7" s="1743">
        <f>'Revenues 9-14'!D267</f>
        <v>0</v>
      </c>
      <c r="E7" s="1743">
        <f>'Revenues 9-14'!E267</f>
        <v>58112</v>
      </c>
      <c r="F7" s="1743">
        <f>'Revenues 9-14'!F267</f>
        <v>410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34449542</v>
      </c>
      <c r="D8" s="1688">
        <f t="shared" ref="D8:K8" si="0">SUM(D4:D7)</f>
        <v>4132895</v>
      </c>
      <c r="E8" s="1688">
        <f t="shared" si="0"/>
        <v>4849769</v>
      </c>
      <c r="F8" s="1688">
        <f t="shared" si="0"/>
        <v>2338120</v>
      </c>
      <c r="G8" s="1688">
        <f t="shared" si="0"/>
        <v>1548812</v>
      </c>
      <c r="H8" s="1688">
        <f t="shared" si="0"/>
        <v>0</v>
      </c>
      <c r="I8" s="1688">
        <f t="shared" si="0"/>
        <v>131091</v>
      </c>
      <c r="J8" s="1688">
        <f t="shared" si="0"/>
        <v>0</v>
      </c>
      <c r="K8" s="1688">
        <f t="shared" si="0"/>
        <v>0</v>
      </c>
      <c r="L8" s="347"/>
    </row>
    <row r="9" spans="1:13" ht="15.75" thickTop="1" x14ac:dyDescent="0.2">
      <c r="A9" s="514" t="s">
        <v>1652</v>
      </c>
      <c r="B9" s="515">
        <v>3998</v>
      </c>
      <c r="C9" s="481">
        <v>2193567</v>
      </c>
      <c r="D9" s="516"/>
      <c r="E9" s="481"/>
      <c r="F9" s="481"/>
      <c r="G9" s="517"/>
      <c r="H9" s="481"/>
      <c r="I9" s="509" t="s">
        <v>1168</v>
      </c>
      <c r="J9" s="478"/>
      <c r="K9" s="481"/>
      <c r="L9" s="347"/>
    </row>
    <row r="10" spans="1:13" s="519" customFormat="1" ht="13.5" thickBot="1" x14ac:dyDescent="0.25">
      <c r="A10" s="1736" t="s">
        <v>1172</v>
      </c>
      <c r="B10" s="1709"/>
      <c r="C10" s="1688">
        <f>SUM(C8:C9)</f>
        <v>36643109</v>
      </c>
      <c r="D10" s="1688">
        <f t="shared" ref="D10:K10" si="1">SUM(D8:D9)</f>
        <v>4132895</v>
      </c>
      <c r="E10" s="1688">
        <f t="shared" si="1"/>
        <v>4849769</v>
      </c>
      <c r="F10" s="1688">
        <f t="shared" si="1"/>
        <v>2338120</v>
      </c>
      <c r="G10" s="1688">
        <f t="shared" si="1"/>
        <v>1548812</v>
      </c>
      <c r="H10" s="1688">
        <f t="shared" si="1"/>
        <v>0</v>
      </c>
      <c r="I10" s="1688">
        <f t="shared" si="1"/>
        <v>131091</v>
      </c>
      <c r="J10" s="1688">
        <f t="shared" si="1"/>
        <v>0</v>
      </c>
      <c r="K10" s="1688">
        <f t="shared" si="1"/>
        <v>0</v>
      </c>
      <c r="L10" s="518"/>
    </row>
    <row r="11" spans="1:13" s="519" customFormat="1" ht="16.7" customHeight="1" thickTop="1" x14ac:dyDescent="0.2">
      <c r="A11" s="2111" t="s">
        <v>1175</v>
      </c>
      <c r="B11" s="2112"/>
      <c r="C11" s="1570"/>
      <c r="D11" s="1571"/>
      <c r="E11" s="1571"/>
      <c r="F11" s="1571"/>
      <c r="G11" s="1571"/>
      <c r="H11" s="1571"/>
      <c r="I11" s="1571"/>
      <c r="J11" s="1571"/>
      <c r="K11" s="1572"/>
      <c r="L11" s="518"/>
    </row>
    <row r="12" spans="1:13" ht="15.75" customHeight="1" x14ac:dyDescent="0.2">
      <c r="A12" s="1576" t="s">
        <v>455</v>
      </c>
      <c r="B12" s="1578">
        <v>1000</v>
      </c>
      <c r="C12" s="1742">
        <f>'Expenditures 15-22'!K33</f>
        <v>22889319</v>
      </c>
      <c r="D12" s="520" t="s">
        <v>1168</v>
      </c>
      <c r="E12" s="468" t="s">
        <v>1168</v>
      </c>
      <c r="F12" s="468" t="s">
        <v>1168</v>
      </c>
      <c r="G12" s="1742">
        <f>'Expenditures 15-22'!K229</f>
        <v>423172</v>
      </c>
      <c r="H12" s="521"/>
      <c r="I12" s="468" t="s">
        <v>1168</v>
      </c>
      <c r="J12" s="468" t="s">
        <v>1168</v>
      </c>
      <c r="K12" s="521" t="s">
        <v>1168</v>
      </c>
      <c r="L12" s="347"/>
    </row>
    <row r="13" spans="1:13" ht="15.75" customHeight="1" x14ac:dyDescent="0.2">
      <c r="A13" s="1576" t="s">
        <v>456</v>
      </c>
      <c r="B13" s="1578">
        <v>2000</v>
      </c>
      <c r="C13" s="1743">
        <f>'Expenditures 15-22'!K74</f>
        <v>10464089</v>
      </c>
      <c r="D13" s="1743">
        <f>'Expenditures 15-22'!K129</f>
        <v>5380164</v>
      </c>
      <c r="E13" s="469" t="s">
        <v>1168</v>
      </c>
      <c r="F13" s="1743">
        <f>'Expenditures 15-22'!K184</f>
        <v>2065737</v>
      </c>
      <c r="G13" s="1743">
        <f>'Expenditures 15-22'!K279</f>
        <v>958416</v>
      </c>
      <c r="H13" s="1743">
        <f>'Expenditures 15-22'!K303</f>
        <v>0</v>
      </c>
      <c r="I13" s="468" t="s">
        <v>1168</v>
      </c>
      <c r="J13" s="1743">
        <f>'Expenditures 15-22'!K330</f>
        <v>0</v>
      </c>
      <c r="K13" s="1747">
        <f>'Expenditures 15-22'!K352</f>
        <v>107588</v>
      </c>
      <c r="L13" s="347"/>
    </row>
    <row r="14" spans="1:13" ht="15.75" customHeight="1" x14ac:dyDescent="0.2">
      <c r="A14" s="1576" t="s">
        <v>448</v>
      </c>
      <c r="B14" s="1578">
        <v>3000</v>
      </c>
      <c r="C14" s="1743">
        <f>'Expenditures 15-22'!K75</f>
        <v>9987</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432504</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5210640</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33795899</v>
      </c>
      <c r="D17" s="1688">
        <f t="shared" si="2"/>
        <v>5380164</v>
      </c>
      <c r="E17" s="1688">
        <f t="shared" si="2"/>
        <v>5210640</v>
      </c>
      <c r="F17" s="1688">
        <f t="shared" si="2"/>
        <v>2065737</v>
      </c>
      <c r="G17" s="1688">
        <f t="shared" si="2"/>
        <v>1381588</v>
      </c>
      <c r="H17" s="1688">
        <f t="shared" si="2"/>
        <v>0</v>
      </c>
      <c r="I17" s="468"/>
      <c r="J17" s="1688">
        <f>SUM(J12:J16)</f>
        <v>0</v>
      </c>
      <c r="K17" s="1688">
        <f>SUM(K12:K16)</f>
        <v>107588</v>
      </c>
      <c r="L17" s="347"/>
    </row>
    <row r="18" spans="1:12" ht="15" customHeight="1" thickTop="1" x14ac:dyDescent="0.2">
      <c r="A18" s="1744" t="s">
        <v>1653</v>
      </c>
      <c r="B18" s="1745">
        <v>4180</v>
      </c>
      <c r="C18" s="1742">
        <f t="shared" ref="C18:H18" si="3">C9</f>
        <v>2193567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35989466</v>
      </c>
      <c r="D19" s="1688">
        <f t="shared" si="4"/>
        <v>5380164</v>
      </c>
      <c r="E19" s="1688">
        <f t="shared" si="4"/>
        <v>5210640</v>
      </c>
      <c r="F19" s="1688">
        <f t="shared" si="4"/>
        <v>2065737</v>
      </c>
      <c r="G19" s="1688">
        <f t="shared" si="4"/>
        <v>1381588</v>
      </c>
      <c r="H19" s="1688">
        <f t="shared" si="4"/>
        <v>0</v>
      </c>
      <c r="I19" s="468"/>
      <c r="J19" s="1688">
        <f>SUM(J17:J18)</f>
        <v>0</v>
      </c>
      <c r="K19" s="1688">
        <f>SUM(K17:K18)</f>
        <v>107588</v>
      </c>
      <c r="L19" s="347"/>
    </row>
    <row r="20" spans="1:12" ht="16.5" thickTop="1" thickBot="1" x14ac:dyDescent="0.25">
      <c r="A20" s="2127" t="s">
        <v>1654</v>
      </c>
      <c r="B20" s="2128"/>
      <c r="C20" s="1746">
        <f>C8-C17</f>
        <v>653643</v>
      </c>
      <c r="D20" s="1746">
        <f t="shared" ref="D20:K20" si="5">D8-D17</f>
        <v>-1247269</v>
      </c>
      <c r="E20" s="1746">
        <f t="shared" si="5"/>
        <v>-360871</v>
      </c>
      <c r="F20" s="1746">
        <f t="shared" si="5"/>
        <v>272383</v>
      </c>
      <c r="G20" s="1746">
        <f t="shared" si="5"/>
        <v>167224</v>
      </c>
      <c r="H20" s="1746">
        <f t="shared" si="5"/>
        <v>0</v>
      </c>
      <c r="I20" s="1746">
        <f t="shared" si="5"/>
        <v>131091</v>
      </c>
      <c r="J20" s="1746">
        <f t="shared" si="5"/>
        <v>0</v>
      </c>
      <c r="K20" s="1746">
        <f t="shared" si="5"/>
        <v>-107588</v>
      </c>
      <c r="L20" s="347"/>
    </row>
    <row r="21" spans="1:12" ht="16.7" customHeight="1" thickTop="1" x14ac:dyDescent="0.2">
      <c r="A21" s="2139" t="s">
        <v>594</v>
      </c>
      <c r="B21" s="2140"/>
      <c r="C21" s="1570"/>
      <c r="D21" s="1571"/>
      <c r="E21" s="1571"/>
      <c r="F21" s="1571"/>
      <c r="G21" s="1571"/>
      <c r="H21" s="1571"/>
      <c r="I21" s="1571"/>
      <c r="J21" s="1571"/>
      <c r="K21" s="1572"/>
      <c r="L21" s="524"/>
    </row>
    <row r="22" spans="1:12" ht="15.75" customHeight="1" collapsed="1" x14ac:dyDescent="0.2">
      <c r="A22" s="2135" t="s">
        <v>595</v>
      </c>
      <c r="B22" s="2136"/>
      <c r="C22" s="477"/>
      <c r="D22" s="477"/>
      <c r="E22" s="477"/>
      <c r="F22" s="477"/>
      <c r="G22" s="477"/>
      <c r="H22" s="477"/>
      <c r="I22" s="477"/>
      <c r="J22" s="477"/>
      <c r="K22" s="477"/>
      <c r="L22" s="347"/>
    </row>
    <row r="23" spans="1:12" s="485" customFormat="1" ht="15.75" customHeight="1" x14ac:dyDescent="0.2">
      <c r="A23" s="2131" t="s">
        <v>292</v>
      </c>
      <c r="B23" s="2132"/>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33" t="s">
        <v>980</v>
      </c>
      <c r="B32" s="2134"/>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41" t="s">
        <v>373</v>
      </c>
      <c r="B44" s="2142"/>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3">
        <f>D30</f>
        <v>0</v>
      </c>
      <c r="L52" s="524"/>
    </row>
    <row r="53" spans="1:12" s="485" customFormat="1" ht="26.25" x14ac:dyDescent="0.2">
      <c r="A53" s="1490" t="s">
        <v>1792</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17" t="s">
        <v>439</v>
      </c>
      <c r="B76" s="2118"/>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9" t="s">
        <v>1176</v>
      </c>
      <c r="B77" s="2120"/>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3" t="s">
        <v>596</v>
      </c>
      <c r="B78" s="2124"/>
      <c r="C78" s="1702">
        <f t="shared" ref="C78:K78" si="9">C20+C77</f>
        <v>653643</v>
      </c>
      <c r="D78" s="1702">
        <f t="shared" si="9"/>
        <v>-1247269</v>
      </c>
      <c r="E78" s="1702">
        <f t="shared" si="9"/>
        <v>-360871</v>
      </c>
      <c r="F78" s="1702">
        <f t="shared" si="9"/>
        <v>272383</v>
      </c>
      <c r="G78" s="1702">
        <f t="shared" si="9"/>
        <v>167224</v>
      </c>
      <c r="H78" s="1702">
        <f t="shared" si="9"/>
        <v>0</v>
      </c>
      <c r="I78" s="1702">
        <f t="shared" si="9"/>
        <v>131091</v>
      </c>
      <c r="J78" s="1702">
        <f t="shared" si="9"/>
        <v>0</v>
      </c>
      <c r="K78" s="1702">
        <f t="shared" si="9"/>
        <v>-107588</v>
      </c>
      <c r="L78" s="533"/>
    </row>
    <row r="79" spans="1:12" ht="13.5" thickTop="1" x14ac:dyDescent="0.2">
      <c r="A79" s="1494" t="s">
        <v>1943</v>
      </c>
      <c r="B79" s="534"/>
      <c r="C79" s="478">
        <v>11614889</v>
      </c>
      <c r="D79" s="535">
        <v>7428337</v>
      </c>
      <c r="E79" s="535">
        <v>3066402</v>
      </c>
      <c r="F79" s="535">
        <v>2277692</v>
      </c>
      <c r="G79" s="535">
        <v>1129164</v>
      </c>
      <c r="H79" s="535"/>
      <c r="I79" s="535">
        <v>2262217</v>
      </c>
      <c r="J79" s="535"/>
      <c r="K79" s="535">
        <v>946742</v>
      </c>
      <c r="L79" s="347"/>
    </row>
    <row r="80" spans="1:12" x14ac:dyDescent="0.2">
      <c r="A80" s="2129" t="s">
        <v>1791</v>
      </c>
      <c r="B80" s="2130"/>
      <c r="C80" s="467"/>
      <c r="D80" s="467"/>
      <c r="E80" s="467"/>
      <c r="F80" s="467"/>
      <c r="G80" s="467"/>
      <c r="H80" s="467"/>
      <c r="I80" s="467"/>
      <c r="J80" s="467"/>
      <c r="K80" s="467"/>
      <c r="L80" s="347"/>
    </row>
    <row r="81" spans="1:12" ht="13.5" thickBot="1" x14ac:dyDescent="0.25">
      <c r="A81" s="2121" t="s">
        <v>1944</v>
      </c>
      <c r="B81" s="2122"/>
      <c r="C81" s="1688">
        <f>(SUM(C78:C80))</f>
        <v>12268532</v>
      </c>
      <c r="D81" s="1688">
        <f>SUM(D78:D80)</f>
        <v>6181068</v>
      </c>
      <c r="E81" s="1688">
        <f t="shared" ref="E81:K81" si="10">SUM(E78:E80)</f>
        <v>2705531</v>
      </c>
      <c r="F81" s="1688">
        <f t="shared" si="10"/>
        <v>2550075</v>
      </c>
      <c r="G81" s="1688">
        <f t="shared" si="10"/>
        <v>1296388</v>
      </c>
      <c r="H81" s="1688">
        <f t="shared" si="10"/>
        <v>0</v>
      </c>
      <c r="I81" s="1688">
        <f t="shared" si="10"/>
        <v>2393308</v>
      </c>
      <c r="J81" s="1688">
        <f t="shared" si="10"/>
        <v>0</v>
      </c>
      <c r="K81" s="1688">
        <f t="shared" si="10"/>
        <v>839154</v>
      </c>
      <c r="L81" s="347"/>
    </row>
    <row r="82" spans="1:12" ht="0.75" customHeight="1" thickTop="1" thickBot="1" x14ac:dyDescent="0.25">
      <c r="A82" s="536" t="s">
        <v>342</v>
      </c>
      <c r="B82" s="537"/>
      <c r="C82" s="538">
        <f>(C81-C79)</f>
        <v>653643</v>
      </c>
      <c r="D82" s="538">
        <f t="shared" ref="D82:K82" si="11">(D81-D79)</f>
        <v>-1247269</v>
      </c>
      <c r="E82" s="538">
        <f t="shared" si="11"/>
        <v>-360871</v>
      </c>
      <c r="F82" s="538">
        <f t="shared" si="11"/>
        <v>272383</v>
      </c>
      <c r="G82" s="538">
        <f t="shared" si="11"/>
        <v>167224</v>
      </c>
      <c r="H82" s="538">
        <f t="shared" si="11"/>
        <v>0</v>
      </c>
      <c r="I82" s="538">
        <f t="shared" si="11"/>
        <v>131091</v>
      </c>
      <c r="J82" s="538">
        <f t="shared" si="11"/>
        <v>0</v>
      </c>
      <c r="K82" s="538">
        <f t="shared" si="11"/>
        <v>-107588</v>
      </c>
    </row>
    <row r="83" spans="1:12" ht="14.25" hidden="1" thickTop="1" thickBot="1" x14ac:dyDescent="0.25">
      <c r="A83" s="539" t="s">
        <v>343</v>
      </c>
      <c r="B83" s="464"/>
      <c r="C83" s="540">
        <f>C82/C81</f>
        <v>5.3278012397897319E-2</v>
      </c>
      <c r="D83" s="540">
        <f t="shared" ref="D83:K83" si="12">D82/D81</f>
        <v>-0.20178859058013923</v>
      </c>
      <c r="E83" s="540">
        <f t="shared" si="12"/>
        <v>-0.13338268901742395</v>
      </c>
      <c r="F83" s="540">
        <f t="shared" si="12"/>
        <v>0.10681372116506377</v>
      </c>
      <c r="G83" s="540">
        <f t="shared" si="12"/>
        <v>0.12899224614852961</v>
      </c>
      <c r="H83" s="540" t="e">
        <f t="shared" si="12"/>
        <v>#DIV/0!</v>
      </c>
      <c r="I83" s="540">
        <f t="shared" si="12"/>
        <v>5.4773978108960487E-2</v>
      </c>
      <c r="J83" s="540" t="e">
        <f t="shared" si="12"/>
        <v>#DIV/0!</v>
      </c>
      <c r="K83" s="540">
        <f t="shared" si="12"/>
        <v>-0.12821007824547104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1798</v>
      </c>
      <c r="B1" s="452"/>
      <c r="C1" s="453" t="s">
        <v>424</v>
      </c>
      <c r="D1" s="453" t="s">
        <v>425</v>
      </c>
      <c r="E1" s="453" t="s">
        <v>426</v>
      </c>
      <c r="F1" s="453" t="s">
        <v>427</v>
      </c>
      <c r="G1" s="453" t="s">
        <v>428</v>
      </c>
      <c r="H1" s="453" t="s">
        <v>429</v>
      </c>
      <c r="I1" s="453" t="s">
        <v>430</v>
      </c>
      <c r="J1" s="453" t="s">
        <v>431</v>
      </c>
      <c r="K1" s="453" t="s">
        <v>755</v>
      </c>
    </row>
    <row r="2" spans="1:12" ht="36" x14ac:dyDescent="0.2">
      <c r="A2" s="2126"/>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19819018</v>
      </c>
      <c r="D5" s="481">
        <v>3906494</v>
      </c>
      <c r="E5" s="466">
        <v>4789078</v>
      </c>
      <c r="F5" s="548">
        <v>1335058</v>
      </c>
      <c r="G5" s="466">
        <v>699080</v>
      </c>
      <c r="H5" s="466"/>
      <c r="I5" s="466">
        <v>109048</v>
      </c>
      <c r="J5" s="467"/>
      <c r="K5" s="466"/>
    </row>
    <row r="6" spans="1:12" ht="15" x14ac:dyDescent="0.2">
      <c r="A6" s="463" t="s">
        <v>1661</v>
      </c>
      <c r="B6" s="470">
        <v>1130</v>
      </c>
      <c r="C6" s="466">
        <v>142750</v>
      </c>
      <c r="D6" s="466"/>
      <c r="E6" s="475"/>
      <c r="F6" s="475"/>
      <c r="G6" s="468"/>
      <c r="H6" s="468"/>
      <c r="I6" s="468"/>
      <c r="J6" s="468"/>
      <c r="K6" s="468"/>
    </row>
    <row r="7" spans="1:12" x14ac:dyDescent="0.2">
      <c r="A7" s="463" t="s">
        <v>110</v>
      </c>
      <c r="B7" s="549">
        <v>1140</v>
      </c>
      <c r="C7" s="466">
        <v>142750</v>
      </c>
      <c r="D7" s="466"/>
      <c r="E7" s="468"/>
      <c r="F7" s="467"/>
      <c r="G7" s="467"/>
      <c r="H7" s="467"/>
      <c r="I7" s="468"/>
      <c r="J7" s="468"/>
      <c r="K7" s="468"/>
    </row>
    <row r="8" spans="1:12" x14ac:dyDescent="0.2">
      <c r="A8" s="463" t="s">
        <v>412</v>
      </c>
      <c r="B8" s="470">
        <v>1150</v>
      </c>
      <c r="C8" s="475"/>
      <c r="D8" s="475"/>
      <c r="E8" s="477"/>
      <c r="F8" s="477"/>
      <c r="G8" s="481">
        <v>812816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20104518</v>
      </c>
      <c r="D12" s="1707">
        <f t="shared" si="0"/>
        <v>3906494</v>
      </c>
      <c r="E12" s="1707">
        <f t="shared" si="0"/>
        <v>4789078</v>
      </c>
      <c r="F12" s="1707">
        <f t="shared" si="0"/>
        <v>1335058</v>
      </c>
      <c r="G12" s="1707">
        <f t="shared" si="0"/>
        <v>1511896</v>
      </c>
      <c r="H12" s="1707">
        <f t="shared" si="0"/>
        <v>0</v>
      </c>
      <c r="I12" s="1707">
        <f t="shared" si="0"/>
        <v>109048</v>
      </c>
      <c r="J12" s="1707">
        <f t="shared" si="0"/>
        <v>0</v>
      </c>
      <c r="K12" s="1688">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c r="D16" s="466"/>
      <c r="E16" s="466"/>
      <c r="F16" s="466">
        <v>198086</v>
      </c>
      <c r="G16" s="466">
        <v>36107</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0</v>
      </c>
      <c r="D18" s="1710">
        <f t="shared" ref="D18:K18" si="1">SUM(D14:D17)</f>
        <v>0</v>
      </c>
      <c r="E18" s="1710">
        <f t="shared" si="1"/>
        <v>0</v>
      </c>
      <c r="F18" s="1710">
        <f t="shared" si="1"/>
        <v>198086</v>
      </c>
      <c r="G18" s="1710">
        <f t="shared" si="1"/>
        <v>36107</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18350</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18350</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223260</v>
      </c>
      <c r="D65" s="466">
        <v>75733</v>
      </c>
      <c r="E65" s="466">
        <v>2579</v>
      </c>
      <c r="F65" s="467">
        <v>714</v>
      </c>
      <c r="G65" s="466">
        <v>809</v>
      </c>
      <c r="H65" s="466"/>
      <c r="I65" s="466">
        <v>22043</v>
      </c>
      <c r="J65" s="467"/>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8" t="s">
        <v>485</v>
      </c>
      <c r="B67" s="1709"/>
      <c r="C67" s="1688">
        <f>SUM(C65:C66)</f>
        <v>223260</v>
      </c>
      <c r="D67" s="1688">
        <f t="shared" ref="D67:K67" si="2">SUM(D65:D66)</f>
        <v>75733</v>
      </c>
      <c r="E67" s="1688">
        <f t="shared" si="2"/>
        <v>2579</v>
      </c>
      <c r="F67" s="1688">
        <f t="shared" si="2"/>
        <v>714</v>
      </c>
      <c r="G67" s="1688">
        <f t="shared" si="2"/>
        <v>809</v>
      </c>
      <c r="H67" s="1688">
        <f t="shared" si="2"/>
        <v>0</v>
      </c>
      <c r="I67" s="1688">
        <f t="shared" si="2"/>
        <v>22043</v>
      </c>
      <c r="J67" s="1688">
        <f t="shared" si="2"/>
        <v>0</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576624</v>
      </c>
      <c r="D69" s="468"/>
      <c r="E69" s="468"/>
      <c r="F69" s="468"/>
      <c r="G69" s="468"/>
      <c r="H69" s="468"/>
      <c r="I69" s="468"/>
      <c r="J69" s="468"/>
      <c r="K69" s="468"/>
    </row>
    <row r="70" spans="1:11" ht="12.75" customHeight="1" x14ac:dyDescent="0.2">
      <c r="A70" s="463" t="s">
        <v>996</v>
      </c>
      <c r="B70" s="470">
        <v>1612</v>
      </c>
      <c r="C70" s="551">
        <v>51901</v>
      </c>
      <c r="D70" s="468"/>
      <c r="E70" s="468"/>
      <c r="F70" s="468"/>
      <c r="G70" s="468"/>
      <c r="H70" s="468"/>
      <c r="I70" s="468"/>
      <c r="J70" s="468"/>
      <c r="K70" s="468"/>
    </row>
    <row r="71" spans="1:11" ht="12.75" customHeight="1" x14ac:dyDescent="0.2">
      <c r="A71" s="463" t="s">
        <v>272</v>
      </c>
      <c r="B71" s="470">
        <v>1613</v>
      </c>
      <c r="C71" s="551">
        <v>995967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35931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547</v>
      </c>
      <c r="B75" s="1709"/>
      <c r="C75" s="1688">
        <f>SUM(C69:C74)</f>
        <v>1660423</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91029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184665</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99517</v>
      </c>
      <c r="D81" s="466"/>
      <c r="E81" s="468"/>
      <c r="F81" s="468"/>
      <c r="G81" s="468"/>
      <c r="H81" s="468"/>
      <c r="I81" s="468"/>
      <c r="J81" s="468"/>
      <c r="K81" s="468"/>
    </row>
    <row r="82" spans="1:11" ht="12.75" customHeight="1" thickBot="1" x14ac:dyDescent="0.25">
      <c r="A82" s="1708" t="s">
        <v>241</v>
      </c>
      <c r="B82" s="1709"/>
      <c r="C82" s="1707">
        <f>SUM(C77:C81)</f>
        <v>375211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555902</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16983</v>
      </c>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572885</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v>144406</v>
      </c>
      <c r="E95" s="521"/>
      <c r="F95" s="521"/>
      <c r="G95" s="521"/>
      <c r="H95" s="521"/>
      <c r="I95" s="521"/>
      <c r="J95" s="521"/>
      <c r="K95" s="521"/>
    </row>
    <row r="96" spans="1:11" ht="12.75" customHeight="1" x14ac:dyDescent="0.2">
      <c r="A96" s="463" t="s">
        <v>390</v>
      </c>
      <c r="B96" s="470">
        <v>1920</v>
      </c>
      <c r="C96" s="551">
        <v>36214</v>
      </c>
      <c r="D96" s="551">
        <v>3354</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v>2385</v>
      </c>
      <c r="G98" s="512"/>
      <c r="H98" s="512"/>
      <c r="I98" s="510"/>
      <c r="J98" s="512"/>
      <c r="K98" s="512"/>
    </row>
    <row r="99" spans="1:12" ht="12.75" customHeight="1" x14ac:dyDescent="0.2">
      <c r="A99" s="463" t="s">
        <v>820</v>
      </c>
      <c r="B99" s="470">
        <v>1950</v>
      </c>
      <c r="C99" s="489">
        <v>60449</v>
      </c>
      <c r="D99" s="466">
        <v>244</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85145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98792</v>
      </c>
      <c r="D107" s="466">
        <v>2664</v>
      </c>
      <c r="E107" s="466"/>
      <c r="F107" s="466">
        <v>41159</v>
      </c>
      <c r="G107" s="466"/>
      <c r="H107" s="466"/>
      <c r="I107" s="466"/>
      <c r="J107" s="467"/>
      <c r="K107" s="466"/>
    </row>
    <row r="108" spans="1:12" ht="12.75" customHeight="1" thickBot="1" x14ac:dyDescent="0.25">
      <c r="A108" s="1708" t="s">
        <v>486</v>
      </c>
      <c r="B108" s="1712"/>
      <c r="C108" s="1707">
        <f>SUM(C95:C107)</f>
        <v>280600</v>
      </c>
      <c r="D108" s="1707">
        <f t="shared" ref="D108:K108" si="3">SUM(D95:D107)</f>
        <v>150668</v>
      </c>
      <c r="E108" s="1707">
        <f t="shared" si="3"/>
        <v>0</v>
      </c>
      <c r="F108" s="1707">
        <f t="shared" si="3"/>
        <v>43544</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23235247</v>
      </c>
      <c r="D109" s="1715">
        <f t="shared" si="4"/>
        <v>4132895</v>
      </c>
      <c r="E109" s="1715">
        <f t="shared" si="4"/>
        <v>4791657</v>
      </c>
      <c r="F109" s="1715">
        <f t="shared" si="4"/>
        <v>1577402</v>
      </c>
      <c r="G109" s="1715">
        <f t="shared" si="4"/>
        <v>1548812</v>
      </c>
      <c r="H109" s="1715">
        <f t="shared" si="4"/>
        <v>0</v>
      </c>
      <c r="I109" s="1715">
        <f t="shared" si="4"/>
        <v>131091</v>
      </c>
      <c r="J109" s="1715">
        <f t="shared" si="4"/>
        <v>0</v>
      </c>
      <c r="K109" s="1702">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7704225</v>
      </c>
      <c r="D117" s="481"/>
      <c r="E117" s="466"/>
      <c r="F117" s="481"/>
      <c r="G117" s="481"/>
      <c r="H117" s="466"/>
      <c r="I117" s="468"/>
      <c r="J117" s="467"/>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30" t="s">
        <v>1930</v>
      </c>
      <c r="B120" s="562">
        <v>3030</v>
      </c>
      <c r="C120" s="551"/>
      <c r="D120" s="466"/>
      <c r="E120" s="466"/>
      <c r="F120" s="466"/>
      <c r="G120" s="466"/>
      <c r="H120" s="466"/>
      <c r="I120" s="468"/>
      <c r="J120" s="467"/>
      <c r="K120" s="466"/>
    </row>
    <row r="121" spans="1:11" x14ac:dyDescent="0.2">
      <c r="A121" s="1496" t="s">
        <v>1797</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7704225</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505046</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128423</v>
      </c>
      <c r="D128" s="561"/>
      <c r="E128" s="468"/>
      <c r="F128" s="466"/>
      <c r="G128" s="468"/>
      <c r="H128" s="468"/>
      <c r="I128" s="468"/>
      <c r="J128" s="468"/>
      <c r="K128" s="468"/>
    </row>
    <row r="129" spans="1:11" ht="12.75" customHeight="1" x14ac:dyDescent="0.2">
      <c r="A129" s="463" t="s">
        <v>1446</v>
      </c>
      <c r="B129" s="562">
        <v>3130</v>
      </c>
      <c r="C129" s="466">
        <v>14754</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648223</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6629</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64980</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555732</v>
      </c>
      <c r="G152" s="467"/>
      <c r="H152" s="468"/>
      <c r="I152" s="468"/>
      <c r="J152" s="468"/>
      <c r="K152" s="468"/>
    </row>
    <row r="153" spans="1:11" ht="12.75" customHeight="1" x14ac:dyDescent="0.2">
      <c r="A153" s="463" t="s">
        <v>1056</v>
      </c>
      <c r="B153" s="562">
        <v>3510</v>
      </c>
      <c r="C153" s="551"/>
      <c r="D153" s="466"/>
      <c r="E153" s="561"/>
      <c r="F153" s="466">
        <v>152001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707733</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v>379781</v>
      </c>
      <c r="D159" s="578"/>
      <c r="E159" s="561"/>
      <c r="F159" s="576">
        <v>52575</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11228</v>
      </c>
      <c r="D168" s="580"/>
      <c r="E168" s="580"/>
      <c r="F168" s="580"/>
      <c r="G168" s="581"/>
      <c r="H168" s="582"/>
      <c r="I168" s="581"/>
      <c r="J168" s="581"/>
      <c r="K168" s="582"/>
    </row>
    <row r="169" spans="1:11" ht="12.75" customHeight="1" thickTop="1" thickBot="1" x14ac:dyDescent="0.25">
      <c r="A169" s="2145" t="s">
        <v>397</v>
      </c>
      <c r="B169" s="2146"/>
      <c r="C169" s="1722">
        <f t="shared" ref="C169:K169" si="6">SUM(C132,C141,C145,C146:C150,C155,C156:C167,C168)</f>
        <v>1110841</v>
      </c>
      <c r="D169" s="1722">
        <f t="shared" si="6"/>
        <v>0</v>
      </c>
      <c r="E169" s="1722">
        <f t="shared" si="6"/>
        <v>0</v>
      </c>
      <c r="F169" s="1722">
        <f t="shared" si="6"/>
        <v>760308</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8815066</v>
      </c>
      <c r="D170" s="1715">
        <f t="shared" si="7"/>
        <v>0</v>
      </c>
      <c r="E170" s="1715">
        <f t="shared" si="7"/>
        <v>0</v>
      </c>
      <c r="F170" s="1715">
        <f t="shared" si="7"/>
        <v>760308</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7" t="s">
        <v>1491</v>
      </c>
      <c r="B172" s="2148"/>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1" t="s">
        <v>1664</v>
      </c>
      <c r="B175" s="215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5" t="s">
        <v>1663</v>
      </c>
      <c r="B176" s="2156"/>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3" t="s">
        <v>784</v>
      </c>
      <c r="B181" s="215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9" t="s">
        <v>1799</v>
      </c>
      <c r="B182" s="2150"/>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388014</v>
      </c>
      <c r="D191" s="468"/>
      <c r="E191" s="561"/>
      <c r="F191" s="468"/>
      <c r="G191" s="585"/>
      <c r="H191" s="468"/>
      <c r="I191" s="468"/>
      <c r="J191" s="468"/>
      <c r="K191" s="468"/>
    </row>
    <row r="192" spans="1:11" ht="12.75" customHeight="1" x14ac:dyDescent="0.2">
      <c r="A192" s="463" t="s">
        <v>1046</v>
      </c>
      <c r="B192" s="470">
        <v>4215</v>
      </c>
      <c r="C192" s="551">
        <v>1540</v>
      </c>
      <c r="D192" s="468"/>
      <c r="E192" s="561"/>
      <c r="F192" s="468"/>
      <c r="G192" s="585"/>
      <c r="H192" s="468"/>
      <c r="I192" s="468"/>
      <c r="J192" s="468"/>
      <c r="K192" s="468"/>
    </row>
    <row r="193" spans="1:11" ht="12.75" customHeight="1" x14ac:dyDescent="0.2">
      <c r="A193" s="463" t="s">
        <v>1058</v>
      </c>
      <c r="B193" s="470">
        <v>4220</v>
      </c>
      <c r="C193" s="551">
        <v>63998</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453552</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442741</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442741</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v>6573</v>
      </c>
      <c r="D208" s="466"/>
      <c r="E208" s="468"/>
      <c r="F208" s="466"/>
      <c r="G208" s="466"/>
      <c r="H208" s="468"/>
      <c r="I208" s="468"/>
      <c r="J208" s="468"/>
      <c r="K208" s="468"/>
    </row>
    <row r="209" spans="1:11" ht="12.75" customHeight="1" thickBot="1" x14ac:dyDescent="0.25">
      <c r="A209" s="1708" t="s">
        <v>888</v>
      </c>
      <c r="B209" s="1709"/>
      <c r="C209" s="1707">
        <f>SUM(C206:C208)</f>
        <v>6573</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29854</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807606</v>
      </c>
      <c r="D213" s="466"/>
      <c r="E213" s="468"/>
      <c r="F213" s="466">
        <v>410</v>
      </c>
      <c r="G213" s="466"/>
      <c r="H213" s="468"/>
      <c r="I213" s="468"/>
      <c r="J213" s="468"/>
      <c r="K213" s="468"/>
    </row>
    <row r="214" spans="1:11" ht="12.75" customHeight="1" x14ac:dyDescent="0.2">
      <c r="A214" s="463" t="s">
        <v>1053</v>
      </c>
      <c r="B214" s="470">
        <v>4625</v>
      </c>
      <c r="C214" s="551">
        <v>341388</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1178848</v>
      </c>
      <c r="D217" s="1707">
        <f>SUM(D211:D216)</f>
        <v>0</v>
      </c>
      <c r="E217" s="468"/>
      <c r="F217" s="1707">
        <f>SUM(F211:F216)</f>
        <v>410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v>58112</v>
      </c>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58112</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104571</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1931</v>
      </c>
      <c r="B261" s="470">
        <v>4981</v>
      </c>
      <c r="C261" s="575"/>
      <c r="D261" s="576"/>
      <c r="E261" s="468"/>
      <c r="F261" s="576"/>
      <c r="G261" s="576"/>
      <c r="H261" s="468"/>
      <c r="I261" s="468"/>
      <c r="J261" s="468"/>
      <c r="K261" s="468"/>
    </row>
    <row r="262" spans="1:11" ht="12.75" customHeight="1" thickTop="1" thickBot="1" x14ac:dyDescent="0.25">
      <c r="A262" s="1931" t="s">
        <v>1932</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60121</v>
      </c>
      <c r="D263" s="576"/>
      <c r="E263" s="468"/>
      <c r="F263" s="576"/>
      <c r="G263" s="576"/>
      <c r="H263" s="468"/>
      <c r="I263" s="468"/>
      <c r="J263" s="468"/>
      <c r="K263" s="468"/>
    </row>
    <row r="264" spans="1:11" ht="12.75" customHeight="1" thickTop="1" thickBot="1" x14ac:dyDescent="0.25">
      <c r="A264" s="463" t="s">
        <v>376</v>
      </c>
      <c r="B264" s="470">
        <v>4992</v>
      </c>
      <c r="C264" s="575">
        <v>88868</v>
      </c>
      <c r="D264" s="576"/>
      <c r="E264" s="468"/>
      <c r="F264" s="576"/>
      <c r="G264" s="576"/>
      <c r="H264" s="468"/>
      <c r="I264" s="468"/>
      <c r="J264" s="468"/>
      <c r="K264" s="468"/>
    </row>
    <row r="265" spans="1:11" s="593" customFormat="1" ht="12.75" customHeight="1" thickTop="1" thickBot="1" x14ac:dyDescent="0.25">
      <c r="A265" s="563" t="s">
        <v>75</v>
      </c>
      <c r="B265" s="557">
        <v>4999</v>
      </c>
      <c r="C265" s="575">
        <v>63955</v>
      </c>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2399229</v>
      </c>
      <c r="D266" s="1715">
        <f t="shared" si="10"/>
        <v>0</v>
      </c>
      <c r="E266" s="1715">
        <f t="shared" si="10"/>
        <v>58112</v>
      </c>
      <c r="F266" s="1715">
        <f t="shared" si="10"/>
        <v>410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2399229</v>
      </c>
      <c r="D267" s="1715">
        <f>SUM(D175,D181,D266)</f>
        <v>0</v>
      </c>
      <c r="E267" s="1715">
        <f>SUM(E175,E266)</f>
        <v>58112</v>
      </c>
      <c r="F267" s="1715">
        <f t="shared" ref="F267:K267" si="11">SUM(F175,F181,F266)</f>
        <v>410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34449542</v>
      </c>
      <c r="D268" s="1715">
        <f t="shared" si="12"/>
        <v>4132895</v>
      </c>
      <c r="E268" s="1715">
        <f t="shared" si="12"/>
        <v>4849769</v>
      </c>
      <c r="F268" s="1715">
        <f t="shared" si="12"/>
        <v>2338120</v>
      </c>
      <c r="G268" s="1715">
        <f t="shared" si="12"/>
        <v>1548812</v>
      </c>
      <c r="H268" s="1715">
        <f t="shared" si="12"/>
        <v>0</v>
      </c>
      <c r="I268" s="1715">
        <f t="shared" si="12"/>
        <v>131091</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240" activePane="bottomLeft" state="frozen"/>
      <selection pane="bottomLeft" activeCell="E73" sqref="E7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9"/>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5" t="s">
        <v>296</v>
      </c>
      <c r="B3" s="2166"/>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12103428</v>
      </c>
      <c r="D5" s="466">
        <v>2743076</v>
      </c>
      <c r="E5" s="466">
        <v>373577</v>
      </c>
      <c r="F5" s="466">
        <v>642256</v>
      </c>
      <c r="G5" s="466">
        <v>5720</v>
      </c>
      <c r="H5" s="466">
        <v>7044</v>
      </c>
      <c r="I5" s="467">
        <v>5537</v>
      </c>
      <c r="J5" s="467"/>
      <c r="K5" s="1671">
        <f>SUM(C5:J5)</f>
        <v>15880638</v>
      </c>
      <c r="L5" s="466">
        <v>16225658</v>
      </c>
    </row>
    <row r="6" spans="1:14" x14ac:dyDescent="0.2">
      <c r="A6" s="1504" t="s">
        <v>1432</v>
      </c>
      <c r="B6" s="614" t="s">
        <v>1430</v>
      </c>
      <c r="C6" s="477"/>
      <c r="D6" s="477"/>
      <c r="E6" s="466"/>
      <c r="F6" s="477"/>
      <c r="G6" s="477"/>
      <c r="H6" s="477"/>
      <c r="I6" s="477"/>
      <c r="J6" s="477"/>
      <c r="K6" s="1671">
        <f>SUM(C6,E6)</f>
        <v>0</v>
      </c>
      <c r="L6" s="466">
        <v>5040</v>
      </c>
    </row>
    <row r="7" spans="1:14" x14ac:dyDescent="0.2">
      <c r="A7" s="1504" t="s">
        <v>163</v>
      </c>
      <c r="B7" s="614" t="s">
        <v>966</v>
      </c>
      <c r="C7" s="467">
        <v>254225</v>
      </c>
      <c r="D7" s="467">
        <v>77805</v>
      </c>
      <c r="E7" s="467">
        <v>3318</v>
      </c>
      <c r="F7" s="467">
        <v>13249</v>
      </c>
      <c r="G7" s="467"/>
      <c r="H7" s="467"/>
      <c r="I7" s="467"/>
      <c r="J7" s="467"/>
      <c r="K7" s="1671">
        <f t="shared" ref="K7:K32" si="0">SUM(C7:J7)</f>
        <v>348597</v>
      </c>
      <c r="L7" s="466">
        <v>368423</v>
      </c>
    </row>
    <row r="8" spans="1:14" x14ac:dyDescent="0.2">
      <c r="A8" s="1504" t="s">
        <v>164</v>
      </c>
      <c r="B8" s="614">
        <v>1200</v>
      </c>
      <c r="C8" s="466">
        <v>2593884</v>
      </c>
      <c r="D8" s="466">
        <v>691319</v>
      </c>
      <c r="E8" s="466">
        <v>20577</v>
      </c>
      <c r="F8" s="466">
        <v>18790</v>
      </c>
      <c r="G8" s="466"/>
      <c r="H8" s="466"/>
      <c r="I8" s="467"/>
      <c r="J8" s="467"/>
      <c r="K8" s="1671">
        <f t="shared" si="0"/>
        <v>3324570</v>
      </c>
      <c r="L8" s="466">
        <v>3470243</v>
      </c>
    </row>
    <row r="9" spans="1:14" x14ac:dyDescent="0.2">
      <c r="A9" s="1504" t="s">
        <v>720</v>
      </c>
      <c r="B9" s="614" t="s">
        <v>967</v>
      </c>
      <c r="C9" s="467">
        <v>57585</v>
      </c>
      <c r="D9" s="467">
        <v>6884</v>
      </c>
      <c r="E9" s="467"/>
      <c r="F9" s="467"/>
      <c r="G9" s="467"/>
      <c r="H9" s="467"/>
      <c r="I9" s="467"/>
      <c r="J9" s="467"/>
      <c r="K9" s="1671">
        <f t="shared" si="0"/>
        <v>64469</v>
      </c>
      <c r="L9" s="466">
        <v>97886</v>
      </c>
    </row>
    <row r="10" spans="1:14" x14ac:dyDescent="0.2">
      <c r="A10" s="1504" t="s">
        <v>721</v>
      </c>
      <c r="B10" s="614">
        <v>1250</v>
      </c>
      <c r="C10" s="466"/>
      <c r="D10" s="466"/>
      <c r="E10" s="466"/>
      <c r="F10" s="466"/>
      <c r="G10" s="466"/>
      <c r="H10" s="466"/>
      <c r="I10" s="467"/>
      <c r="J10" s="467"/>
      <c r="K10" s="1671">
        <f t="shared" si="0"/>
        <v>0</v>
      </c>
      <c r="L10" s="466"/>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v>39204</v>
      </c>
      <c r="D12" s="466">
        <v>6982</v>
      </c>
      <c r="E12" s="466"/>
      <c r="F12" s="466"/>
      <c r="G12" s="466"/>
      <c r="H12" s="466"/>
      <c r="I12" s="467"/>
      <c r="J12" s="467"/>
      <c r="K12" s="1671">
        <f t="shared" si="0"/>
        <v>46186</v>
      </c>
      <c r="L12" s="466">
        <v>46564</v>
      </c>
    </row>
    <row r="13" spans="1:14" x14ac:dyDescent="0.2">
      <c r="A13" s="1504" t="s">
        <v>722</v>
      </c>
      <c r="B13" s="614">
        <v>1400</v>
      </c>
      <c r="C13" s="466">
        <v>453468</v>
      </c>
      <c r="D13" s="466">
        <v>96695</v>
      </c>
      <c r="E13" s="466">
        <v>2487</v>
      </c>
      <c r="F13" s="466">
        <v>18584</v>
      </c>
      <c r="G13" s="466"/>
      <c r="H13" s="466"/>
      <c r="I13" s="467">
        <v>799</v>
      </c>
      <c r="J13" s="467"/>
      <c r="K13" s="1671">
        <f t="shared" si="0"/>
        <v>572033</v>
      </c>
      <c r="L13" s="466">
        <v>588687</v>
      </c>
    </row>
    <row r="14" spans="1:14" x14ac:dyDescent="0.2">
      <c r="A14" s="1504" t="s">
        <v>962</v>
      </c>
      <c r="B14" s="614">
        <v>1500</v>
      </c>
      <c r="C14" s="466">
        <v>533542</v>
      </c>
      <c r="D14" s="466">
        <v>49728</v>
      </c>
      <c r="E14" s="466">
        <v>80786</v>
      </c>
      <c r="F14" s="466">
        <v>52194</v>
      </c>
      <c r="G14" s="466">
        <v>138087</v>
      </c>
      <c r="H14" s="466">
        <v>25503</v>
      </c>
      <c r="I14" s="467">
        <v>3862</v>
      </c>
      <c r="J14" s="467"/>
      <c r="K14" s="1671">
        <f t="shared" si="0"/>
        <v>883702</v>
      </c>
      <c r="L14" s="466">
        <v>927380</v>
      </c>
    </row>
    <row r="15" spans="1:14" x14ac:dyDescent="0.2">
      <c r="A15" s="1504" t="s">
        <v>963</v>
      </c>
      <c r="B15" s="614">
        <v>1600</v>
      </c>
      <c r="C15" s="466">
        <v>29577</v>
      </c>
      <c r="D15" s="466">
        <v>1937</v>
      </c>
      <c r="E15" s="466"/>
      <c r="F15" s="466">
        <v>7500</v>
      </c>
      <c r="G15" s="466"/>
      <c r="H15" s="466"/>
      <c r="I15" s="467"/>
      <c r="J15" s="467"/>
      <c r="K15" s="1671">
        <f t="shared" si="0"/>
        <v>39014</v>
      </c>
      <c r="L15" s="466">
        <v>33603</v>
      </c>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v>166018</v>
      </c>
      <c r="D17" s="467">
        <v>35739</v>
      </c>
      <c r="E17" s="467">
        <v>3169</v>
      </c>
      <c r="F17" s="467">
        <v>120</v>
      </c>
      <c r="G17" s="467"/>
      <c r="H17" s="467"/>
      <c r="I17" s="467"/>
      <c r="J17" s="467"/>
      <c r="K17" s="1671">
        <f t="shared" si="0"/>
        <v>205046</v>
      </c>
      <c r="L17" s="466">
        <v>205561</v>
      </c>
    </row>
    <row r="18" spans="1:12" x14ac:dyDescent="0.2">
      <c r="A18" s="1504" t="s">
        <v>1086</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v>1525064</v>
      </c>
      <c r="I22" s="616"/>
      <c r="J22" s="477"/>
      <c r="K22" s="1671">
        <f t="shared" si="0"/>
        <v>1525064</v>
      </c>
      <c r="L22" s="471">
        <v>1692000</v>
      </c>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16230931</v>
      </c>
      <c r="D33" s="1670">
        <f t="shared" ref="D33:L33" si="1">SUM(D5:D32)</f>
        <v>3710165</v>
      </c>
      <c r="E33" s="1670">
        <f t="shared" si="1"/>
        <v>483914</v>
      </c>
      <c r="F33" s="1670">
        <f t="shared" si="1"/>
        <v>752693</v>
      </c>
      <c r="G33" s="1670">
        <f t="shared" si="1"/>
        <v>143807</v>
      </c>
      <c r="H33" s="1670">
        <f t="shared" si="1"/>
        <v>1557611</v>
      </c>
      <c r="I33" s="1670">
        <f t="shared" si="1"/>
        <v>10198</v>
      </c>
      <c r="J33" s="1670">
        <f t="shared" si="1"/>
        <v>0</v>
      </c>
      <c r="K33" s="1670">
        <f t="shared" si="1"/>
        <v>22889319</v>
      </c>
      <c r="L33" s="1670">
        <f t="shared" si="1"/>
        <v>23661045</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240669</v>
      </c>
      <c r="D36" s="481">
        <v>44196</v>
      </c>
      <c r="E36" s="481"/>
      <c r="F36" s="481">
        <v>1568</v>
      </c>
      <c r="G36" s="481"/>
      <c r="H36" s="481"/>
      <c r="I36" s="467"/>
      <c r="J36" s="467"/>
      <c r="K36" s="1671">
        <f t="shared" ref="K36:K41" si="2">SUM(C36:J36)</f>
        <v>286433</v>
      </c>
      <c r="L36" s="466">
        <v>290612</v>
      </c>
    </row>
    <row r="37" spans="1:14" x14ac:dyDescent="0.2">
      <c r="A37" s="1504" t="s">
        <v>1089</v>
      </c>
      <c r="B37" s="614">
        <v>2120</v>
      </c>
      <c r="C37" s="466">
        <v>596284</v>
      </c>
      <c r="D37" s="466">
        <v>129503</v>
      </c>
      <c r="E37" s="466"/>
      <c r="F37" s="466">
        <v>3274</v>
      </c>
      <c r="G37" s="466"/>
      <c r="H37" s="466"/>
      <c r="I37" s="467">
        <v>550</v>
      </c>
      <c r="J37" s="467"/>
      <c r="K37" s="1671">
        <f t="shared" si="2"/>
        <v>729611</v>
      </c>
      <c r="L37" s="466">
        <v>746336</v>
      </c>
    </row>
    <row r="38" spans="1:14" x14ac:dyDescent="0.2">
      <c r="A38" s="1504" t="s">
        <v>198</v>
      </c>
      <c r="B38" s="614">
        <v>2130</v>
      </c>
      <c r="C38" s="466">
        <v>236244</v>
      </c>
      <c r="D38" s="466">
        <v>29182</v>
      </c>
      <c r="E38" s="466">
        <v>2341</v>
      </c>
      <c r="F38" s="466">
        <v>15165</v>
      </c>
      <c r="G38" s="466"/>
      <c r="H38" s="466">
        <v>130</v>
      </c>
      <c r="I38" s="467">
        <v>2391</v>
      </c>
      <c r="J38" s="467"/>
      <c r="K38" s="1671">
        <f t="shared" si="2"/>
        <v>285453</v>
      </c>
      <c r="L38" s="466">
        <v>310631</v>
      </c>
    </row>
    <row r="39" spans="1:14" x14ac:dyDescent="0.2">
      <c r="A39" s="1504" t="s">
        <v>199</v>
      </c>
      <c r="B39" s="614">
        <v>2140</v>
      </c>
      <c r="C39" s="466">
        <v>142232</v>
      </c>
      <c r="D39" s="466">
        <v>30143</v>
      </c>
      <c r="E39" s="466">
        <v>250</v>
      </c>
      <c r="F39" s="466">
        <v>1695</v>
      </c>
      <c r="G39" s="466"/>
      <c r="H39" s="466"/>
      <c r="I39" s="467"/>
      <c r="J39" s="467"/>
      <c r="K39" s="1671">
        <f t="shared" si="2"/>
        <v>174320</v>
      </c>
      <c r="L39" s="466">
        <v>176649</v>
      </c>
    </row>
    <row r="40" spans="1:14" x14ac:dyDescent="0.2">
      <c r="A40" s="1504" t="s">
        <v>200</v>
      </c>
      <c r="B40" s="614">
        <v>2150</v>
      </c>
      <c r="C40" s="466">
        <v>416765</v>
      </c>
      <c r="D40" s="466">
        <v>114535</v>
      </c>
      <c r="E40" s="466">
        <v>1665</v>
      </c>
      <c r="F40" s="466">
        <v>1882</v>
      </c>
      <c r="G40" s="466"/>
      <c r="H40" s="466">
        <v>1800</v>
      </c>
      <c r="I40" s="467"/>
      <c r="J40" s="467"/>
      <c r="K40" s="1671">
        <f t="shared" si="2"/>
        <v>536647</v>
      </c>
      <c r="L40" s="466">
        <v>554778</v>
      </c>
    </row>
    <row r="41" spans="1:14" x14ac:dyDescent="0.2">
      <c r="A41" s="1504" t="s">
        <v>1668</v>
      </c>
      <c r="B41" s="614">
        <v>2190</v>
      </c>
      <c r="C41" s="466">
        <v>382792</v>
      </c>
      <c r="D41" s="466">
        <v>43188</v>
      </c>
      <c r="E41" s="466">
        <v>2597</v>
      </c>
      <c r="F41" s="466"/>
      <c r="G41" s="466"/>
      <c r="H41" s="466"/>
      <c r="I41" s="467"/>
      <c r="J41" s="467"/>
      <c r="K41" s="1671">
        <f t="shared" si="2"/>
        <v>428577</v>
      </c>
      <c r="L41" s="466">
        <v>458020</v>
      </c>
    </row>
    <row r="42" spans="1:14" ht="12.75" customHeight="1" thickBot="1" x14ac:dyDescent="0.25">
      <c r="A42" s="1668" t="s">
        <v>559</v>
      </c>
      <c r="B42" s="1669" t="s">
        <v>715</v>
      </c>
      <c r="C42" s="1670">
        <f>SUM(C36:C41)</f>
        <v>2014986</v>
      </c>
      <c r="D42" s="1670">
        <f t="shared" ref="D42:L42" si="3">SUM(D36:D41)</f>
        <v>390747</v>
      </c>
      <c r="E42" s="1670">
        <f t="shared" si="3"/>
        <v>6853</v>
      </c>
      <c r="F42" s="1670">
        <f t="shared" si="3"/>
        <v>23584</v>
      </c>
      <c r="G42" s="1670">
        <f t="shared" si="3"/>
        <v>0</v>
      </c>
      <c r="H42" s="1670">
        <f t="shared" si="3"/>
        <v>1930</v>
      </c>
      <c r="I42" s="1670">
        <f t="shared" si="3"/>
        <v>2941</v>
      </c>
      <c r="J42" s="1670">
        <f t="shared" si="3"/>
        <v>0</v>
      </c>
      <c r="K42" s="1670">
        <f t="shared" si="3"/>
        <v>2441041</v>
      </c>
      <c r="L42" s="1670">
        <f t="shared" si="3"/>
        <v>2537026</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48468</v>
      </c>
      <c r="D44" s="481">
        <v>7839</v>
      </c>
      <c r="E44" s="481">
        <v>79114</v>
      </c>
      <c r="F44" s="481">
        <v>15542</v>
      </c>
      <c r="G44" s="481"/>
      <c r="H44" s="481">
        <v>450</v>
      </c>
      <c r="I44" s="467"/>
      <c r="J44" s="467"/>
      <c r="K44" s="1672">
        <f>SUM(C44:J44)</f>
        <v>151413</v>
      </c>
      <c r="L44" s="481">
        <v>291484</v>
      </c>
    </row>
    <row r="45" spans="1:14" x14ac:dyDescent="0.2">
      <c r="A45" s="1504" t="s">
        <v>814</v>
      </c>
      <c r="B45" s="614">
        <v>2220</v>
      </c>
      <c r="C45" s="466">
        <v>151865</v>
      </c>
      <c r="D45" s="466">
        <v>49949</v>
      </c>
      <c r="E45" s="466">
        <v>6390</v>
      </c>
      <c r="F45" s="466">
        <v>44399</v>
      </c>
      <c r="G45" s="466"/>
      <c r="H45" s="466"/>
      <c r="I45" s="467"/>
      <c r="J45" s="467"/>
      <c r="K45" s="1672">
        <f>SUM(C45:J45)</f>
        <v>252603</v>
      </c>
      <c r="L45" s="466">
        <v>256560</v>
      </c>
    </row>
    <row r="46" spans="1:14" x14ac:dyDescent="0.2">
      <c r="A46" s="1504" t="s">
        <v>815</v>
      </c>
      <c r="B46" s="614">
        <v>2230</v>
      </c>
      <c r="C46" s="466">
        <v>724</v>
      </c>
      <c r="D46" s="466">
        <v>91</v>
      </c>
      <c r="E46" s="466">
        <v>40176</v>
      </c>
      <c r="F46" s="466">
        <v>1905</v>
      </c>
      <c r="G46" s="466"/>
      <c r="H46" s="466"/>
      <c r="I46" s="467"/>
      <c r="J46" s="467"/>
      <c r="K46" s="1672">
        <f>SUM(C46:J46)</f>
        <v>42896</v>
      </c>
      <c r="L46" s="466">
        <v>66672</v>
      </c>
    </row>
    <row r="47" spans="1:14" ht="12.75" customHeight="1" thickBot="1" x14ac:dyDescent="0.25">
      <c r="A47" s="1668" t="s">
        <v>560</v>
      </c>
      <c r="B47" s="1669" t="s">
        <v>32</v>
      </c>
      <c r="C47" s="1670">
        <f>SUM(C44:C46)</f>
        <v>201057</v>
      </c>
      <c r="D47" s="1670">
        <f t="shared" ref="D47:K47" si="4">SUM(D44:D46)</f>
        <v>57879</v>
      </c>
      <c r="E47" s="1670">
        <f t="shared" si="4"/>
        <v>125680</v>
      </c>
      <c r="F47" s="1670">
        <f t="shared" si="4"/>
        <v>61846</v>
      </c>
      <c r="G47" s="1670">
        <f t="shared" si="4"/>
        <v>0</v>
      </c>
      <c r="H47" s="1670">
        <f t="shared" si="4"/>
        <v>450</v>
      </c>
      <c r="I47" s="1670">
        <f t="shared" si="4"/>
        <v>0</v>
      </c>
      <c r="J47" s="1670">
        <f t="shared" si="4"/>
        <v>0</v>
      </c>
      <c r="K47" s="1670">
        <f t="shared" si="4"/>
        <v>446912</v>
      </c>
      <c r="L47" s="1670">
        <f>SUM(L44:L46)</f>
        <v>614716</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65666</v>
      </c>
      <c r="D49" s="481">
        <v>87828</v>
      </c>
      <c r="E49" s="481">
        <v>174951</v>
      </c>
      <c r="F49" s="481">
        <v>38843</v>
      </c>
      <c r="G49" s="481"/>
      <c r="H49" s="481">
        <v>12866</v>
      </c>
      <c r="I49" s="467"/>
      <c r="J49" s="467"/>
      <c r="K49" s="1672">
        <f>SUM(C49:J49)</f>
        <v>380154</v>
      </c>
      <c r="L49" s="481">
        <v>464251</v>
      </c>
    </row>
    <row r="50" spans="1:14" x14ac:dyDescent="0.2">
      <c r="A50" s="1504" t="s">
        <v>817</v>
      </c>
      <c r="B50" s="614">
        <v>2320</v>
      </c>
      <c r="C50" s="466">
        <v>321660</v>
      </c>
      <c r="D50" s="466">
        <v>68439</v>
      </c>
      <c r="E50" s="466">
        <v>7687</v>
      </c>
      <c r="F50" s="466">
        <v>420</v>
      </c>
      <c r="G50" s="466"/>
      <c r="H50" s="466">
        <v>604</v>
      </c>
      <c r="I50" s="467"/>
      <c r="J50" s="467"/>
      <c r="K50" s="1672">
        <f>SUM(C50:J50)</f>
        <v>398810</v>
      </c>
      <c r="L50" s="466">
        <v>402321</v>
      </c>
    </row>
    <row r="51" spans="1:14" x14ac:dyDescent="0.2">
      <c r="A51" s="1504" t="s">
        <v>42</v>
      </c>
      <c r="B51" s="614">
        <v>2330</v>
      </c>
      <c r="C51" s="466">
        <v>299379</v>
      </c>
      <c r="D51" s="466">
        <v>68149</v>
      </c>
      <c r="E51" s="466">
        <v>4356</v>
      </c>
      <c r="F51" s="466"/>
      <c r="G51" s="466"/>
      <c r="H51" s="466"/>
      <c r="I51" s="467"/>
      <c r="J51" s="467"/>
      <c r="K51" s="1672">
        <f>SUM(C51:J51)</f>
        <v>371884</v>
      </c>
      <c r="L51" s="466">
        <v>396916</v>
      </c>
    </row>
    <row r="52" spans="1:14" ht="22.5" x14ac:dyDescent="0.2">
      <c r="A52" s="1505" t="s">
        <v>297</v>
      </c>
      <c r="B52" s="627" t="s">
        <v>365</v>
      </c>
      <c r="C52" s="474"/>
      <c r="D52" s="474"/>
      <c r="E52" s="474">
        <v>617994</v>
      </c>
      <c r="F52" s="474"/>
      <c r="G52" s="474"/>
      <c r="H52" s="474"/>
      <c r="I52" s="474"/>
      <c r="J52" s="474"/>
      <c r="K52" s="1672">
        <f>SUM(C52:J52)</f>
        <v>617994</v>
      </c>
      <c r="L52" s="474">
        <v>618072</v>
      </c>
    </row>
    <row r="53" spans="1:14" ht="12.75" customHeight="1" thickBot="1" x14ac:dyDescent="0.25">
      <c r="A53" s="1668" t="s">
        <v>716</v>
      </c>
      <c r="B53" s="1669" t="s">
        <v>33</v>
      </c>
      <c r="C53" s="1670">
        <f>SUM(C49:C52)</f>
        <v>686705</v>
      </c>
      <c r="D53" s="1670">
        <f t="shared" ref="D53:L53" si="5">SUM(D49:D52)</f>
        <v>224416</v>
      </c>
      <c r="E53" s="1670">
        <f t="shared" si="5"/>
        <v>804988</v>
      </c>
      <c r="F53" s="1670">
        <f t="shared" si="5"/>
        <v>39263</v>
      </c>
      <c r="G53" s="1670">
        <f t="shared" si="5"/>
        <v>0</v>
      </c>
      <c r="H53" s="1670">
        <f t="shared" si="5"/>
        <v>13470</v>
      </c>
      <c r="I53" s="1670">
        <f t="shared" si="5"/>
        <v>0</v>
      </c>
      <c r="J53" s="1670">
        <f t="shared" si="5"/>
        <v>0</v>
      </c>
      <c r="K53" s="1670">
        <f t="shared" si="5"/>
        <v>1768842</v>
      </c>
      <c r="L53" s="1670">
        <f t="shared" si="5"/>
        <v>1881560</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1423438</v>
      </c>
      <c r="D55" s="481">
        <v>306381</v>
      </c>
      <c r="E55" s="481">
        <v>10886</v>
      </c>
      <c r="F55" s="481">
        <v>37218</v>
      </c>
      <c r="G55" s="481"/>
      <c r="H55" s="481">
        <v>7806</v>
      </c>
      <c r="I55" s="467">
        <v>2905</v>
      </c>
      <c r="J55" s="467"/>
      <c r="K55" s="1672">
        <f>SUM(C55:J55)</f>
        <v>1788634</v>
      </c>
      <c r="L55" s="481">
        <v>1828984</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1423438</v>
      </c>
      <c r="D57" s="1674">
        <f t="shared" ref="D57:K57" si="6">SUM(D55:D56)</f>
        <v>306381</v>
      </c>
      <c r="E57" s="1674">
        <f t="shared" si="6"/>
        <v>10886</v>
      </c>
      <c r="F57" s="1674">
        <f t="shared" si="6"/>
        <v>37218</v>
      </c>
      <c r="G57" s="1674">
        <f t="shared" si="6"/>
        <v>0</v>
      </c>
      <c r="H57" s="1674">
        <f t="shared" si="6"/>
        <v>7806</v>
      </c>
      <c r="I57" s="1674">
        <f t="shared" si="6"/>
        <v>2905</v>
      </c>
      <c r="J57" s="1674">
        <f t="shared" si="6"/>
        <v>0</v>
      </c>
      <c r="K57" s="1674">
        <f t="shared" si="6"/>
        <v>1788634</v>
      </c>
      <c r="L57" s="1670">
        <f>SUM(L55:L56)</f>
        <v>1828984</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385529</v>
      </c>
      <c r="D60" s="466">
        <v>57726</v>
      </c>
      <c r="E60" s="466">
        <v>88330</v>
      </c>
      <c r="F60" s="466">
        <v>3460</v>
      </c>
      <c r="G60" s="466"/>
      <c r="H60" s="466">
        <v>964</v>
      </c>
      <c r="I60" s="467"/>
      <c r="J60" s="467"/>
      <c r="K60" s="1672">
        <f t="shared" si="7"/>
        <v>536009</v>
      </c>
      <c r="L60" s="466">
        <v>564305</v>
      </c>
      <c r="M60" s="609"/>
      <c r="N60" s="609"/>
    </row>
    <row r="61" spans="1:14" s="343" customFormat="1" x14ac:dyDescent="0.2">
      <c r="A61" s="1504" t="s">
        <v>197</v>
      </c>
      <c r="B61" s="614">
        <v>2540</v>
      </c>
      <c r="C61" s="466">
        <v>240511</v>
      </c>
      <c r="D61" s="466">
        <v>1455</v>
      </c>
      <c r="E61" s="466">
        <v>2839</v>
      </c>
      <c r="F61" s="466"/>
      <c r="G61" s="466"/>
      <c r="H61" s="466"/>
      <c r="I61" s="467"/>
      <c r="J61" s="467"/>
      <c r="K61" s="1672">
        <f t="shared" si="7"/>
        <v>244805</v>
      </c>
      <c r="L61" s="466">
        <v>235372</v>
      </c>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754442</v>
      </c>
      <c r="D63" s="466">
        <v>123735</v>
      </c>
      <c r="E63" s="466">
        <v>8829</v>
      </c>
      <c r="F63" s="466">
        <v>996429</v>
      </c>
      <c r="G63" s="466">
        <v>4787</v>
      </c>
      <c r="H63" s="466">
        <v>138</v>
      </c>
      <c r="I63" s="467">
        <v>3760</v>
      </c>
      <c r="J63" s="467"/>
      <c r="K63" s="1672">
        <f t="shared" si="7"/>
        <v>1892120</v>
      </c>
      <c r="L63" s="466">
        <v>1903490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1380482</v>
      </c>
      <c r="D65" s="1670">
        <f t="shared" ref="D65:L65" si="8">SUM(D59:D64)</f>
        <v>182916</v>
      </c>
      <c r="E65" s="1670">
        <f t="shared" si="8"/>
        <v>99998</v>
      </c>
      <c r="F65" s="1670">
        <f t="shared" si="8"/>
        <v>999889</v>
      </c>
      <c r="G65" s="1670">
        <f t="shared" si="8"/>
        <v>4787</v>
      </c>
      <c r="H65" s="1670">
        <f t="shared" si="8"/>
        <v>1102</v>
      </c>
      <c r="I65" s="1670">
        <f t="shared" si="8"/>
        <v>3760</v>
      </c>
      <c r="J65" s="1670">
        <f t="shared" si="8"/>
        <v>0</v>
      </c>
      <c r="K65" s="1670">
        <f t="shared" si="8"/>
        <v>2672934</v>
      </c>
      <c r="L65" s="1670">
        <f t="shared" si="8"/>
        <v>2703167</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v>69055</v>
      </c>
      <c r="D69" s="466">
        <v>348</v>
      </c>
      <c r="E69" s="466"/>
      <c r="F69" s="466">
        <v>59</v>
      </c>
      <c r="G69" s="466"/>
      <c r="H69" s="466">
        <v>285</v>
      </c>
      <c r="I69" s="467"/>
      <c r="J69" s="467"/>
      <c r="K69" s="1672">
        <f>SUM(C69:J69)</f>
        <v>69747</v>
      </c>
      <c r="L69" s="466">
        <v>73190</v>
      </c>
      <c r="M69" s="609"/>
      <c r="N69" s="609"/>
    </row>
    <row r="70" spans="1:14" s="343" customFormat="1" x14ac:dyDescent="0.2">
      <c r="A70" s="1504" t="s">
        <v>402</v>
      </c>
      <c r="B70" s="614">
        <v>2640</v>
      </c>
      <c r="C70" s="466">
        <v>36799</v>
      </c>
      <c r="D70" s="466">
        <v>7525</v>
      </c>
      <c r="E70" s="466">
        <v>13063</v>
      </c>
      <c r="F70" s="466">
        <v>3599</v>
      </c>
      <c r="G70" s="466"/>
      <c r="H70" s="466"/>
      <c r="I70" s="467"/>
      <c r="J70" s="467"/>
      <c r="K70" s="1672">
        <f>SUM(C70:J70)</f>
        <v>60986</v>
      </c>
      <c r="L70" s="466">
        <v>118457</v>
      </c>
      <c r="M70" s="609"/>
      <c r="N70" s="609"/>
    </row>
    <row r="71" spans="1:14" s="343" customFormat="1" x14ac:dyDescent="0.2">
      <c r="A71" s="1504" t="s">
        <v>403</v>
      </c>
      <c r="B71" s="614">
        <v>2660</v>
      </c>
      <c r="C71" s="466">
        <v>314041</v>
      </c>
      <c r="D71" s="466">
        <v>47019</v>
      </c>
      <c r="E71" s="466">
        <v>388533</v>
      </c>
      <c r="F71" s="466">
        <v>314967</v>
      </c>
      <c r="G71" s="466">
        <v>8320</v>
      </c>
      <c r="H71" s="466"/>
      <c r="I71" s="467">
        <v>135236</v>
      </c>
      <c r="J71" s="467"/>
      <c r="K71" s="1672">
        <f>SUM(C71:J71)</f>
        <v>1208116</v>
      </c>
      <c r="L71" s="466">
        <v>1297465</v>
      </c>
      <c r="M71" s="609"/>
      <c r="N71" s="609"/>
    </row>
    <row r="72" spans="1:14" s="343" customFormat="1" ht="12.75" customHeight="1" thickBot="1" x14ac:dyDescent="0.25">
      <c r="A72" s="1668" t="s">
        <v>37</v>
      </c>
      <c r="B72" s="1675" t="s">
        <v>36</v>
      </c>
      <c r="C72" s="1670">
        <f>SUM(C67:C71)</f>
        <v>419895</v>
      </c>
      <c r="D72" s="1670">
        <f t="shared" ref="D72:K72" si="9">SUM(D67:D71)</f>
        <v>54892</v>
      </c>
      <c r="E72" s="1670">
        <f t="shared" si="9"/>
        <v>401596</v>
      </c>
      <c r="F72" s="1670">
        <f t="shared" si="9"/>
        <v>318625</v>
      </c>
      <c r="G72" s="1670">
        <f t="shared" si="9"/>
        <v>8320</v>
      </c>
      <c r="H72" s="1670">
        <f t="shared" si="9"/>
        <v>285</v>
      </c>
      <c r="I72" s="1670">
        <f t="shared" si="9"/>
        <v>135236</v>
      </c>
      <c r="J72" s="1670">
        <f t="shared" si="9"/>
        <v>0</v>
      </c>
      <c r="K72" s="1670">
        <f t="shared" si="9"/>
        <v>1338849</v>
      </c>
      <c r="L72" s="1670">
        <f>SUM(L67:L71)</f>
        <v>1489112</v>
      </c>
      <c r="M72" s="609"/>
      <c r="N72" s="609"/>
    </row>
    <row r="73" spans="1:14" s="343" customFormat="1" ht="14.25" thickTop="1" thickBot="1" x14ac:dyDescent="0.25">
      <c r="A73" s="1510" t="s">
        <v>979</v>
      </c>
      <c r="B73" s="632" t="s">
        <v>573</v>
      </c>
      <c r="C73" s="573"/>
      <c r="D73" s="573"/>
      <c r="E73" s="573">
        <v>6574</v>
      </c>
      <c r="F73" s="573">
        <v>53</v>
      </c>
      <c r="G73" s="573"/>
      <c r="H73" s="573">
        <v>250</v>
      </c>
      <c r="I73" s="531"/>
      <c r="J73" s="531"/>
      <c r="K73" s="1670">
        <f>SUM(C73:J73)</f>
        <v>6877</v>
      </c>
      <c r="L73" s="576">
        <v>6873</v>
      </c>
      <c r="M73" s="609"/>
      <c r="N73" s="609"/>
    </row>
    <row r="74" spans="1:14" ht="12.75" customHeight="1" thickTop="1" thickBot="1" x14ac:dyDescent="0.25">
      <c r="A74" s="1668" t="s">
        <v>810</v>
      </c>
      <c r="B74" s="1676">
        <v>2000</v>
      </c>
      <c r="C74" s="1677">
        <f>SUM(C42,C47,C53,C57,C65,C72,C73)</f>
        <v>6126563</v>
      </c>
      <c r="D74" s="1677">
        <f t="shared" ref="D74:K74" si="10">SUM(D42,D47,D53,D57,D65,D72,D73)</f>
        <v>1217231</v>
      </c>
      <c r="E74" s="1677">
        <f t="shared" si="10"/>
        <v>1456575</v>
      </c>
      <c r="F74" s="1677">
        <f t="shared" si="10"/>
        <v>1480478</v>
      </c>
      <c r="G74" s="1677">
        <f t="shared" si="10"/>
        <v>13107</v>
      </c>
      <c r="H74" s="1677">
        <f t="shared" si="10"/>
        <v>25293</v>
      </c>
      <c r="I74" s="1677">
        <f t="shared" si="10"/>
        <v>144842</v>
      </c>
      <c r="J74" s="1677">
        <f t="shared" si="10"/>
        <v>0</v>
      </c>
      <c r="K74" s="1677">
        <f t="shared" si="10"/>
        <v>10464089</v>
      </c>
      <c r="L74" s="1677">
        <f>SUM(L42,L47,L53,L57,L65,L72,L73)</f>
        <v>11061438</v>
      </c>
    </row>
    <row r="75" spans="1:14" s="259" customFormat="1" ht="15.75" customHeight="1" thickTop="1" thickBot="1" x14ac:dyDescent="0.25">
      <c r="A75" s="1610" t="s">
        <v>47</v>
      </c>
      <c r="B75" s="1611" t="s">
        <v>574</v>
      </c>
      <c r="C75" s="573">
        <v>6548</v>
      </c>
      <c r="D75" s="573">
        <v>987</v>
      </c>
      <c r="E75" s="573"/>
      <c r="F75" s="573">
        <v>2452</v>
      </c>
      <c r="G75" s="573"/>
      <c r="H75" s="573"/>
      <c r="I75" s="531"/>
      <c r="J75" s="531"/>
      <c r="K75" s="1670">
        <f>SUM(C75:J75)</f>
        <v>9987</v>
      </c>
      <c r="L75" s="576">
        <v>12867</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17510</v>
      </c>
      <c r="F78" s="616"/>
      <c r="G78" s="616"/>
      <c r="H78" s="634"/>
      <c r="I78" s="477"/>
      <c r="J78" s="477"/>
      <c r="K78" s="1671">
        <f t="shared" ref="K78:K83" si="11">SUM(C78:J78)</f>
        <v>17510</v>
      </c>
      <c r="L78" s="481">
        <v>2000</v>
      </c>
    </row>
    <row r="79" spans="1:14" x14ac:dyDescent="0.2">
      <c r="A79" s="1504" t="s">
        <v>303</v>
      </c>
      <c r="B79" s="614">
        <v>4120</v>
      </c>
      <c r="C79" s="616"/>
      <c r="D79" s="616"/>
      <c r="E79" s="466"/>
      <c r="F79" s="616"/>
      <c r="G79" s="616"/>
      <c r="H79" s="466"/>
      <c r="I79" s="477"/>
      <c r="J79" s="477"/>
      <c r="K79" s="1671">
        <f t="shared" si="11"/>
        <v>0</v>
      </c>
      <c r="L79" s="466"/>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v>2840</v>
      </c>
      <c r="F81" s="616"/>
      <c r="G81" s="616"/>
      <c r="H81" s="466"/>
      <c r="I81" s="477"/>
      <c r="J81" s="477"/>
      <c r="K81" s="1671">
        <f t="shared" si="11"/>
        <v>2840</v>
      </c>
      <c r="L81" s="466">
        <v>2800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v>500</v>
      </c>
    </row>
    <row r="84" spans="1:12" ht="13.5" thickBot="1" x14ac:dyDescent="0.25">
      <c r="A84" s="1668" t="s">
        <v>1484</v>
      </c>
      <c r="B84" s="1678">
        <v>4100</v>
      </c>
      <c r="C84" s="616"/>
      <c r="D84" s="616"/>
      <c r="E84" s="1670">
        <f>SUM(E78:E83)</f>
        <v>20350</v>
      </c>
      <c r="F84" s="616"/>
      <c r="G84" s="616"/>
      <c r="H84" s="1670">
        <f>SUM(H78:H83)</f>
        <v>0</v>
      </c>
      <c r="I84" s="477"/>
      <c r="J84" s="477"/>
      <c r="K84" s="1670">
        <f>SUM(K78:K83)</f>
        <v>20350</v>
      </c>
      <c r="L84" s="1670">
        <f>SUM(L78:L83)</f>
        <v>5300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v>107320</v>
      </c>
      <c r="I86" s="477"/>
      <c r="J86" s="477"/>
      <c r="K86" s="1677">
        <f t="shared" ref="K86:K98" si="12">H86</f>
        <v>107320</v>
      </c>
      <c r="L86" s="530">
        <v>150500</v>
      </c>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v>294989</v>
      </c>
      <c r="I88" s="477"/>
      <c r="J88" s="477"/>
      <c r="K88" s="1677">
        <f t="shared" si="12"/>
        <v>294989</v>
      </c>
      <c r="L88" s="530">
        <v>340000</v>
      </c>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v>9845</v>
      </c>
      <c r="I91" s="477"/>
      <c r="J91" s="477"/>
      <c r="K91" s="1677">
        <f t="shared" si="12"/>
        <v>9845</v>
      </c>
      <c r="L91" s="530">
        <v>31927</v>
      </c>
    </row>
    <row r="92" spans="1:12" ht="14.25" thickTop="1" thickBot="1" x14ac:dyDescent="0.25">
      <c r="A92" s="1680" t="s">
        <v>1559</v>
      </c>
      <c r="B92" s="1678">
        <v>4200</v>
      </c>
      <c r="C92" s="616"/>
      <c r="D92" s="616"/>
      <c r="E92" s="638"/>
      <c r="F92" s="616"/>
      <c r="G92" s="616"/>
      <c r="H92" s="1670">
        <f>SUM(H85:H91)</f>
        <v>412154</v>
      </c>
      <c r="I92" s="477"/>
      <c r="J92" s="477"/>
      <c r="K92" s="1677">
        <f t="shared" si="12"/>
        <v>412154</v>
      </c>
      <c r="L92" s="1670">
        <f>SUM(L85:L91)</f>
        <v>522427</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20350</v>
      </c>
      <c r="F102" s="616"/>
      <c r="G102" s="616"/>
      <c r="H102" s="1677">
        <f>SUM(H84,H92,H100,H101)</f>
        <v>412154</v>
      </c>
      <c r="I102" s="477"/>
      <c r="J102" s="477"/>
      <c r="K102" s="1677">
        <f>SUM(K84,K92,K100,K101)</f>
        <v>432504</v>
      </c>
      <c r="L102" s="1677">
        <f>SUM(L84,L92,L100,L101)</f>
        <v>527727</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22364042</v>
      </c>
      <c r="D114" s="1670">
        <f t="shared" ref="D114:K114" si="13">SUM(D33,D74,D75,D102,D112,D113)</f>
        <v>4928383</v>
      </c>
      <c r="E114" s="1670">
        <f t="shared" si="13"/>
        <v>1960839</v>
      </c>
      <c r="F114" s="1670">
        <f t="shared" si="13"/>
        <v>2235623</v>
      </c>
      <c r="G114" s="1670">
        <f t="shared" si="13"/>
        <v>156914</v>
      </c>
      <c r="H114" s="1670">
        <f>SUM(H33,H74,H75,H102,H112,H113)</f>
        <v>1995058</v>
      </c>
      <c r="I114" s="1670">
        <f t="shared" si="13"/>
        <v>155040</v>
      </c>
      <c r="J114" s="1670">
        <f t="shared" si="13"/>
        <v>0</v>
      </c>
      <c r="K114" s="1670">
        <f t="shared" si="13"/>
        <v>33795899</v>
      </c>
      <c r="L114" s="1670">
        <f>SUM(L33,L74,L75,L102,L112,L113)</f>
        <v>35263077</v>
      </c>
    </row>
    <row r="115" spans="1:14" ht="13.5" thickTop="1" x14ac:dyDescent="0.2">
      <c r="A115" s="2157" t="s">
        <v>995</v>
      </c>
      <c r="B115" s="2158"/>
      <c r="C115" s="618"/>
      <c r="D115" s="618"/>
      <c r="E115" s="618"/>
      <c r="F115" s="618"/>
      <c r="G115" s="618"/>
      <c r="H115" s="618"/>
      <c r="I115" s="618"/>
      <c r="J115" s="618"/>
      <c r="K115" s="1684">
        <f>'Revenues 9-14'!C268-'Expenditures 15-22'!K114</f>
        <v>653643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295</v>
      </c>
      <c r="B117" s="2163"/>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2054</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1724875</v>
      </c>
      <c r="D124" s="466">
        <v>268823</v>
      </c>
      <c r="E124" s="466">
        <v>648283</v>
      </c>
      <c r="F124" s="466">
        <v>1211252</v>
      </c>
      <c r="G124" s="466">
        <v>1483071</v>
      </c>
      <c r="H124" s="466">
        <v>6243</v>
      </c>
      <c r="I124" s="467">
        <v>37617</v>
      </c>
      <c r="J124" s="467"/>
      <c r="K124" s="1670">
        <f>SUM(C124:J124)</f>
        <v>5380164</v>
      </c>
      <c r="L124" s="466">
        <v>7184463</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1724875</v>
      </c>
      <c r="D127" s="1670">
        <f t="shared" ref="D127:L127" si="14">SUM(D122:D126)</f>
        <v>268823</v>
      </c>
      <c r="E127" s="1670">
        <f t="shared" si="14"/>
        <v>648283</v>
      </c>
      <c r="F127" s="1670">
        <f t="shared" si="14"/>
        <v>1211252</v>
      </c>
      <c r="G127" s="1670">
        <f t="shared" si="14"/>
        <v>1483071</v>
      </c>
      <c r="H127" s="1670">
        <f t="shared" si="14"/>
        <v>6243</v>
      </c>
      <c r="I127" s="1670">
        <f t="shared" si="14"/>
        <v>37617</v>
      </c>
      <c r="J127" s="1670">
        <f t="shared" si="14"/>
        <v>0</v>
      </c>
      <c r="K127" s="1670">
        <f t="shared" si="14"/>
        <v>5380164</v>
      </c>
      <c r="L127" s="1670">
        <f t="shared" si="14"/>
        <v>7184463</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1724875</v>
      </c>
      <c r="D129" s="1677">
        <f t="shared" ref="D129:L129" si="15">SUM(D120,D127,D128)</f>
        <v>268823</v>
      </c>
      <c r="E129" s="1677">
        <f t="shared" si="15"/>
        <v>648283</v>
      </c>
      <c r="F129" s="1677">
        <f t="shared" si="15"/>
        <v>1211252</v>
      </c>
      <c r="G129" s="1677">
        <f t="shared" si="15"/>
        <v>1483071</v>
      </c>
      <c r="H129" s="1677">
        <f t="shared" si="15"/>
        <v>6243</v>
      </c>
      <c r="I129" s="1677">
        <f t="shared" si="15"/>
        <v>37617</v>
      </c>
      <c r="J129" s="1677">
        <f t="shared" si="15"/>
        <v>0</v>
      </c>
      <c r="K129" s="1677">
        <f t="shared" si="15"/>
        <v>5380164</v>
      </c>
      <c r="L129" s="1677">
        <f t="shared" si="15"/>
        <v>7184463</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1840</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74" t="s">
        <v>619</v>
      </c>
      <c r="B151" s="2154"/>
      <c r="C151" s="1670">
        <f>SUM(C129,C130,C139,C149,C150)</f>
        <v>1724875</v>
      </c>
      <c r="D151" s="1670">
        <f t="shared" ref="D151:K151" si="16">SUM(D129,D130,D139,D149,D150)</f>
        <v>268823</v>
      </c>
      <c r="E151" s="1670">
        <f t="shared" si="16"/>
        <v>648283</v>
      </c>
      <c r="F151" s="1670">
        <f t="shared" si="16"/>
        <v>1211252</v>
      </c>
      <c r="G151" s="1670">
        <f t="shared" si="16"/>
        <v>1483071</v>
      </c>
      <c r="H151" s="1670">
        <f t="shared" si="16"/>
        <v>6243</v>
      </c>
      <c r="I151" s="1670">
        <f t="shared" si="16"/>
        <v>37617</v>
      </c>
      <c r="J151" s="1670">
        <f t="shared" si="16"/>
        <v>0</v>
      </c>
      <c r="K151" s="1670">
        <f t="shared" si="16"/>
        <v>5380164</v>
      </c>
      <c r="L151" s="1670">
        <f>SUM(L129,L130,L139,L149,L150)</f>
        <v>7184463</v>
      </c>
    </row>
    <row r="152" spans="1:14" ht="12.75" customHeight="1" thickTop="1" x14ac:dyDescent="0.2">
      <c r="A152" s="2177" t="s">
        <v>1177</v>
      </c>
      <c r="B152" s="2178"/>
      <c r="C152" s="618"/>
      <c r="D152" s="618"/>
      <c r="E152" s="618"/>
      <c r="F152" s="618"/>
      <c r="G152" s="618"/>
      <c r="H152" s="618"/>
      <c r="I152" s="618"/>
      <c r="J152" s="616"/>
      <c r="K152" s="1684">
        <f>'Revenues 9-14'!D268-'Expenditures 15-22'!K151</f>
        <v>-1247269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620</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1841</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1840</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1842</v>
      </c>
      <c r="C158" s="616"/>
      <c r="D158" s="616"/>
      <c r="E158" s="616"/>
      <c r="F158" s="616"/>
      <c r="G158" s="616"/>
      <c r="H158" s="467"/>
      <c r="I158" s="616"/>
      <c r="J158" s="616"/>
      <c r="K158" s="1671">
        <f>H158</f>
        <v>0</v>
      </c>
      <c r="L158" s="467"/>
      <c r="M158" s="619"/>
      <c r="N158" s="619"/>
    </row>
    <row r="159" spans="1:14" s="620" customFormat="1" ht="12" x14ac:dyDescent="0.2">
      <c r="A159" s="1826" t="s">
        <v>1843</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1844</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1855640</v>
      </c>
      <c r="I169" s="616"/>
      <c r="J169" s="616"/>
      <c r="K169" s="1671">
        <f>SUM(C169:H169)</f>
        <v>1855640</v>
      </c>
      <c r="L169" s="656">
        <v>1855640</v>
      </c>
    </row>
    <row r="170" spans="1:14" ht="33.75" customHeight="1" x14ac:dyDescent="0.2">
      <c r="A170" s="669" t="s">
        <v>1669</v>
      </c>
      <c r="B170" s="671" t="s">
        <v>31</v>
      </c>
      <c r="C170" s="616"/>
      <c r="D170" s="616"/>
      <c r="E170" s="616"/>
      <c r="F170" s="616"/>
      <c r="G170" s="616"/>
      <c r="H170" s="569">
        <v>3355000</v>
      </c>
      <c r="I170" s="616"/>
      <c r="J170" s="616"/>
      <c r="K170" s="1671">
        <f>SUM(C170:J170)</f>
        <v>3355000</v>
      </c>
      <c r="L170" s="569">
        <v>3355000</v>
      </c>
    </row>
    <row r="171" spans="1:14" ht="15.75" customHeight="1" x14ac:dyDescent="0.2">
      <c r="A171" s="621" t="s">
        <v>765</v>
      </c>
      <c r="B171" s="672" t="s">
        <v>84</v>
      </c>
      <c r="C171" s="616"/>
      <c r="D171" s="616"/>
      <c r="E171" s="466"/>
      <c r="F171" s="616"/>
      <c r="G171" s="616"/>
      <c r="H171" s="569"/>
      <c r="I171" s="477"/>
      <c r="J171" s="616"/>
      <c r="K171" s="1671">
        <f>SUM(C171:J171)</f>
        <v>0</v>
      </c>
      <c r="L171" s="569"/>
    </row>
    <row r="172" spans="1:14" ht="12.75" customHeight="1" thickBot="1" x14ac:dyDescent="0.25">
      <c r="A172" s="1668" t="s">
        <v>637</v>
      </c>
      <c r="B172" s="1669" t="s">
        <v>491</v>
      </c>
      <c r="C172" s="616"/>
      <c r="D172" s="616"/>
      <c r="E172" s="1677">
        <f>SUM(E168,E169,E170,E171)</f>
        <v>0</v>
      </c>
      <c r="F172" s="616"/>
      <c r="G172" s="616"/>
      <c r="H172" s="1677">
        <f>SUM(H168,H169,H170,H171)</f>
        <v>5210640</v>
      </c>
      <c r="I172" s="638"/>
      <c r="J172" s="616"/>
      <c r="K172" s="1677">
        <f>SUM(K168,K169,K170,K171)</f>
        <v>5210640</v>
      </c>
      <c r="L172" s="1677">
        <f>SUM(L168,L169,L170,L171)</f>
        <v>5210640</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5210640</v>
      </c>
      <c r="I174" s="638"/>
      <c r="J174" s="616"/>
      <c r="K174" s="1677">
        <f>SUM(K160,K172,K173)</f>
        <v>5210640</v>
      </c>
      <c r="L174" s="1677">
        <f>SUM(L160,L172,L173)</f>
        <v>5210640</v>
      </c>
    </row>
    <row r="175" spans="1:14" ht="13.5" thickTop="1" x14ac:dyDescent="0.2">
      <c r="A175" s="2157" t="s">
        <v>995</v>
      </c>
      <c r="B175" s="2158"/>
      <c r="C175" s="616"/>
      <c r="D175" s="616"/>
      <c r="E175" s="616"/>
      <c r="F175" s="616"/>
      <c r="G175" s="616"/>
      <c r="H175" s="618"/>
      <c r="I175" s="616"/>
      <c r="J175" s="616"/>
      <c r="K175" s="1684">
        <f>'Revenues 9-14'!E268-'Expenditures 15-22'!K174</f>
        <v>-360871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2054</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1326865</v>
      </c>
      <c r="D182" s="466">
        <v>150930</v>
      </c>
      <c r="E182" s="466">
        <v>120869</v>
      </c>
      <c r="F182" s="466">
        <v>300468</v>
      </c>
      <c r="G182" s="466">
        <v>166605</v>
      </c>
      <c r="H182" s="466"/>
      <c r="I182" s="467"/>
      <c r="J182" s="467"/>
      <c r="K182" s="1671">
        <f>SUM(C182:J182)</f>
        <v>2065737</v>
      </c>
      <c r="L182" s="466">
        <v>2055771</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1326865</v>
      </c>
      <c r="D184" s="1677">
        <f t="shared" ref="D184:J184" si="17">SUM(D180,D182,D183)</f>
        <v>150930</v>
      </c>
      <c r="E184" s="1677">
        <f t="shared" si="17"/>
        <v>120869</v>
      </c>
      <c r="F184" s="1677">
        <f t="shared" si="17"/>
        <v>300468</v>
      </c>
      <c r="G184" s="1677">
        <f t="shared" si="17"/>
        <v>166605</v>
      </c>
      <c r="H184" s="1677">
        <f t="shared" si="17"/>
        <v>0</v>
      </c>
      <c r="I184" s="1677">
        <f t="shared" si="17"/>
        <v>0</v>
      </c>
      <c r="J184" s="1677">
        <f t="shared" si="17"/>
        <v>0</v>
      </c>
      <c r="K184" s="1677">
        <f>SUM(K180,K182,K183)</f>
        <v>2065737</v>
      </c>
      <c r="L184" s="1677">
        <f>SUM(L180, L182:L183)</f>
        <v>2055771</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1670</v>
      </c>
      <c r="B206" s="672" t="s">
        <v>31</v>
      </c>
      <c r="C206" s="616"/>
      <c r="D206" s="616"/>
      <c r="E206" s="616"/>
      <c r="F206" s="616"/>
      <c r="G206" s="616"/>
      <c r="H206" s="466"/>
      <c r="I206" s="616"/>
      <c r="J206" s="616"/>
      <c r="K206" s="1671">
        <f>SUM(H206)</f>
        <v>0</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10000</v>
      </c>
    </row>
    <row r="210" spans="1:14" ht="12.75" customHeight="1" thickTop="1" thickBot="1" x14ac:dyDescent="0.25">
      <c r="A210" s="1692" t="s">
        <v>276</v>
      </c>
      <c r="B210" s="1693"/>
      <c r="C210" s="1670">
        <f>SUM(C184,C185)</f>
        <v>1326865</v>
      </c>
      <c r="D210" s="1670">
        <f>SUM(D184,D185)</f>
        <v>150930</v>
      </c>
      <c r="E210" s="1670">
        <f>SUM(E184,E185,E196)</f>
        <v>120869</v>
      </c>
      <c r="F210" s="1670">
        <f>SUM(F184,F185)</f>
        <v>300468</v>
      </c>
      <c r="G210" s="1670">
        <f>SUM(G184,G185)</f>
        <v>166605</v>
      </c>
      <c r="H210" s="1670">
        <f>SUM(H184,H185,H196,H208,H209)</f>
        <v>0</v>
      </c>
      <c r="I210" s="1670">
        <f>SUM(I184,I185)</f>
        <v>0</v>
      </c>
      <c r="J210" s="1670">
        <f>SUM(J184,J185)</f>
        <v>0</v>
      </c>
      <c r="K210" s="1671">
        <f>SUM(K184,K185,K196,K208,K209)</f>
        <v>2065737</v>
      </c>
      <c r="L210" s="1670">
        <f>SUM(L184,L185,L196,L208,L209)</f>
        <v>2065771</v>
      </c>
    </row>
    <row r="211" spans="1:14" ht="13.5" thickTop="1" x14ac:dyDescent="0.2">
      <c r="A211" s="2157" t="s">
        <v>995</v>
      </c>
      <c r="B211" s="2158"/>
      <c r="C211" s="618"/>
      <c r="D211" s="618"/>
      <c r="E211" s="618"/>
      <c r="F211" s="618"/>
      <c r="G211" s="618"/>
      <c r="H211" s="618"/>
      <c r="I211" s="616"/>
      <c r="J211" s="616"/>
      <c r="K211" s="1684">
        <f>'Revenues 9-14'!F268-'Expenditures 15-22'!K210</f>
        <v>272383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964</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196257</v>
      </c>
      <c r="E215" s="616"/>
      <c r="F215" s="616"/>
      <c r="G215" s="616"/>
      <c r="H215" s="616"/>
      <c r="I215" s="616"/>
      <c r="J215" s="616"/>
      <c r="K215" s="1671">
        <f>D215</f>
        <v>196257</v>
      </c>
      <c r="L215" s="466">
        <v>141649</v>
      </c>
    </row>
    <row r="216" spans="1:14" x14ac:dyDescent="0.2">
      <c r="A216" s="1504" t="s">
        <v>163</v>
      </c>
      <c r="B216" s="614" t="s">
        <v>966</v>
      </c>
      <c r="C216" s="616"/>
      <c r="D216" s="467">
        <v>815</v>
      </c>
      <c r="E216" s="616"/>
      <c r="F216" s="616"/>
      <c r="G216" s="616"/>
      <c r="H216" s="616"/>
      <c r="I216" s="616"/>
      <c r="J216" s="616"/>
      <c r="K216" s="1671">
        <f t="shared" ref="K216:K228" si="19">D216</f>
        <v>815</v>
      </c>
      <c r="L216" s="466">
        <v>56733</v>
      </c>
    </row>
    <row r="217" spans="1:14" x14ac:dyDescent="0.2">
      <c r="A217" s="1504" t="s">
        <v>164</v>
      </c>
      <c r="B217" s="614">
        <v>1200</v>
      </c>
      <c r="C217" s="616"/>
      <c r="D217" s="466">
        <v>181190</v>
      </c>
      <c r="E217" s="616"/>
      <c r="F217" s="616"/>
      <c r="G217" s="616"/>
      <c r="H217" s="616"/>
      <c r="I217" s="616"/>
      <c r="J217" s="616"/>
      <c r="K217" s="1671">
        <f t="shared" si="19"/>
        <v>181190</v>
      </c>
      <c r="L217" s="466">
        <v>333403</v>
      </c>
    </row>
    <row r="218" spans="1:14" x14ac:dyDescent="0.2">
      <c r="A218" s="1504" t="s">
        <v>277</v>
      </c>
      <c r="B218" s="614" t="s">
        <v>967</v>
      </c>
      <c r="C218" s="616"/>
      <c r="D218" s="467">
        <v>5086</v>
      </c>
      <c r="E218" s="616"/>
      <c r="F218" s="616"/>
      <c r="G218" s="616"/>
      <c r="H218" s="616"/>
      <c r="I218" s="616"/>
      <c r="J218" s="616"/>
      <c r="K218" s="1671">
        <f t="shared" si="19"/>
        <v>5086</v>
      </c>
      <c r="L218" s="466">
        <v>6550</v>
      </c>
    </row>
    <row r="219" spans="1:14" x14ac:dyDescent="0.2">
      <c r="A219" s="1504" t="s">
        <v>278</v>
      </c>
      <c r="B219" s="614">
        <v>1250</v>
      </c>
      <c r="C219" s="616"/>
      <c r="D219" s="466"/>
      <c r="E219" s="616"/>
      <c r="F219" s="616"/>
      <c r="G219" s="616"/>
      <c r="H219" s="616"/>
      <c r="I219" s="616"/>
      <c r="J219" s="616"/>
      <c r="K219" s="1671">
        <f t="shared" si="19"/>
        <v>0</v>
      </c>
      <c r="L219" s="466"/>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v>6581</v>
      </c>
      <c r="E221" s="616"/>
      <c r="F221" s="616"/>
      <c r="G221" s="616"/>
      <c r="H221" s="616"/>
      <c r="I221" s="616"/>
      <c r="J221" s="616"/>
      <c r="K221" s="1671">
        <f t="shared" si="19"/>
        <v>6581</v>
      </c>
      <c r="L221" s="466">
        <v>6582</v>
      </c>
    </row>
    <row r="222" spans="1:14" x14ac:dyDescent="0.2">
      <c r="A222" s="1504" t="s">
        <v>722</v>
      </c>
      <c r="B222" s="614">
        <v>1400</v>
      </c>
      <c r="C222" s="616"/>
      <c r="D222" s="466">
        <v>6729</v>
      </c>
      <c r="E222" s="616"/>
      <c r="F222" s="616"/>
      <c r="G222" s="616"/>
      <c r="H222" s="616"/>
      <c r="I222" s="616"/>
      <c r="J222" s="616"/>
      <c r="K222" s="1671">
        <f t="shared" si="19"/>
        <v>6729</v>
      </c>
      <c r="L222" s="466">
        <v>6572</v>
      </c>
    </row>
    <row r="223" spans="1:14" x14ac:dyDescent="0.2">
      <c r="A223" s="1504" t="s">
        <v>962</v>
      </c>
      <c r="B223" s="614">
        <v>1500</v>
      </c>
      <c r="C223" s="616"/>
      <c r="D223" s="466">
        <v>22415</v>
      </c>
      <c r="E223" s="616"/>
      <c r="F223" s="616"/>
      <c r="G223" s="616"/>
      <c r="H223" s="616"/>
      <c r="I223" s="616"/>
      <c r="J223" s="616"/>
      <c r="K223" s="1671">
        <f t="shared" si="19"/>
        <v>22415</v>
      </c>
      <c r="L223" s="466">
        <v>23846</v>
      </c>
    </row>
    <row r="224" spans="1:14" x14ac:dyDescent="0.2">
      <c r="A224" s="1504" t="s">
        <v>963</v>
      </c>
      <c r="B224" s="614">
        <v>1600</v>
      </c>
      <c r="C224" s="616"/>
      <c r="D224" s="466">
        <v>1712</v>
      </c>
      <c r="E224" s="616"/>
      <c r="F224" s="616"/>
      <c r="G224" s="616"/>
      <c r="H224" s="616"/>
      <c r="I224" s="616"/>
      <c r="J224" s="616"/>
      <c r="K224" s="1671">
        <f t="shared" si="19"/>
        <v>1712</v>
      </c>
      <c r="L224" s="466">
        <v>934</v>
      </c>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v>2387</v>
      </c>
      <c r="E226" s="616"/>
      <c r="F226" s="616"/>
      <c r="G226" s="616"/>
      <c r="H226" s="616"/>
      <c r="I226" s="616"/>
      <c r="J226" s="616"/>
      <c r="K226" s="1671">
        <f t="shared" si="19"/>
        <v>2387</v>
      </c>
      <c r="L226" s="466">
        <v>2408</v>
      </c>
    </row>
    <row r="227" spans="1:12" x14ac:dyDescent="0.2">
      <c r="A227" s="1504" t="s">
        <v>1086</v>
      </c>
      <c r="B227" s="614">
        <v>1800</v>
      </c>
      <c r="C227" s="616"/>
      <c r="D227" s="466"/>
      <c r="E227" s="616"/>
      <c r="F227" s="616"/>
      <c r="G227" s="616"/>
      <c r="H227" s="616"/>
      <c r="I227" s="616"/>
      <c r="J227" s="616"/>
      <c r="K227" s="1671">
        <f t="shared" si="19"/>
        <v>0</v>
      </c>
      <c r="L227" s="466"/>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423172</v>
      </c>
      <c r="E229" s="616"/>
      <c r="F229" s="616"/>
      <c r="G229" s="616"/>
      <c r="H229" s="616"/>
      <c r="I229" s="616"/>
      <c r="J229" s="616"/>
      <c r="K229" s="1670">
        <f>SUM(K215:K228)</f>
        <v>423172</v>
      </c>
      <c r="L229" s="1670">
        <f>SUM(L215:L228)</f>
        <v>578677</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3464</v>
      </c>
      <c r="E232" s="616"/>
      <c r="F232" s="616"/>
      <c r="G232" s="616"/>
      <c r="H232" s="616"/>
      <c r="I232" s="616"/>
      <c r="J232" s="616"/>
      <c r="K232" s="1671">
        <f t="shared" ref="K232:K237" si="20">D232</f>
        <v>3464</v>
      </c>
      <c r="L232" s="466">
        <v>3468</v>
      </c>
    </row>
    <row r="233" spans="1:12" x14ac:dyDescent="0.2">
      <c r="A233" s="1504" t="s">
        <v>1089</v>
      </c>
      <c r="B233" s="614">
        <v>2120</v>
      </c>
      <c r="C233" s="616"/>
      <c r="D233" s="466">
        <v>13404</v>
      </c>
      <c r="E233" s="616"/>
      <c r="F233" s="616"/>
      <c r="G233" s="616"/>
      <c r="H233" s="616"/>
      <c r="I233" s="616"/>
      <c r="J233" s="616"/>
      <c r="K233" s="1671">
        <f t="shared" si="20"/>
        <v>13404</v>
      </c>
      <c r="L233" s="466">
        <v>13315</v>
      </c>
    </row>
    <row r="234" spans="1:12" x14ac:dyDescent="0.2">
      <c r="A234" s="1504" t="s">
        <v>198</v>
      </c>
      <c r="B234" s="614">
        <v>2130</v>
      </c>
      <c r="C234" s="616"/>
      <c r="D234" s="466">
        <v>39160</v>
      </c>
      <c r="E234" s="616"/>
      <c r="F234" s="616"/>
      <c r="G234" s="616"/>
      <c r="H234" s="616"/>
      <c r="I234" s="616"/>
      <c r="J234" s="616"/>
      <c r="K234" s="1671">
        <f t="shared" si="20"/>
        <v>39160</v>
      </c>
      <c r="L234" s="466">
        <v>38558</v>
      </c>
    </row>
    <row r="235" spans="1:12" x14ac:dyDescent="0.2">
      <c r="A235" s="1504" t="s">
        <v>199</v>
      </c>
      <c r="B235" s="614">
        <v>2140</v>
      </c>
      <c r="C235" s="616"/>
      <c r="D235" s="466">
        <v>2018</v>
      </c>
      <c r="E235" s="616"/>
      <c r="F235" s="616"/>
      <c r="G235" s="616"/>
      <c r="H235" s="616"/>
      <c r="I235" s="616"/>
      <c r="J235" s="616"/>
      <c r="K235" s="1671">
        <f t="shared" si="20"/>
        <v>2018</v>
      </c>
      <c r="L235" s="466">
        <v>3328</v>
      </c>
    </row>
    <row r="236" spans="1:12" x14ac:dyDescent="0.2">
      <c r="A236" s="1504" t="s">
        <v>200</v>
      </c>
      <c r="B236" s="614">
        <v>2150</v>
      </c>
      <c r="C236" s="616"/>
      <c r="D236" s="466">
        <v>5612</v>
      </c>
      <c r="E236" s="616"/>
      <c r="F236" s="616"/>
      <c r="G236" s="616"/>
      <c r="H236" s="616"/>
      <c r="I236" s="616"/>
      <c r="J236" s="616"/>
      <c r="K236" s="1671">
        <f t="shared" si="20"/>
        <v>5612</v>
      </c>
      <c r="L236" s="466">
        <v>5704</v>
      </c>
    </row>
    <row r="237" spans="1:12" x14ac:dyDescent="0.2">
      <c r="A237" s="1504" t="s">
        <v>165</v>
      </c>
      <c r="B237" s="614">
        <v>2190</v>
      </c>
      <c r="C237" s="616"/>
      <c r="D237" s="466">
        <v>52586</v>
      </c>
      <c r="E237" s="616"/>
      <c r="F237" s="616"/>
      <c r="G237" s="616"/>
      <c r="H237" s="616"/>
      <c r="I237" s="616"/>
      <c r="J237" s="616"/>
      <c r="K237" s="1671">
        <f t="shared" si="20"/>
        <v>52586</v>
      </c>
      <c r="L237" s="466">
        <v>51429</v>
      </c>
    </row>
    <row r="238" spans="1:12" ht="12.75" customHeight="1" thickBot="1" x14ac:dyDescent="0.25">
      <c r="A238" s="1668" t="s">
        <v>559</v>
      </c>
      <c r="B238" s="1675" t="s">
        <v>715</v>
      </c>
      <c r="C238" s="616"/>
      <c r="D238" s="1670">
        <f>SUM(D232:D237)</f>
        <v>116244</v>
      </c>
      <c r="E238" s="616"/>
      <c r="F238" s="616"/>
      <c r="G238" s="616"/>
      <c r="H238" s="616"/>
      <c r="I238" s="616"/>
      <c r="J238" s="616"/>
      <c r="K238" s="1670">
        <f>SUM(K232:K237)</f>
        <v>116244</v>
      </c>
      <c r="L238" s="1670">
        <f>SUM(L232:L237)</f>
        <v>115802</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682</v>
      </c>
      <c r="E240" s="616"/>
      <c r="F240" s="616"/>
      <c r="G240" s="616"/>
      <c r="H240" s="616"/>
      <c r="I240" s="616"/>
      <c r="J240" s="616"/>
      <c r="K240" s="1672">
        <f>D240</f>
        <v>682</v>
      </c>
      <c r="L240" s="481">
        <v>1652</v>
      </c>
    </row>
    <row r="241" spans="1:12" x14ac:dyDescent="0.2">
      <c r="A241" s="1504" t="s">
        <v>814</v>
      </c>
      <c r="B241" s="614">
        <v>2220</v>
      </c>
      <c r="C241" s="616"/>
      <c r="D241" s="466">
        <v>8748</v>
      </c>
      <c r="E241" s="616"/>
      <c r="F241" s="616"/>
      <c r="G241" s="616"/>
      <c r="H241" s="616"/>
      <c r="I241" s="616"/>
      <c r="J241" s="616"/>
      <c r="K241" s="1672">
        <f>D241</f>
        <v>8748</v>
      </c>
      <c r="L241" s="466">
        <v>8788</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9430</v>
      </c>
      <c r="E243" s="616"/>
      <c r="F243" s="616"/>
      <c r="G243" s="616"/>
      <c r="H243" s="616"/>
      <c r="I243" s="616"/>
      <c r="J243" s="616"/>
      <c r="K243" s="1670">
        <f>SUM(K240:K242)</f>
        <v>9430</v>
      </c>
      <c r="L243" s="1670">
        <f>SUM(L240:L242)</f>
        <v>10440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12555</v>
      </c>
      <c r="E245" s="616"/>
      <c r="F245" s="616"/>
      <c r="G245" s="616"/>
      <c r="H245" s="616"/>
      <c r="I245" s="616"/>
      <c r="J245" s="616"/>
      <c r="K245" s="1672">
        <f>D245</f>
        <v>12555</v>
      </c>
      <c r="L245" s="481">
        <v>11763</v>
      </c>
    </row>
    <row r="246" spans="1:12" x14ac:dyDescent="0.2">
      <c r="A246" s="1504" t="s">
        <v>817</v>
      </c>
      <c r="B246" s="614">
        <v>2320</v>
      </c>
      <c r="C246" s="616"/>
      <c r="D246" s="466">
        <v>4676</v>
      </c>
      <c r="E246" s="616"/>
      <c r="F246" s="616"/>
      <c r="G246" s="616"/>
      <c r="H246" s="616"/>
      <c r="I246" s="616"/>
      <c r="J246" s="616"/>
      <c r="K246" s="1672">
        <f t="shared" ref="K246:K256" si="21">D246</f>
        <v>4676</v>
      </c>
      <c r="L246" s="466">
        <v>4618</v>
      </c>
    </row>
    <row r="247" spans="1:12" x14ac:dyDescent="0.2">
      <c r="A247" s="1504" t="s">
        <v>818</v>
      </c>
      <c r="B247" s="614">
        <v>2330</v>
      </c>
      <c r="C247" s="616"/>
      <c r="D247" s="466">
        <v>9824</v>
      </c>
      <c r="E247" s="616"/>
      <c r="F247" s="616"/>
      <c r="G247" s="616"/>
      <c r="H247" s="616"/>
      <c r="I247" s="616"/>
      <c r="J247" s="616"/>
      <c r="K247" s="1672">
        <f t="shared" si="21"/>
        <v>9824</v>
      </c>
      <c r="L247" s="466">
        <v>10007</v>
      </c>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1801</v>
      </c>
      <c r="B249" s="683" t="s">
        <v>281</v>
      </c>
      <c r="C249" s="616"/>
      <c r="D249" s="474"/>
      <c r="E249" s="616"/>
      <c r="F249" s="616"/>
      <c r="G249" s="616"/>
      <c r="H249" s="616"/>
      <c r="I249" s="616"/>
      <c r="J249" s="616"/>
      <c r="K249" s="1672">
        <f t="shared" si="21"/>
        <v>0</v>
      </c>
      <c r="L249" s="466"/>
    </row>
    <row r="250" spans="1:12" x14ac:dyDescent="0.2">
      <c r="A250" s="1505" t="s">
        <v>1802</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c r="E254" s="616"/>
      <c r="F254" s="616"/>
      <c r="G254" s="616"/>
      <c r="H254" s="616"/>
      <c r="I254" s="616"/>
      <c r="J254" s="616"/>
      <c r="K254" s="1672">
        <f t="shared" si="21"/>
        <v>0</v>
      </c>
      <c r="L254" s="466"/>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27055</v>
      </c>
      <c r="E257" s="616"/>
      <c r="F257" s="616"/>
      <c r="G257" s="616"/>
      <c r="H257" s="616"/>
      <c r="I257" s="616"/>
      <c r="J257" s="616"/>
      <c r="K257" s="1670">
        <f>SUM(K245:K256)</f>
        <v>27055</v>
      </c>
      <c r="L257" s="1670">
        <f>SUM(L245:L256)</f>
        <v>26388</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46253</v>
      </c>
      <c r="E259" s="616"/>
      <c r="F259" s="616"/>
      <c r="G259" s="616"/>
      <c r="H259" s="616"/>
      <c r="I259" s="616"/>
      <c r="J259" s="616"/>
      <c r="K259" s="1672">
        <f>D259</f>
        <v>46253</v>
      </c>
      <c r="L259" s="481">
        <v>45789</v>
      </c>
    </row>
    <row r="260" spans="1:14" s="597" customFormat="1" x14ac:dyDescent="0.2">
      <c r="A260" s="1522" t="s">
        <v>1800</v>
      </c>
      <c r="B260" s="628">
        <v>2490</v>
      </c>
      <c r="C260" s="616"/>
      <c r="D260" s="466"/>
      <c r="E260" s="616"/>
      <c r="F260" s="616"/>
      <c r="G260" s="616"/>
      <c r="H260" s="616"/>
      <c r="I260" s="616"/>
      <c r="J260" s="616"/>
      <c r="K260" s="1672">
        <f>D260</f>
        <v>0</v>
      </c>
      <c r="L260" s="466">
        <v>24266</v>
      </c>
      <c r="M260" s="210"/>
      <c r="N260" s="210"/>
    </row>
    <row r="261" spans="1:14" ht="12.75" customHeight="1" thickBot="1" x14ac:dyDescent="0.25">
      <c r="A261" s="1692" t="s">
        <v>263</v>
      </c>
      <c r="B261" s="1697" t="s">
        <v>34</v>
      </c>
      <c r="C261" s="616"/>
      <c r="D261" s="1670">
        <f>SUM(D259:D260)</f>
        <v>46253</v>
      </c>
      <c r="E261" s="616"/>
      <c r="F261" s="616"/>
      <c r="G261" s="616"/>
      <c r="H261" s="616"/>
      <c r="I261" s="616"/>
      <c r="J261" s="616"/>
      <c r="K261" s="1670">
        <f>SUM(K259:K260)</f>
        <v>46253</v>
      </c>
      <c r="L261" s="1670">
        <f>SUM(L259:L260)</f>
        <v>70055</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row>
    <row r="264" spans="1:14" x14ac:dyDescent="0.2">
      <c r="A264" s="1504" t="s">
        <v>462</v>
      </c>
      <c r="B264" s="685">
        <v>2520</v>
      </c>
      <c r="C264" s="616"/>
      <c r="D264" s="466">
        <v>48851</v>
      </c>
      <c r="E264" s="616"/>
      <c r="F264" s="616"/>
      <c r="G264" s="616"/>
      <c r="H264" s="616"/>
      <c r="I264" s="616"/>
      <c r="J264" s="616"/>
      <c r="K264" s="1672">
        <f t="shared" ref="K264:K269" si="22">D264</f>
        <v>48851</v>
      </c>
      <c r="L264" s="466">
        <v>27504</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317204</v>
      </c>
      <c r="E266" s="616"/>
      <c r="F266" s="616"/>
      <c r="G266" s="616"/>
      <c r="H266" s="616"/>
      <c r="I266" s="616"/>
      <c r="J266" s="616"/>
      <c r="K266" s="1672">
        <f t="shared" si="22"/>
        <v>317204</v>
      </c>
      <c r="L266" s="466">
        <v>330441</v>
      </c>
    </row>
    <row r="267" spans="1:14" x14ac:dyDescent="0.2">
      <c r="A267" s="1504" t="s">
        <v>952</v>
      </c>
      <c r="B267" s="614">
        <v>2550</v>
      </c>
      <c r="C267" s="616"/>
      <c r="D267" s="466">
        <v>215105</v>
      </c>
      <c r="E267" s="616"/>
      <c r="F267" s="616"/>
      <c r="G267" s="616"/>
      <c r="H267" s="616"/>
      <c r="I267" s="616"/>
      <c r="J267" s="616"/>
      <c r="K267" s="1672">
        <f t="shared" si="22"/>
        <v>215105</v>
      </c>
      <c r="L267" s="466">
        <v>218101</v>
      </c>
    </row>
    <row r="268" spans="1:14" x14ac:dyDescent="0.2">
      <c r="A268" s="1504" t="s">
        <v>100</v>
      </c>
      <c r="B268" s="614">
        <v>2560</v>
      </c>
      <c r="C268" s="616"/>
      <c r="D268" s="466">
        <v>108520</v>
      </c>
      <c r="E268" s="616"/>
      <c r="F268" s="616"/>
      <c r="G268" s="616"/>
      <c r="H268" s="616"/>
      <c r="I268" s="616"/>
      <c r="J268" s="616"/>
      <c r="K268" s="1672">
        <f t="shared" si="22"/>
        <v>108520</v>
      </c>
      <c r="L268" s="466">
        <v>110288</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689680</v>
      </c>
      <c r="E270" s="616"/>
      <c r="F270" s="616"/>
      <c r="G270" s="616"/>
      <c r="H270" s="616"/>
      <c r="I270" s="616"/>
      <c r="J270" s="616"/>
      <c r="K270" s="1670">
        <f>SUM(K263:K269)</f>
        <v>689680</v>
      </c>
      <c r="L270" s="1670">
        <f>SUM(L263:L269)</f>
        <v>686334</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v>11763</v>
      </c>
      <c r="E274" s="616"/>
      <c r="F274" s="616"/>
      <c r="G274" s="616"/>
      <c r="H274" s="616"/>
      <c r="I274" s="616"/>
      <c r="J274" s="616"/>
      <c r="K274" s="1672">
        <f>D274</f>
        <v>11763</v>
      </c>
      <c r="L274" s="466">
        <v>11964</v>
      </c>
    </row>
    <row r="275" spans="1:12" x14ac:dyDescent="0.2">
      <c r="A275" s="1504" t="s">
        <v>402</v>
      </c>
      <c r="B275" s="614">
        <v>2640</v>
      </c>
      <c r="C275" s="616"/>
      <c r="D275" s="466">
        <v>5367</v>
      </c>
      <c r="E275" s="616"/>
      <c r="F275" s="616"/>
      <c r="G275" s="616"/>
      <c r="H275" s="616"/>
      <c r="I275" s="616"/>
      <c r="J275" s="616"/>
      <c r="K275" s="1672">
        <f>D275</f>
        <v>5367</v>
      </c>
      <c r="L275" s="466">
        <v>5398</v>
      </c>
    </row>
    <row r="276" spans="1:12" x14ac:dyDescent="0.2">
      <c r="A276" s="1504" t="s">
        <v>403</v>
      </c>
      <c r="B276" s="614">
        <v>2660</v>
      </c>
      <c r="C276" s="616"/>
      <c r="D276" s="466">
        <v>52624</v>
      </c>
      <c r="E276" s="616"/>
      <c r="F276" s="616"/>
      <c r="G276" s="616"/>
      <c r="H276" s="616"/>
      <c r="I276" s="616"/>
      <c r="J276" s="616"/>
      <c r="K276" s="1672">
        <f>D276</f>
        <v>52624</v>
      </c>
      <c r="L276" s="466">
        <v>53882</v>
      </c>
    </row>
    <row r="277" spans="1:12" ht="12.75" customHeight="1" thickBot="1" x14ac:dyDescent="0.25">
      <c r="A277" s="1691" t="s">
        <v>37</v>
      </c>
      <c r="B277" s="1669" t="s">
        <v>36</v>
      </c>
      <c r="C277" s="616"/>
      <c r="D277" s="1670">
        <f>SUM(D272:D276)</f>
        <v>69754</v>
      </c>
      <c r="E277" s="616"/>
      <c r="F277" s="616"/>
      <c r="G277" s="616"/>
      <c r="H277" s="616"/>
      <c r="I277" s="616"/>
      <c r="J277" s="616"/>
      <c r="K277" s="1670">
        <f>SUM(K272:K276)</f>
        <v>69754</v>
      </c>
      <c r="L277" s="1670">
        <f>SUM(L272:L276)</f>
        <v>71244</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958416</v>
      </c>
      <c r="E279" s="616"/>
      <c r="F279" s="616"/>
      <c r="G279" s="616"/>
      <c r="H279" s="616"/>
      <c r="I279" s="616"/>
      <c r="J279" s="616"/>
      <c r="K279" s="1677">
        <f>SUM(K238,K243,K257,K261,K270,K277,K278)</f>
        <v>958416</v>
      </c>
      <c r="L279" s="1677">
        <f>SUM(L238,L243,L257,L261,L270,L277,L278)</f>
        <v>980263</v>
      </c>
    </row>
    <row r="280" spans="1:12" ht="15.75" customHeight="1" thickTop="1" thickBot="1" x14ac:dyDescent="0.25">
      <c r="A280" s="1624" t="s">
        <v>874</v>
      </c>
      <c r="B280" s="1613">
        <v>3000</v>
      </c>
      <c r="C280" s="616"/>
      <c r="D280" s="576"/>
      <c r="E280" s="616"/>
      <c r="F280" s="616"/>
      <c r="G280" s="616"/>
      <c r="H280" s="616"/>
      <c r="I280" s="616"/>
      <c r="J280" s="616"/>
      <c r="K280" s="1679">
        <f>D280</f>
        <v>0</v>
      </c>
      <c r="L280" s="576">
        <v>132</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1840</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13628</v>
      </c>
    </row>
    <row r="295" spans="1:14" ht="12.75" customHeight="1" thickTop="1" thickBot="1" x14ac:dyDescent="0.25">
      <c r="A295" s="2175" t="s">
        <v>504</v>
      </c>
      <c r="B295" s="2176"/>
      <c r="C295" s="616"/>
      <c r="D295" s="1670">
        <f>SUM(D229,D279,D280,D285)</f>
        <v>1381588</v>
      </c>
      <c r="E295" s="616"/>
      <c r="F295" s="616"/>
      <c r="G295" s="616"/>
      <c r="H295" s="1670">
        <f>H293</f>
        <v>0</v>
      </c>
      <c r="I295" s="616"/>
      <c r="J295" s="616"/>
      <c r="K295" s="1670">
        <f>SUM(K229,K279,K280,K285,K293,K294)</f>
        <v>1381588</v>
      </c>
      <c r="L295" s="1670">
        <f>SUM(L229,L279,L280,L285,L293,L294)</f>
        <v>1572700</v>
      </c>
    </row>
    <row r="296" spans="1:14" ht="13.5" thickTop="1" x14ac:dyDescent="0.2">
      <c r="A296" s="2157" t="s">
        <v>995</v>
      </c>
      <c r="B296" s="2158"/>
      <c r="C296" s="616"/>
      <c r="D296" s="618"/>
      <c r="E296" s="616"/>
      <c r="F296" s="616"/>
      <c r="G296" s="616"/>
      <c r="H296" s="687"/>
      <c r="I296" s="616"/>
      <c r="J296" s="616"/>
      <c r="K296" s="1684">
        <f>'Revenues 9-14'!G268-'Expenditures 15-22'!K295</f>
        <v>167224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c r="H301" s="466"/>
      <c r="I301" s="467"/>
      <c r="J301" s="467"/>
      <c r="K301" s="1671">
        <f>SUM(C301:J301)</f>
        <v>0</v>
      </c>
      <c r="L301" s="467"/>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1845</v>
      </c>
      <c r="B306" s="690" t="s">
        <v>1840</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72" t="s">
        <v>276</v>
      </c>
      <c r="B312" s="217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8" t="s">
        <v>995</v>
      </c>
      <c r="B313" s="2169"/>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897</v>
      </c>
      <c r="B317" s="2182"/>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1801</v>
      </c>
      <c r="B320" s="698" t="s">
        <v>281</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299</v>
      </c>
      <c r="B321" s="697" t="s">
        <v>282</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283</v>
      </c>
      <c r="C322" s="467"/>
      <c r="D322" s="467"/>
      <c r="E322" s="467"/>
      <c r="F322" s="467"/>
      <c r="G322" s="467"/>
      <c r="H322" s="467"/>
      <c r="I322" s="467"/>
      <c r="J322" s="467"/>
      <c r="K322" s="1671">
        <f t="shared" si="24"/>
        <v>0</v>
      </c>
      <c r="L322" s="467"/>
      <c r="M322" s="665"/>
      <c r="N322" s="665"/>
    </row>
    <row r="323" spans="1:14" s="674" customFormat="1" x14ac:dyDescent="0.2">
      <c r="A323" s="1519" t="s">
        <v>701</v>
      </c>
      <c r="B323" s="697" t="s">
        <v>284</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c r="D325" s="467"/>
      <c r="E325" s="467"/>
      <c r="F325" s="467"/>
      <c r="G325" s="467"/>
      <c r="H325" s="467"/>
      <c r="I325" s="467"/>
      <c r="J325" s="467"/>
      <c r="K325" s="1671">
        <f t="shared" si="24"/>
        <v>0</v>
      </c>
      <c r="L325" s="467"/>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c r="F327" s="467"/>
      <c r="G327" s="467"/>
      <c r="H327" s="467"/>
      <c r="I327" s="467"/>
      <c r="J327" s="467"/>
      <c r="K327" s="1671">
        <f t="shared" si="24"/>
        <v>0</v>
      </c>
      <c r="L327" s="467"/>
      <c r="M327" s="665"/>
      <c r="N327" s="665"/>
    </row>
    <row r="328" spans="1:14" s="674" customFormat="1" x14ac:dyDescent="0.2">
      <c r="A328" s="1520" t="s">
        <v>471</v>
      </c>
      <c r="B328" s="690" t="s">
        <v>1131</v>
      </c>
      <c r="C328" s="474"/>
      <c r="D328" s="474"/>
      <c r="E328" s="474"/>
      <c r="F328" s="474"/>
      <c r="G328" s="474"/>
      <c r="H328" s="474"/>
      <c r="I328" s="474"/>
      <c r="J328" s="474"/>
      <c r="K328" s="1699">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1846</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1840</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1842</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1847</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70" t="s">
        <v>995</v>
      </c>
      <c r="B343" s="2171"/>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965</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v>107588</v>
      </c>
      <c r="H349" s="466"/>
      <c r="I349" s="467"/>
      <c r="J349" s="467"/>
      <c r="K349" s="1671">
        <f>SUM(C349:J349)</f>
        <v>107588</v>
      </c>
      <c r="L349" s="466">
        <v>139138</v>
      </c>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107588</v>
      </c>
      <c r="H350" s="1670">
        <f t="shared" si="26"/>
        <v>0</v>
      </c>
      <c r="I350" s="1670">
        <f t="shared" si="26"/>
        <v>0</v>
      </c>
      <c r="J350" s="1670">
        <f t="shared" si="26"/>
        <v>0</v>
      </c>
      <c r="K350" s="1670">
        <f t="shared" si="26"/>
        <v>107588</v>
      </c>
      <c r="L350" s="1670">
        <f t="shared" si="26"/>
        <v>139138</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0</v>
      </c>
      <c r="F352" s="1670">
        <f t="shared" si="27"/>
        <v>0</v>
      </c>
      <c r="G352" s="1670">
        <f t="shared" si="27"/>
        <v>107588</v>
      </c>
      <c r="H352" s="1670">
        <f t="shared" si="27"/>
        <v>0</v>
      </c>
      <c r="I352" s="1670">
        <f t="shared" si="27"/>
        <v>0</v>
      </c>
      <c r="J352" s="1670">
        <f t="shared" si="27"/>
        <v>0</v>
      </c>
      <c r="K352" s="1670">
        <f t="shared" si="27"/>
        <v>107588</v>
      </c>
      <c r="L352" s="1670">
        <f t="shared" si="27"/>
        <v>139138</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1848</v>
      </c>
      <c r="B354" s="683" t="s">
        <v>1840</v>
      </c>
      <c r="C354" s="616"/>
      <c r="D354" s="616"/>
      <c r="E354" s="616"/>
      <c r="F354" s="616"/>
      <c r="G354" s="616"/>
      <c r="H354" s="474"/>
      <c r="I354" s="701"/>
      <c r="J354" s="616"/>
      <c r="K354" s="1699">
        <f>H354</f>
        <v>0</v>
      </c>
      <c r="L354" s="471"/>
    </row>
    <row r="355" spans="1:14" ht="12.75" customHeight="1" x14ac:dyDescent="0.2">
      <c r="A355" s="1513" t="s">
        <v>1849</v>
      </c>
      <c r="B355" s="690" t="s">
        <v>1842</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0</v>
      </c>
      <c r="F367" s="1670">
        <f t="shared" si="28"/>
        <v>0</v>
      </c>
      <c r="G367" s="1670">
        <f t="shared" si="28"/>
        <v>107588</v>
      </c>
      <c r="H367" s="1670">
        <f t="shared" si="28"/>
        <v>0</v>
      </c>
      <c r="I367" s="1670">
        <f t="shared" si="28"/>
        <v>0</v>
      </c>
      <c r="J367" s="1670">
        <f t="shared" si="28"/>
        <v>0</v>
      </c>
      <c r="K367" s="1670">
        <f t="shared" si="28"/>
        <v>107588</v>
      </c>
      <c r="L367" s="1670">
        <f t="shared" si="28"/>
        <v>139138</v>
      </c>
    </row>
    <row r="368" spans="1:14" ht="13.5" thickTop="1" x14ac:dyDescent="0.2">
      <c r="A368" s="2157" t="s">
        <v>995</v>
      </c>
      <c r="B368" s="2158"/>
      <c r="C368" s="654"/>
      <c r="D368" s="654"/>
      <c r="E368" s="626"/>
      <c r="F368" s="626"/>
      <c r="G368" s="626"/>
      <c r="H368" s="626"/>
      <c r="I368" s="626"/>
      <c r="J368" s="623"/>
      <c r="K368" s="1671">
        <f>'Revenues 9-14'!K268-'Expenditures 15-22'!K367</f>
        <v>-107588</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C7" sqref="C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4" t="s">
        <v>1798</v>
      </c>
      <c r="B2" s="1528" t="s">
        <v>1945</v>
      </c>
      <c r="C2" s="714" t="s">
        <v>1946</v>
      </c>
      <c r="D2" s="714" t="s">
        <v>1947</v>
      </c>
      <c r="E2" s="714" t="s">
        <v>1948</v>
      </c>
      <c r="F2" s="714" t="s">
        <v>1949</v>
      </c>
    </row>
    <row r="3" spans="1:6" ht="12" customHeight="1" x14ac:dyDescent="0.2">
      <c r="A3" s="2185"/>
      <c r="B3" s="1525"/>
      <c r="C3" s="1526"/>
      <c r="D3" s="1527" t="s">
        <v>256</v>
      </c>
      <c r="E3" s="1526"/>
      <c r="F3" s="1527" t="s">
        <v>257</v>
      </c>
    </row>
    <row r="4" spans="1:6" ht="13.7" customHeight="1" x14ac:dyDescent="0.2">
      <c r="A4" s="715" t="s">
        <v>1154</v>
      </c>
      <c r="B4" s="1749">
        <f>'Revenues 9-14'!C5</f>
        <v>19819018</v>
      </c>
      <c r="C4" s="1524">
        <f>9804309+928464</f>
        <v>10732773</v>
      </c>
      <c r="D4" s="1752">
        <f>B4-C4</f>
        <v>9086245</v>
      </c>
      <c r="E4" s="1524">
        <v>21955298</v>
      </c>
      <c r="F4" s="1752">
        <f>E4-C4</f>
        <v>11222525</v>
      </c>
    </row>
    <row r="5" spans="1:6" ht="13.7" customHeight="1" x14ac:dyDescent="0.2">
      <c r="A5" s="715" t="s">
        <v>869</v>
      </c>
      <c r="B5" s="1750">
        <f>'Revenues 9-14'!D5</f>
        <v>3906494</v>
      </c>
      <c r="C5" s="585">
        <f>1932563+183013</f>
        <v>2115576</v>
      </c>
      <c r="D5" s="1753">
        <f t="shared" ref="D5:D18" si="0">B5-C5</f>
        <v>1790918</v>
      </c>
      <c r="E5" s="585">
        <v>4327689</v>
      </c>
      <c r="F5" s="1753">
        <f>E5-C5</f>
        <v>2212113</v>
      </c>
    </row>
    <row r="6" spans="1:6" ht="13.7" customHeight="1" x14ac:dyDescent="0.2">
      <c r="A6" s="715" t="s">
        <v>410</v>
      </c>
      <c r="B6" s="1750">
        <f>'Revenues 9-14'!E5</f>
        <v>4789078</v>
      </c>
      <c r="C6" s="585">
        <f>2342927+221875</f>
        <v>2564802</v>
      </c>
      <c r="D6" s="1753">
        <f t="shared" si="0"/>
        <v>2224276</v>
      </c>
      <c r="E6" s="585">
        <v>5246642</v>
      </c>
      <c r="F6" s="1753">
        <f t="shared" ref="F6:F18" si="1">E6-C6</f>
        <v>2681840</v>
      </c>
    </row>
    <row r="7" spans="1:6" ht="13.7" customHeight="1" x14ac:dyDescent="0.2">
      <c r="A7" s="715" t="s">
        <v>155</v>
      </c>
      <c r="B7" s="1750">
        <f>'Revenues 9-14'!F5</f>
        <v>1335058</v>
      </c>
      <c r="C7" s="585">
        <f>660536+62553</f>
        <v>723089</v>
      </c>
      <c r="D7" s="1753">
        <f t="shared" si="0"/>
        <v>611969</v>
      </c>
      <c r="E7" s="585">
        <v>1479174</v>
      </c>
      <c r="F7" s="1753">
        <f t="shared" si="1"/>
        <v>756085</v>
      </c>
    </row>
    <row r="8" spans="1:6" ht="13.7" customHeight="1" x14ac:dyDescent="0.2">
      <c r="A8" s="715" t="s">
        <v>1178</v>
      </c>
      <c r="B8" s="1750">
        <f>'Revenues 9-14'!G5</f>
        <v>699080</v>
      </c>
      <c r="C8" s="585">
        <f>345794+32747</f>
        <v>378541</v>
      </c>
      <c r="D8" s="1753">
        <f t="shared" si="0"/>
        <v>320539</v>
      </c>
      <c r="E8" s="585">
        <v>774354</v>
      </c>
      <c r="F8" s="1753">
        <f t="shared" si="1"/>
        <v>395813</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109048</v>
      </c>
      <c r="C10" s="585">
        <f>53986+5112</f>
        <v>59098</v>
      </c>
      <c r="D10" s="1753">
        <f t="shared" si="0"/>
        <v>49950</v>
      </c>
      <c r="E10" s="585">
        <v>120894</v>
      </c>
      <c r="F10" s="1753">
        <f t="shared" si="1"/>
        <v>61796</v>
      </c>
    </row>
    <row r="11" spans="1:6" x14ac:dyDescent="0.2">
      <c r="A11" s="715" t="s">
        <v>408</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935</v>
      </c>
      <c r="B13" s="1750">
        <f>SUM('Revenues 9-14'!C6:D6)</f>
        <v>142750</v>
      </c>
      <c r="C13" s="585">
        <f>70570+6683</f>
        <v>77253</v>
      </c>
      <c r="D13" s="1753">
        <f t="shared" si="0"/>
        <v>65497</v>
      </c>
      <c r="E13" s="585">
        <v>158031</v>
      </c>
      <c r="F13" s="1753">
        <f t="shared" si="1"/>
        <v>80778</v>
      </c>
    </row>
    <row r="14" spans="1:6" ht="13.7" customHeight="1" x14ac:dyDescent="0.2">
      <c r="A14" s="715" t="s">
        <v>409</v>
      </c>
      <c r="B14" s="1750">
        <f>SUM('Revenues 9-14'!C7:D7,'Revenues 9-14'!F7:H7)</f>
        <v>142750</v>
      </c>
      <c r="C14" s="585">
        <f>70570+6683</f>
        <v>77253</v>
      </c>
      <c r="D14" s="1753">
        <f t="shared" si="0"/>
        <v>65497</v>
      </c>
      <c r="E14" s="585">
        <v>158031</v>
      </c>
      <c r="F14" s="1753">
        <f t="shared" si="1"/>
        <v>80778</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812816</v>
      </c>
      <c r="C16" s="585">
        <f>402250+38093</f>
        <v>440343</v>
      </c>
      <c r="D16" s="1753">
        <f t="shared" si="0"/>
        <v>372473</v>
      </c>
      <c r="E16" s="585">
        <v>900779</v>
      </c>
      <c r="F16" s="1753">
        <f t="shared" si="1"/>
        <v>460436</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31756092</v>
      </c>
      <c r="C19" s="1751">
        <f>SUM(C4:C18)</f>
        <v>17168728</v>
      </c>
      <c r="D19" s="1751">
        <f>SUM(D4:D18)</f>
        <v>14587364</v>
      </c>
      <c r="E19" s="1751">
        <f>SUM(E4:E18)</f>
        <v>35120892</v>
      </c>
      <c r="F19" s="1751">
        <f>SUM(F4:F18)</f>
        <v>17952164</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90" zoomScaleNormal="90" workbookViewId="0">
      <selection activeCell="J42" sqref="J4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628</v>
      </c>
      <c r="B1" s="2204"/>
      <c r="C1" s="721"/>
    </row>
    <row r="2" spans="1:7" ht="33.75" x14ac:dyDescent="0.2">
      <c r="A2" s="2211" t="s">
        <v>1798</v>
      </c>
      <c r="B2" s="2212"/>
      <c r="C2" s="1884" t="s">
        <v>1950</v>
      </c>
      <c r="D2" s="723" t="s">
        <v>1951</v>
      </c>
      <c r="E2" s="723" t="s">
        <v>1952</v>
      </c>
      <c r="F2" s="1884" t="s">
        <v>1953</v>
      </c>
    </row>
    <row r="3" spans="1:7" ht="15.75" customHeight="1" x14ac:dyDescent="0.2">
      <c r="A3" s="2213" t="s">
        <v>1113</v>
      </c>
      <c r="B3" s="2214"/>
      <c r="C3" s="2207"/>
      <c r="D3" s="2208"/>
      <c r="E3" s="2208"/>
      <c r="F3" s="2209"/>
    </row>
    <row r="4" spans="1:7" ht="12.75" customHeight="1" thickBot="1" x14ac:dyDescent="0.25">
      <c r="A4" s="2201" t="s">
        <v>629</v>
      </c>
      <c r="B4" s="2202"/>
      <c r="C4" s="581"/>
      <c r="D4" s="581"/>
      <c r="E4" s="581"/>
      <c r="F4" s="1755">
        <f>SUM(C4+D4)-E4</f>
        <v>0</v>
      </c>
    </row>
    <row r="5" spans="1:7" ht="15.75" customHeight="1" thickTop="1" x14ac:dyDescent="0.2">
      <c r="A5" s="2205" t="s">
        <v>1109</v>
      </c>
      <c r="B5" s="2200"/>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7" t="s">
        <v>630</v>
      </c>
      <c r="B15" s="2198"/>
      <c r="C15" s="1755">
        <f>SUM(C6:C14)</f>
        <v>0</v>
      </c>
      <c r="D15" s="1755">
        <f>SUM(D6:D14)</f>
        <v>0</v>
      </c>
      <c r="E15" s="1755">
        <f>SUM(E6:E14)</f>
        <v>0</v>
      </c>
      <c r="F15" s="1755">
        <f>SUM(F6:F14)</f>
        <v>0</v>
      </c>
      <c r="G15" s="552"/>
    </row>
    <row r="16" spans="1:7" s="202" customFormat="1" ht="15.75" customHeight="1" thickTop="1" x14ac:dyDescent="0.2">
      <c r="A16" s="2210" t="s">
        <v>1110</v>
      </c>
      <c r="B16" s="2200"/>
      <c r="C16" s="2194"/>
      <c r="D16" s="2195"/>
      <c r="E16" s="2195"/>
      <c r="F16" s="2196"/>
    </row>
    <row r="17" spans="1:11" ht="12.75" customHeight="1" thickBot="1" x14ac:dyDescent="0.25">
      <c r="A17" s="2192" t="s">
        <v>64</v>
      </c>
      <c r="B17" s="2193"/>
      <c r="C17" s="726"/>
      <c r="D17" s="585"/>
      <c r="E17" s="726"/>
      <c r="F17" s="1755">
        <f>SUM(C17+D17)-E17</f>
        <v>0</v>
      </c>
    </row>
    <row r="18" spans="1:11" ht="12.75" customHeight="1" thickTop="1" thickBot="1" x14ac:dyDescent="0.25">
      <c r="A18" s="2192" t="s">
        <v>6</v>
      </c>
      <c r="B18" s="2193"/>
      <c r="C18" s="726"/>
      <c r="D18" s="585"/>
      <c r="E18" s="726"/>
      <c r="F18" s="1755">
        <f>SUM(C18+D18)-E18</f>
        <v>0</v>
      </c>
    </row>
    <row r="19" spans="1:11" ht="12.75" customHeight="1" thickTop="1" thickBot="1" x14ac:dyDescent="0.25">
      <c r="A19" s="2192" t="s">
        <v>387</v>
      </c>
      <c r="B19" s="2193"/>
      <c r="C19" s="726"/>
      <c r="D19" s="585"/>
      <c r="E19" s="726"/>
      <c r="F19" s="1755">
        <f>SUM(C19+D19)-E19</f>
        <v>0</v>
      </c>
    </row>
    <row r="20" spans="1:11" ht="12.75" customHeight="1" thickTop="1" thickBot="1" x14ac:dyDescent="0.25">
      <c r="A20" s="2192" t="s">
        <v>447</v>
      </c>
      <c r="B20" s="2193"/>
      <c r="C20" s="726"/>
      <c r="D20" s="585"/>
      <c r="E20" s="726"/>
      <c r="F20" s="1755">
        <f>SUM(C20+D20)-E20</f>
        <v>0</v>
      </c>
    </row>
    <row r="21" spans="1:11" ht="14.25" thickTop="1" thickBot="1" x14ac:dyDescent="0.25">
      <c r="A21" s="2197" t="s">
        <v>631</v>
      </c>
      <c r="B21" s="2198"/>
      <c r="C21" s="1755">
        <f>SUM(C17:C20)</f>
        <v>0</v>
      </c>
      <c r="D21" s="1755">
        <f>SUM(D17:D20)</f>
        <v>0</v>
      </c>
      <c r="E21" s="1755">
        <f>SUM(E17:E20)</f>
        <v>0</v>
      </c>
      <c r="F21" s="1755">
        <f>SUM(F17:F20)</f>
        <v>0</v>
      </c>
      <c r="G21" s="552"/>
    </row>
    <row r="22" spans="1:11" ht="15.75" customHeight="1" thickTop="1" x14ac:dyDescent="0.2">
      <c r="A22" s="2199" t="s">
        <v>1111</v>
      </c>
      <c r="B22" s="2200"/>
      <c r="C22" s="2194"/>
      <c r="D22" s="2195"/>
      <c r="E22" s="2195"/>
      <c r="F22" s="2196"/>
    </row>
    <row r="23" spans="1:11" ht="13.5" thickBot="1" x14ac:dyDescent="0.25">
      <c r="A23" s="2201" t="s">
        <v>632</v>
      </c>
      <c r="B23" s="2202"/>
      <c r="C23" s="581"/>
      <c r="D23" s="581"/>
      <c r="E23" s="581"/>
      <c r="F23" s="1755">
        <f>SUM(C23+D23)-E23</f>
        <v>0</v>
      </c>
      <c r="G23" s="552"/>
    </row>
    <row r="24" spans="1:11" ht="15.75" customHeight="1" thickTop="1" x14ac:dyDescent="0.2">
      <c r="A24" s="2199" t="s">
        <v>1112</v>
      </c>
      <c r="B24" s="2200"/>
      <c r="C24" s="2194"/>
      <c r="D24" s="2195"/>
      <c r="E24" s="2195"/>
      <c r="F24" s="2196"/>
    </row>
    <row r="25" spans="1:11" ht="13.5" thickBot="1" x14ac:dyDescent="0.25">
      <c r="A25" s="2201" t="s">
        <v>633</v>
      </c>
      <c r="B25" s="2202"/>
      <c r="C25" s="581"/>
      <c r="D25" s="581"/>
      <c r="E25" s="581"/>
      <c r="F25" s="1755">
        <f>SUM(C25+D25)-E25</f>
        <v>0</v>
      </c>
      <c r="G25" s="552"/>
    </row>
    <row r="26" spans="1:11" ht="15.75" customHeight="1" thickTop="1" x14ac:dyDescent="0.2">
      <c r="A26" s="2205" t="s">
        <v>656</v>
      </c>
      <c r="B26" s="2200"/>
      <c r="C26" s="727"/>
      <c r="D26" s="727"/>
      <c r="E26" s="727"/>
      <c r="F26" s="728"/>
    </row>
    <row r="27" spans="1:11" ht="13.5" thickBot="1" x14ac:dyDescent="0.25">
      <c r="A27" s="2197" t="s">
        <v>1069</v>
      </c>
      <c r="B27" s="2198"/>
      <c r="C27" s="585"/>
      <c r="D27" s="585"/>
      <c r="E27" s="585"/>
      <c r="F27" s="1755">
        <f>SUM(C27+D27)-E27</f>
        <v>0</v>
      </c>
      <c r="G27" s="552"/>
    </row>
    <row r="28" spans="1:11" ht="7.5" customHeight="1" thickTop="1" x14ac:dyDescent="0.2">
      <c r="A28" s="593"/>
    </row>
    <row r="29" spans="1:11" ht="23.25" customHeight="1" x14ac:dyDescent="0.2">
      <c r="A29" s="2203" t="s">
        <v>581</v>
      </c>
      <c r="B29" s="2204"/>
      <c r="C29" s="729"/>
      <c r="D29" s="729"/>
      <c r="E29" s="729"/>
      <c r="F29" s="729"/>
      <c r="G29" s="729"/>
      <c r="H29" s="729"/>
      <c r="I29" s="729"/>
      <c r="J29" s="729"/>
    </row>
    <row r="30" spans="1:11" ht="33.75" x14ac:dyDescent="0.2">
      <c r="A30" s="1529" t="s">
        <v>1070</v>
      </c>
      <c r="B30" s="730" t="s">
        <v>1123</v>
      </c>
      <c r="C30" s="1885" t="s">
        <v>582</v>
      </c>
      <c r="D30" s="1885" t="s">
        <v>1672</v>
      </c>
      <c r="E30" s="1885" t="s">
        <v>1954</v>
      </c>
      <c r="F30" s="1885" t="s">
        <v>1955</v>
      </c>
      <c r="G30" s="1885" t="s">
        <v>1906</v>
      </c>
      <c r="H30" s="1885" t="s">
        <v>1956</v>
      </c>
      <c r="I30" s="1885" t="s">
        <v>1957</v>
      </c>
      <c r="J30" s="1886" t="s">
        <v>2</v>
      </c>
      <c r="K30" s="731"/>
    </row>
    <row r="31" spans="1:11" ht="12" customHeight="1" x14ac:dyDescent="0.2">
      <c r="A31" s="732" t="s">
        <v>2079</v>
      </c>
      <c r="B31" s="733">
        <v>40358</v>
      </c>
      <c r="C31" s="734">
        <v>9500000</v>
      </c>
      <c r="D31" s="735">
        <v>4</v>
      </c>
      <c r="E31" s="734">
        <v>3040000</v>
      </c>
      <c r="F31" s="734"/>
      <c r="G31" s="734"/>
      <c r="H31" s="734"/>
      <c r="I31" s="1756">
        <f>((E31+F31)-H31)+G31</f>
        <v>3040000</v>
      </c>
      <c r="J31" s="734">
        <v>3040000</v>
      </c>
      <c r="K31" s="736"/>
    </row>
    <row r="32" spans="1:11" ht="12" customHeight="1" x14ac:dyDescent="0.2">
      <c r="A32" s="732" t="s">
        <v>2080</v>
      </c>
      <c r="B32" s="733">
        <v>40358</v>
      </c>
      <c r="C32" s="734">
        <v>4080000</v>
      </c>
      <c r="D32" s="735">
        <v>3</v>
      </c>
      <c r="E32" s="734">
        <v>675000</v>
      </c>
      <c r="F32" s="734"/>
      <c r="G32" s="734"/>
      <c r="H32" s="734">
        <v>675000</v>
      </c>
      <c r="I32" s="1756">
        <f>((E32+F32)-H32)+G32</f>
        <v>0</v>
      </c>
      <c r="J32" s="734"/>
      <c r="K32" s="736"/>
    </row>
    <row r="33" spans="1:11" ht="12" customHeight="1" x14ac:dyDescent="0.2">
      <c r="A33" s="732" t="s">
        <v>2081</v>
      </c>
      <c r="B33" s="733">
        <v>41270</v>
      </c>
      <c r="C33" s="734">
        <v>9310000</v>
      </c>
      <c r="D33" s="735">
        <v>6</v>
      </c>
      <c r="E33" s="734">
        <v>9310000</v>
      </c>
      <c r="F33" s="734"/>
      <c r="G33" s="734"/>
      <c r="H33" s="734"/>
      <c r="I33" s="1756">
        <f t="shared" ref="I33:I48" si="1">((E33+F33)-H33)+G33</f>
        <v>9310000</v>
      </c>
      <c r="J33" s="734">
        <v>9310000</v>
      </c>
      <c r="K33" s="736"/>
    </row>
    <row r="34" spans="1:11" ht="12" customHeight="1" x14ac:dyDescent="0.2">
      <c r="A34" s="732" t="s">
        <v>2082</v>
      </c>
      <c r="B34" s="733">
        <v>41310</v>
      </c>
      <c r="C34" s="734">
        <v>8695000</v>
      </c>
      <c r="D34" s="735">
        <v>6</v>
      </c>
      <c r="E34" s="734">
        <v>8695000</v>
      </c>
      <c r="F34" s="734"/>
      <c r="G34" s="734"/>
      <c r="H34" s="734"/>
      <c r="I34" s="1756">
        <f t="shared" si="1"/>
        <v>8695000</v>
      </c>
      <c r="J34" s="734">
        <v>8695000</v>
      </c>
      <c r="K34" s="737"/>
    </row>
    <row r="35" spans="1:11" ht="12" customHeight="1" x14ac:dyDescent="0.2">
      <c r="A35" s="732" t="s">
        <v>2083</v>
      </c>
      <c r="B35" s="733">
        <v>41731</v>
      </c>
      <c r="C35" s="738">
        <v>1230000</v>
      </c>
      <c r="D35" s="735">
        <v>3</v>
      </c>
      <c r="E35" s="738">
        <v>1230000</v>
      </c>
      <c r="F35" s="738"/>
      <c r="G35" s="738"/>
      <c r="H35" s="738"/>
      <c r="I35" s="1756">
        <f t="shared" si="1"/>
        <v>1230000</v>
      </c>
      <c r="J35" s="738">
        <v>1230000</v>
      </c>
      <c r="K35" s="737"/>
    </row>
    <row r="36" spans="1:11" ht="12" customHeight="1" x14ac:dyDescent="0.2">
      <c r="A36" s="732" t="s">
        <v>2084</v>
      </c>
      <c r="B36" s="733">
        <v>41731</v>
      </c>
      <c r="C36" s="734">
        <v>6610000</v>
      </c>
      <c r="D36" s="735">
        <v>6</v>
      </c>
      <c r="E36" s="734">
        <v>6610000</v>
      </c>
      <c r="F36" s="734"/>
      <c r="G36" s="734"/>
      <c r="H36" s="734"/>
      <c r="I36" s="1756">
        <f t="shared" si="1"/>
        <v>6610000</v>
      </c>
      <c r="J36" s="734">
        <v>6610000</v>
      </c>
      <c r="K36" s="739"/>
    </row>
    <row r="37" spans="1:11" ht="12" customHeight="1" x14ac:dyDescent="0.2">
      <c r="A37" s="732" t="s">
        <v>2085</v>
      </c>
      <c r="B37" s="733">
        <v>41731</v>
      </c>
      <c r="C37" s="467">
        <v>2705000</v>
      </c>
      <c r="D37" s="740">
        <v>3</v>
      </c>
      <c r="E37" s="467">
        <v>2070000</v>
      </c>
      <c r="F37" s="467"/>
      <c r="G37" s="467"/>
      <c r="H37" s="467">
        <v>665000</v>
      </c>
      <c r="I37" s="1756">
        <f t="shared" si="1"/>
        <v>1405000</v>
      </c>
      <c r="J37" s="467">
        <v>690000</v>
      </c>
      <c r="K37" s="737"/>
    </row>
    <row r="38" spans="1:11" ht="12" customHeight="1" x14ac:dyDescent="0.2">
      <c r="A38" s="732" t="s">
        <v>2086</v>
      </c>
      <c r="B38" s="733">
        <v>42065</v>
      </c>
      <c r="C38" s="734">
        <v>1700000</v>
      </c>
      <c r="D38" s="741">
        <v>1</v>
      </c>
      <c r="E38" s="742">
        <v>1650000</v>
      </c>
      <c r="F38" s="742"/>
      <c r="G38" s="742"/>
      <c r="H38" s="742">
        <v>35000</v>
      </c>
      <c r="I38" s="1756">
        <f t="shared" si="1"/>
        <v>1615000</v>
      </c>
      <c r="J38" s="743">
        <v>40000</v>
      </c>
      <c r="K38" s="744"/>
    </row>
    <row r="39" spans="1:11" ht="12" customHeight="1" x14ac:dyDescent="0.2">
      <c r="A39" s="732" t="s">
        <v>2087</v>
      </c>
      <c r="B39" s="733">
        <v>42065</v>
      </c>
      <c r="C39" s="734">
        <v>9470000</v>
      </c>
      <c r="D39" s="741">
        <v>6</v>
      </c>
      <c r="E39" s="742">
        <v>9470000</v>
      </c>
      <c r="F39" s="742"/>
      <c r="G39" s="742"/>
      <c r="H39" s="742"/>
      <c r="I39" s="1756">
        <f t="shared" si="1"/>
        <v>9470000</v>
      </c>
      <c r="J39" s="743">
        <v>9470000</v>
      </c>
      <c r="K39" s="744"/>
    </row>
    <row r="40" spans="1:11" ht="12" customHeight="1" x14ac:dyDescent="0.2">
      <c r="A40" s="732" t="s">
        <v>2088</v>
      </c>
      <c r="B40" s="733">
        <v>42065</v>
      </c>
      <c r="C40" s="734">
        <v>140000</v>
      </c>
      <c r="D40" s="741">
        <v>3</v>
      </c>
      <c r="E40" s="742">
        <v>140000</v>
      </c>
      <c r="F40" s="742"/>
      <c r="G40" s="742"/>
      <c r="H40" s="742"/>
      <c r="I40" s="1756">
        <f t="shared" si="1"/>
        <v>140000</v>
      </c>
      <c r="J40" s="743">
        <v>140000</v>
      </c>
      <c r="K40" s="744"/>
    </row>
    <row r="41" spans="1:11" ht="12" customHeight="1" x14ac:dyDescent="0.2">
      <c r="A41" s="732" t="s">
        <v>2089</v>
      </c>
      <c r="B41" s="733">
        <v>42374</v>
      </c>
      <c r="C41" s="734">
        <v>9140000</v>
      </c>
      <c r="D41" s="741">
        <v>3</v>
      </c>
      <c r="E41" s="742">
        <v>6100000</v>
      </c>
      <c r="F41" s="742"/>
      <c r="G41" s="742"/>
      <c r="H41" s="742">
        <v>1980000</v>
      </c>
      <c r="I41" s="1756">
        <f t="shared" si="1"/>
        <v>4120000</v>
      </c>
      <c r="J41" s="743">
        <v>3704469</v>
      </c>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62580000</v>
      </c>
      <c r="D49" s="745"/>
      <c r="E49" s="1756">
        <f t="shared" ref="E49:J49" si="2">SUM(E31:E48)</f>
        <v>48990000</v>
      </c>
      <c r="F49" s="1756">
        <f t="shared" si="2"/>
        <v>0</v>
      </c>
      <c r="G49" s="1756">
        <f t="shared" si="2"/>
        <v>0</v>
      </c>
      <c r="H49" s="1756">
        <f t="shared" si="2"/>
        <v>3355000</v>
      </c>
      <c r="I49" s="1756">
        <f t="shared" si="2"/>
        <v>45635000</v>
      </c>
      <c r="J49" s="1756">
        <f t="shared" si="2"/>
        <v>42929469</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186" t="s">
        <v>583</v>
      </c>
      <c r="C52" s="2187"/>
      <c r="D52" s="2187"/>
      <c r="E52" s="749" t="s">
        <v>844</v>
      </c>
      <c r="F52" s="2188"/>
      <c r="G52" s="2189"/>
      <c r="H52" s="736"/>
      <c r="I52" s="736"/>
      <c r="J52" s="746"/>
    </row>
    <row r="53" spans="1:11" ht="11.25" customHeight="1" x14ac:dyDescent="0.2">
      <c r="A53" s="750" t="s">
        <v>912</v>
      </c>
      <c r="B53" s="751" t="s">
        <v>950</v>
      </c>
      <c r="C53" s="746"/>
      <c r="D53" s="737"/>
      <c r="E53" s="749" t="s">
        <v>496</v>
      </c>
      <c r="F53" s="2190"/>
      <c r="G53" s="2191"/>
      <c r="H53" s="736"/>
      <c r="I53" s="736"/>
      <c r="J53" s="746"/>
    </row>
    <row r="54" spans="1:11" ht="11.25" customHeight="1" x14ac:dyDescent="0.2">
      <c r="A54" s="752" t="s">
        <v>913</v>
      </c>
      <c r="B54" s="747" t="s">
        <v>951</v>
      </c>
      <c r="C54" s="746"/>
      <c r="D54" s="737"/>
      <c r="E54" s="749" t="s">
        <v>497</v>
      </c>
      <c r="F54" s="2190"/>
      <c r="G54" s="219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H31:H48 E31:E48 C42:C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Normal="10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5" t="s">
        <v>855</v>
      </c>
      <c r="B1" s="2216"/>
      <c r="C1" s="2216"/>
      <c r="D1" s="2216"/>
      <c r="E1" s="2216"/>
      <c r="F1" s="2216"/>
      <c r="G1" s="2217"/>
      <c r="H1" s="1530"/>
      <c r="I1" s="760"/>
      <c r="J1" s="433"/>
    </row>
    <row r="2" spans="1:11" ht="26.25" x14ac:dyDescent="0.2">
      <c r="A2" s="2234" t="s">
        <v>1676</v>
      </c>
      <c r="B2" s="2235"/>
      <c r="C2" s="2235"/>
      <c r="D2" s="2235"/>
      <c r="E2" s="2236"/>
      <c r="F2" s="761" t="s">
        <v>903</v>
      </c>
      <c r="G2" s="762" t="s">
        <v>1673</v>
      </c>
      <c r="H2" s="762" t="s">
        <v>409</v>
      </c>
      <c r="I2" s="762" t="s">
        <v>1157</v>
      </c>
      <c r="J2" s="762" t="s">
        <v>1808</v>
      </c>
      <c r="K2" s="762" t="s">
        <v>138</v>
      </c>
    </row>
    <row r="3" spans="1:11" x14ac:dyDescent="0.2">
      <c r="A3" s="2237" t="s">
        <v>1958</v>
      </c>
      <c r="B3" s="2238"/>
      <c r="C3" s="2238"/>
      <c r="D3" s="2238"/>
      <c r="E3" s="2239"/>
      <c r="F3" s="763"/>
      <c r="G3" s="764"/>
      <c r="H3" s="764"/>
      <c r="I3" s="764"/>
      <c r="J3" s="765"/>
      <c r="K3" s="765"/>
    </row>
    <row r="4" spans="1:11" x14ac:dyDescent="0.2">
      <c r="A4" s="2240" t="s">
        <v>368</v>
      </c>
      <c r="B4" s="2241"/>
      <c r="C4" s="2241"/>
      <c r="D4" s="2241"/>
      <c r="E4" s="2187"/>
      <c r="F4" s="766"/>
      <c r="G4" s="767"/>
      <c r="H4" s="768"/>
      <c r="I4" s="767"/>
      <c r="J4" s="769"/>
      <c r="K4" s="769"/>
    </row>
    <row r="5" spans="1:11" x14ac:dyDescent="0.2">
      <c r="A5" s="2218" t="s">
        <v>1068</v>
      </c>
      <c r="B5" s="2219"/>
      <c r="C5" s="2219"/>
      <c r="D5" s="2219"/>
      <c r="E5" s="2220"/>
      <c r="F5" s="770" t="s">
        <v>847</v>
      </c>
      <c r="G5" s="771"/>
      <c r="H5" s="764">
        <v>142750</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85145</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64980</v>
      </c>
    </row>
    <row r="10" spans="1:11" x14ac:dyDescent="0.2">
      <c r="A10" s="2218" t="s">
        <v>1809</v>
      </c>
      <c r="B10" s="2219"/>
      <c r="C10" s="2219"/>
      <c r="D10" s="2219"/>
      <c r="E10" s="2221"/>
      <c r="F10" s="783" t="s">
        <v>861</v>
      </c>
      <c r="G10" s="782"/>
      <c r="H10" s="784"/>
      <c r="I10" s="764"/>
      <c r="J10" s="765"/>
      <c r="K10" s="765"/>
    </row>
    <row r="11" spans="1:11" x14ac:dyDescent="0.2">
      <c r="A11" s="2218" t="s">
        <v>160</v>
      </c>
      <c r="B11" s="2219"/>
      <c r="C11" s="2219"/>
      <c r="D11" s="2219"/>
      <c r="E11" s="2220"/>
      <c r="F11" s="770" t="s">
        <v>851</v>
      </c>
      <c r="G11" s="771"/>
      <c r="H11" s="764"/>
      <c r="I11" s="764"/>
      <c r="J11" s="765"/>
      <c r="K11" s="773"/>
    </row>
    <row r="12" spans="1:11" ht="13.5" thickBot="1" x14ac:dyDescent="0.25">
      <c r="A12" s="2245" t="s">
        <v>904</v>
      </c>
      <c r="B12" s="2246"/>
      <c r="C12" s="2246"/>
      <c r="D12" s="2246"/>
      <c r="E12" s="2247"/>
      <c r="F12" s="1757"/>
      <c r="G12" s="1758">
        <f>SUM(G5:G11)</f>
        <v>0</v>
      </c>
      <c r="H12" s="1758">
        <f>SUM(H5:H11)</f>
        <v>142750</v>
      </c>
      <c r="I12" s="1758">
        <f>SUM(I5:I11)</f>
        <v>0</v>
      </c>
      <c r="J12" s="1758">
        <f>SUM(J5:J11)</f>
        <v>0</v>
      </c>
      <c r="K12" s="1758">
        <f>SUM(K5:K11)</f>
        <v>150125</v>
      </c>
    </row>
    <row r="13" spans="1:11" ht="13.5" thickTop="1" x14ac:dyDescent="0.2">
      <c r="A13" s="2242" t="s">
        <v>369</v>
      </c>
      <c r="B13" s="2243"/>
      <c r="C13" s="2243"/>
      <c r="D13" s="2243"/>
      <c r="E13" s="2244"/>
      <c r="F13" s="785"/>
      <c r="G13" s="786"/>
      <c r="H13" s="787"/>
      <c r="I13" s="788"/>
      <c r="J13" s="788"/>
      <c r="K13" s="788"/>
    </row>
    <row r="14" spans="1:11" x14ac:dyDescent="0.2">
      <c r="A14" s="2225" t="s">
        <v>455</v>
      </c>
      <c r="B14" s="2225"/>
      <c r="C14" s="2225"/>
      <c r="D14" s="2225"/>
      <c r="E14" s="2226"/>
      <c r="F14" s="789" t="s">
        <v>853</v>
      </c>
      <c r="G14" s="782"/>
      <c r="H14" s="764">
        <v>142750</v>
      </c>
      <c r="I14" s="771"/>
      <c r="J14" s="773"/>
      <c r="K14" s="765">
        <v>150125</v>
      </c>
    </row>
    <row r="15" spans="1:11" x14ac:dyDescent="0.2">
      <c r="A15" s="2219" t="s">
        <v>4</v>
      </c>
      <c r="B15" s="2219"/>
      <c r="C15" s="2219"/>
      <c r="D15" s="2219"/>
      <c r="E15" s="2220"/>
      <c r="F15" s="789" t="s">
        <v>854</v>
      </c>
      <c r="G15" s="771"/>
      <c r="H15" s="764"/>
      <c r="I15" s="764"/>
      <c r="J15" s="765"/>
      <c r="K15" s="765"/>
    </row>
    <row r="16" spans="1:11" x14ac:dyDescent="0.2">
      <c r="A16" s="2219" t="s">
        <v>297</v>
      </c>
      <c r="B16" s="2219"/>
      <c r="C16" s="2219"/>
      <c r="D16" s="2219"/>
      <c r="E16" s="2220"/>
      <c r="F16" s="789" t="s">
        <v>922</v>
      </c>
      <c r="G16" s="772"/>
      <c r="H16" s="767"/>
      <c r="I16" s="767"/>
      <c r="J16" s="769"/>
      <c r="K16" s="769"/>
    </row>
    <row r="17" spans="1:11" x14ac:dyDescent="0.2">
      <c r="A17" s="2250" t="s">
        <v>934</v>
      </c>
      <c r="B17" s="2250"/>
      <c r="C17" s="2250"/>
      <c r="D17" s="2250"/>
      <c r="E17" s="2251"/>
      <c r="F17" s="790"/>
      <c r="G17" s="791"/>
      <c r="H17" s="792"/>
      <c r="I17" s="792"/>
      <c r="J17" s="793"/>
      <c r="K17" s="794"/>
    </row>
    <row r="18" spans="1:11" x14ac:dyDescent="0.2">
      <c r="A18" s="2229" t="s">
        <v>367</v>
      </c>
      <c r="B18" s="2230"/>
      <c r="C18" s="2230"/>
      <c r="D18" s="2230"/>
      <c r="E18" s="2231"/>
      <c r="F18" s="789" t="s">
        <v>931</v>
      </c>
      <c r="G18" s="782"/>
      <c r="H18" s="782"/>
      <c r="I18" s="782"/>
      <c r="J18" s="765"/>
      <c r="K18" s="795"/>
    </row>
    <row r="19" spans="1:11" ht="21.75" customHeight="1" x14ac:dyDescent="0.2">
      <c r="A19" s="2227" t="s">
        <v>1805</v>
      </c>
      <c r="B19" s="2227"/>
      <c r="C19" s="2227"/>
      <c r="D19" s="2227"/>
      <c r="E19" s="2228"/>
      <c r="F19" s="789" t="s">
        <v>932</v>
      </c>
      <c r="G19" s="782"/>
      <c r="H19" s="782"/>
      <c r="I19" s="782"/>
      <c r="J19" s="765"/>
      <c r="K19" s="795"/>
    </row>
    <row r="20" spans="1:11" x14ac:dyDescent="0.2">
      <c r="A20" s="2229" t="s">
        <v>1810</v>
      </c>
      <c r="B20" s="2230"/>
      <c r="C20" s="2230"/>
      <c r="D20" s="2230"/>
      <c r="E20" s="2231"/>
      <c r="F20" s="789" t="s">
        <v>933</v>
      </c>
      <c r="G20" s="782"/>
      <c r="H20" s="782"/>
      <c r="I20" s="782"/>
      <c r="J20" s="765"/>
      <c r="K20" s="795"/>
    </row>
    <row r="21" spans="1:11" ht="13.5" thickBot="1" x14ac:dyDescent="0.25">
      <c r="A21" s="2248" t="s">
        <v>637</v>
      </c>
      <c r="B21" s="2248"/>
      <c r="C21" s="2248"/>
      <c r="D21" s="2248"/>
      <c r="E21" s="2248"/>
      <c r="F21" s="1759"/>
      <c r="G21" s="792"/>
      <c r="H21" s="796"/>
      <c r="I21" s="796"/>
      <c r="J21" s="1760">
        <f>SUM(J18:J20)</f>
        <v>0</v>
      </c>
      <c r="K21" s="793"/>
    </row>
    <row r="22" spans="1:11" ht="13.5" thickTop="1" x14ac:dyDescent="0.2">
      <c r="A22" s="2219" t="s">
        <v>1811</v>
      </c>
      <c r="B22" s="2219"/>
      <c r="C22" s="2219"/>
      <c r="D22" s="2219"/>
      <c r="E22" s="2220"/>
      <c r="F22" s="789" t="s">
        <v>861</v>
      </c>
      <c r="G22" s="782"/>
      <c r="H22" s="764"/>
      <c r="I22" s="764"/>
      <c r="J22" s="797"/>
      <c r="K22" s="765"/>
    </row>
    <row r="23" spans="1:11" ht="13.5" thickBot="1" x14ac:dyDescent="0.25">
      <c r="A23" s="2249" t="s">
        <v>905</v>
      </c>
      <c r="B23" s="2248"/>
      <c r="C23" s="2248"/>
      <c r="D23" s="2248"/>
      <c r="E23" s="2248"/>
      <c r="F23" s="1761"/>
      <c r="G23" s="1758">
        <f>SUM(G14:G16,G21,G22)</f>
        <v>0</v>
      </c>
      <c r="H23" s="1758">
        <f>SUM(H14:H16,H21,H22)</f>
        <v>142750</v>
      </c>
      <c r="I23" s="1758">
        <f>SUM(I14:I16,I21,I22)</f>
        <v>0</v>
      </c>
      <c r="J23" s="1758">
        <f>SUM(J14:J16,J21,J22)</f>
        <v>0</v>
      </c>
      <c r="K23" s="1758">
        <f>SUM(K14:K16,K21,K22)</f>
        <v>150125</v>
      </c>
    </row>
    <row r="24" spans="1:11" ht="14.25" thickTop="1" thickBot="1" x14ac:dyDescent="0.25">
      <c r="A24" s="2249" t="s">
        <v>1959</v>
      </c>
      <c r="B24" s="2248"/>
      <c r="C24" s="2248"/>
      <c r="D24" s="2248"/>
      <c r="E24" s="2248"/>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1905</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2"/>
      <c r="I31" s="2223"/>
      <c r="J31" s="2223"/>
      <c r="K31" s="2223"/>
    </row>
    <row r="32" spans="1:11" x14ac:dyDescent="0.2">
      <c r="A32" s="809"/>
      <c r="B32" s="237"/>
      <c r="C32" s="237"/>
      <c r="D32" s="237"/>
      <c r="E32" s="805"/>
      <c r="F32" s="811" t="s">
        <v>539</v>
      </c>
      <c r="G32" s="764"/>
      <c r="H32" s="2224"/>
      <c r="I32" s="2223"/>
      <c r="J32" s="2223"/>
      <c r="K32" s="2223"/>
    </row>
    <row r="33" spans="1:11" ht="1.5" customHeight="1" x14ac:dyDescent="0.2">
      <c r="A33" s="812" t="s">
        <v>1168</v>
      </c>
      <c r="B33" s="364"/>
      <c r="C33" s="364"/>
      <c r="D33" s="364"/>
      <c r="E33" s="364"/>
      <c r="F33" s="364"/>
      <c r="G33" s="813"/>
      <c r="H33" s="2224"/>
      <c r="I33" s="2223"/>
      <c r="J33" s="2223"/>
      <c r="K33" s="2223"/>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9" t="s">
        <v>540</v>
      </c>
      <c r="B41" s="2232"/>
      <c r="C41" s="2232"/>
      <c r="D41" s="2232"/>
      <c r="E41" s="2232"/>
      <c r="F41" s="2233"/>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Normal="10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1904</v>
      </c>
      <c r="B1" s="2255"/>
      <c r="C1" s="2256"/>
      <c r="D1" s="826"/>
      <c r="E1" s="827"/>
      <c r="F1" s="827"/>
      <c r="G1" s="828"/>
      <c r="H1" s="829"/>
      <c r="I1" s="830"/>
      <c r="J1" s="2252"/>
      <c r="K1" s="2253"/>
      <c r="L1" s="2253"/>
    </row>
    <row r="2" spans="1:14" ht="69.75" customHeight="1" x14ac:dyDescent="0.2">
      <c r="A2" s="831" t="s">
        <v>1677</v>
      </c>
      <c r="B2" s="832" t="s">
        <v>377</v>
      </c>
      <c r="C2" s="833" t="s">
        <v>1960</v>
      </c>
      <c r="D2" s="833" t="s">
        <v>1961</v>
      </c>
      <c r="E2" s="833" t="s">
        <v>1962</v>
      </c>
      <c r="F2" s="833" t="s">
        <v>1963</v>
      </c>
      <c r="G2" s="833" t="s">
        <v>604</v>
      </c>
      <c r="H2" s="833" t="s">
        <v>1964</v>
      </c>
      <c r="I2" s="833" t="s">
        <v>1965</v>
      </c>
      <c r="J2" s="833" t="s">
        <v>1966</v>
      </c>
      <c r="K2" s="833" t="s">
        <v>1967</v>
      </c>
      <c r="L2" s="833" t="s">
        <v>1968</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4426429</v>
      </c>
      <c r="D5" s="841"/>
      <c r="E5" s="841"/>
      <c r="F5" s="1760">
        <f>(C5+D5)-E5</f>
        <v>4426429</v>
      </c>
      <c r="G5" s="837"/>
      <c r="H5" s="842"/>
      <c r="I5" s="842"/>
      <c r="J5" s="842"/>
      <c r="K5" s="793"/>
      <c r="L5" s="1769">
        <f>F5-K5</f>
        <v>4426429</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111304746</v>
      </c>
      <c r="D8" s="844">
        <v>227486</v>
      </c>
      <c r="E8" s="844"/>
      <c r="F8" s="1760">
        <f>(C8+D8)-E8</f>
        <v>111532232</v>
      </c>
      <c r="G8" s="843">
        <v>50</v>
      </c>
      <c r="H8" s="765">
        <v>5631714</v>
      </c>
      <c r="I8" s="765">
        <v>1055219</v>
      </c>
      <c r="J8" s="765"/>
      <c r="K8" s="1769">
        <f>(H8+I8)-J8</f>
        <v>6686933</v>
      </c>
      <c r="L8" s="1769">
        <f>F8-K8</f>
        <v>104845299</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8341565</v>
      </c>
      <c r="D10" s="846">
        <v>1124383</v>
      </c>
      <c r="E10" s="846"/>
      <c r="F10" s="1764">
        <f>(C10+D10)-E10</f>
        <v>9465948</v>
      </c>
      <c r="G10" s="843">
        <v>20</v>
      </c>
      <c r="H10" s="847">
        <v>814706</v>
      </c>
      <c r="I10" s="847">
        <v>220483</v>
      </c>
      <c r="J10" s="847"/>
      <c r="K10" s="1769">
        <f>(H10+I10)-J10</f>
        <v>1035189</v>
      </c>
      <c r="L10" s="1769">
        <f>F10-K10</f>
        <v>8430759</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10995394</v>
      </c>
      <c r="D12" s="844">
        <v>25877</v>
      </c>
      <c r="E12" s="844"/>
      <c r="F12" s="1760">
        <f>(C12+D12)-E12</f>
        <v>11021271</v>
      </c>
      <c r="G12" s="843">
        <v>10</v>
      </c>
      <c r="H12" s="765">
        <v>3631106</v>
      </c>
      <c r="I12" s="765">
        <v>613971</v>
      </c>
      <c r="J12" s="765"/>
      <c r="K12" s="1769">
        <f>(H12+I12)-J12</f>
        <v>4245077</v>
      </c>
      <c r="L12" s="1769">
        <f>F12-K12</f>
        <v>6776194</v>
      </c>
    </row>
    <row r="13" spans="1:14" ht="14.25" thickTop="1" thickBot="1" x14ac:dyDescent="0.25">
      <c r="A13" s="848" t="s">
        <v>1121</v>
      </c>
      <c r="B13" s="840">
        <v>252</v>
      </c>
      <c r="C13" s="844">
        <v>4070917</v>
      </c>
      <c r="D13" s="844">
        <v>294785</v>
      </c>
      <c r="E13" s="844">
        <v>60424</v>
      </c>
      <c r="F13" s="1760">
        <f>(C13+D13)-E13</f>
        <v>4305278</v>
      </c>
      <c r="G13" s="843">
        <v>5</v>
      </c>
      <c r="H13" s="765">
        <v>903342</v>
      </c>
      <c r="I13" s="765">
        <v>108481</v>
      </c>
      <c r="J13" s="765">
        <v>60424</v>
      </c>
      <c r="K13" s="1769">
        <f>(H13+I13)-J13</f>
        <v>951399</v>
      </c>
      <c r="L13" s="1769">
        <f>F13-K13</f>
        <v>3353879</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v>68279</v>
      </c>
      <c r="D15" s="844">
        <v>30782</v>
      </c>
      <c r="E15" s="844">
        <v>68279</v>
      </c>
      <c r="F15" s="1760">
        <f>(C15+D15)-E15</f>
        <v>30782</v>
      </c>
      <c r="G15" s="849" t="s">
        <v>861</v>
      </c>
      <c r="H15" s="781"/>
      <c r="I15" s="781"/>
      <c r="J15" s="781"/>
      <c r="K15" s="781"/>
      <c r="L15" s="1769">
        <f>F15-K15</f>
        <v>30782</v>
      </c>
    </row>
    <row r="16" spans="1:14" ht="15" customHeight="1" thickTop="1" thickBot="1" x14ac:dyDescent="0.25">
      <c r="A16" s="1765" t="s">
        <v>642</v>
      </c>
      <c r="B16" s="1766">
        <v>200</v>
      </c>
      <c r="C16" s="1760">
        <f>SUM(C3,C5:C6,C8:C10,C12:C15)</f>
        <v>139207330</v>
      </c>
      <c r="D16" s="1760">
        <f>SUM(D3,D5:D6,D8:D10,D12:D15)</f>
        <v>1703313</v>
      </c>
      <c r="E16" s="1760">
        <f>SUM(E3,E5:E6,E8:E10,E12:E15)</f>
        <v>128703</v>
      </c>
      <c r="F16" s="1760">
        <f>SUM(F3,F5:F6,F8:F10,F12:F15)</f>
        <v>140781940</v>
      </c>
      <c r="G16" s="843"/>
      <c r="H16" s="1760">
        <f>SUM(H3,H6,H8:H10,H12:H14,)</f>
        <v>10980868</v>
      </c>
      <c r="I16" s="1760">
        <f>SUM(I3,I6,I8:I10,I12:I14,)</f>
        <v>1998154</v>
      </c>
      <c r="J16" s="1760">
        <f>SUM(J3,J6,J8:J10,J12:J14,)</f>
        <v>60424</v>
      </c>
      <c r="K16" s="1760">
        <f>(H16+I16)-J16</f>
        <v>12918598</v>
      </c>
      <c r="L16" s="1760">
        <f>F16-K16</f>
        <v>127863342</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192657</v>
      </c>
      <c r="G17" s="837">
        <v>10</v>
      </c>
      <c r="H17" s="769"/>
      <c r="I17" s="1769">
        <f>F17/G17</f>
        <v>19265.7</v>
      </c>
      <c r="J17" s="769"/>
      <c r="K17" s="795"/>
      <c r="L17" s="795"/>
    </row>
    <row r="18" spans="1:12" ht="14.25" thickTop="1" thickBot="1" x14ac:dyDescent="0.25">
      <c r="A18" s="1767" t="s">
        <v>684</v>
      </c>
      <c r="B18" s="1768"/>
      <c r="C18" s="771"/>
      <c r="D18" s="771"/>
      <c r="E18" s="771"/>
      <c r="F18" s="850"/>
      <c r="G18" s="851"/>
      <c r="H18" s="773"/>
      <c r="I18" s="1760">
        <f>SUM(I16,I17)</f>
        <v>2017419.7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3" activePane="bottomLeft" state="frozen"/>
      <selection activeCell="A47" sqref="A47"/>
      <selection pane="bottomLeft" activeCell="H79" sqref="H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1969</v>
      </c>
      <c r="B1" s="2261"/>
      <c r="C1" s="2261"/>
      <c r="D1" s="2261"/>
      <c r="E1" s="2261"/>
      <c r="F1" s="2262"/>
      <c r="G1" s="855"/>
    </row>
    <row r="2" spans="1:7" ht="15" customHeight="1" thickBot="1" x14ac:dyDescent="0.25">
      <c r="A2" s="2263" t="s">
        <v>476</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6"/>
      <c r="B5" s="2267"/>
      <c r="C5" s="2267"/>
      <c r="D5" s="2267"/>
      <c r="E5" s="2267"/>
      <c r="F5" s="2267"/>
    </row>
    <row r="6" spans="1:7" ht="13.5" customHeight="1" thickBot="1" x14ac:dyDescent="0.25">
      <c r="A6" s="2257" t="s">
        <v>1103</v>
      </c>
      <c r="B6" s="2258"/>
      <c r="C6" s="2258"/>
      <c r="D6" s="2258"/>
      <c r="E6" s="2258"/>
      <c r="F6" s="2259"/>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33795899</v>
      </c>
      <c r="G8" s="865"/>
    </row>
    <row r="9" spans="1:7" x14ac:dyDescent="0.2">
      <c r="A9" s="869" t="s">
        <v>459</v>
      </c>
      <c r="B9" s="870" t="s">
        <v>1872</v>
      </c>
      <c r="C9" s="871"/>
      <c r="D9" s="869" t="s">
        <v>500</v>
      </c>
      <c r="E9" s="868"/>
      <c r="F9" s="1909">
        <f>'Expenditures 15-22'!K151</f>
        <v>5380164</v>
      </c>
      <c r="G9" s="872"/>
    </row>
    <row r="10" spans="1:7" x14ac:dyDescent="0.2">
      <c r="A10" s="869" t="s">
        <v>498</v>
      </c>
      <c r="B10" s="870" t="s">
        <v>1873</v>
      </c>
      <c r="C10" s="871"/>
      <c r="D10" s="869" t="s">
        <v>500</v>
      </c>
      <c r="E10" s="868"/>
      <c r="F10" s="1909">
        <f>'Expenditures 15-22'!K174</f>
        <v>5210640</v>
      </c>
      <c r="G10" s="872"/>
    </row>
    <row r="11" spans="1:7" x14ac:dyDescent="0.2">
      <c r="A11" s="869" t="s">
        <v>460</v>
      </c>
      <c r="B11" s="870" t="s">
        <v>1874</v>
      </c>
      <c r="C11" s="871"/>
      <c r="D11" s="869" t="s">
        <v>500</v>
      </c>
      <c r="E11" s="868"/>
      <c r="F11" s="1909">
        <f>'Expenditures 15-22'!K210</f>
        <v>2065737</v>
      </c>
      <c r="G11" s="872"/>
    </row>
    <row r="12" spans="1:7" x14ac:dyDescent="0.2">
      <c r="A12" s="869" t="s">
        <v>461</v>
      </c>
      <c r="B12" s="870" t="s">
        <v>1875</v>
      </c>
      <c r="C12" s="871"/>
      <c r="D12" s="869" t="s">
        <v>500</v>
      </c>
      <c r="E12" s="868"/>
      <c r="F12" s="1909">
        <f>'Expenditures 15-22'!K295</f>
        <v>1381588</v>
      </c>
      <c r="G12" s="872"/>
    </row>
    <row r="13" spans="1:7" x14ac:dyDescent="0.2">
      <c r="A13" s="869" t="s">
        <v>106</v>
      </c>
      <c r="B13" s="870" t="s">
        <v>1876</v>
      </c>
      <c r="C13" s="871"/>
      <c r="D13" s="869" t="s">
        <v>500</v>
      </c>
      <c r="E13" s="868"/>
      <c r="F13" s="1909">
        <f>'Expenditures 15-22'!K342</f>
        <v>0</v>
      </c>
      <c r="G13" s="873"/>
    </row>
    <row r="14" spans="1:7" ht="12" customHeight="1" thickBot="1" x14ac:dyDescent="0.25">
      <c r="A14" s="1770"/>
      <c r="B14" s="1771"/>
      <c r="C14" s="1772"/>
      <c r="D14" s="1773" t="s">
        <v>500</v>
      </c>
      <c r="E14" s="1774" t="s">
        <v>957</v>
      </c>
      <c r="F14" s="1775">
        <f>SUM(F8:F13)</f>
        <v>47834028</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1993</v>
      </c>
      <c r="C30" s="880">
        <f>'Revenues 9-14'!B150</f>
        <v>3499</v>
      </c>
      <c r="D30" s="881" t="str">
        <f>'Revenues 9-14'!A150</f>
        <v>Adult Ed - Other (Describe &amp; Itemize)</v>
      </c>
      <c r="E30" s="868"/>
      <c r="F30" s="1914">
        <f>('Revenues 9-14'!D150+'Revenues 9-14'!F150)</f>
        <v>0</v>
      </c>
      <c r="G30" s="865"/>
    </row>
    <row r="31" spans="1:7" x14ac:dyDescent="0.2">
      <c r="A31" s="869" t="s">
        <v>1096</v>
      </c>
      <c r="B31" s="870" t="s">
        <v>1994</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1995</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1996</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348597</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64469</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46186</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39014</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1525064</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9987</v>
      </c>
      <c r="G52" s="865"/>
    </row>
    <row r="53" spans="1:7" x14ac:dyDescent="0.2">
      <c r="A53" s="869" t="s">
        <v>458</v>
      </c>
      <c r="B53" s="869" t="s">
        <v>1474</v>
      </c>
      <c r="C53" s="889">
        <f>'Expenditures 15-22'!B102</f>
        <v>4000</v>
      </c>
      <c r="D53" s="888" t="str">
        <f>'Expenditures 15-22'!A102</f>
        <v>Total Payments to Other Govt Units</v>
      </c>
      <c r="E53" s="868"/>
      <c r="F53" s="1913">
        <f>'Expenditures 15-22'!K102</f>
        <v>432504</v>
      </c>
      <c r="G53" s="865"/>
    </row>
    <row r="54" spans="1:7" x14ac:dyDescent="0.2">
      <c r="A54" s="869" t="s">
        <v>458</v>
      </c>
      <c r="B54" s="869" t="s">
        <v>1475</v>
      </c>
      <c r="C54" s="889" t="s">
        <v>981</v>
      </c>
      <c r="D54" s="885" t="s">
        <v>1094</v>
      </c>
      <c r="E54" s="868"/>
      <c r="F54" s="1913">
        <f>'Expenditures 15-22'!G114</f>
        <v>156914</v>
      </c>
      <c r="G54" s="865"/>
    </row>
    <row r="55" spans="1:7" x14ac:dyDescent="0.2">
      <c r="A55" s="869" t="s">
        <v>458</v>
      </c>
      <c r="B55" s="869" t="s">
        <v>1476</v>
      </c>
      <c r="C55" s="889" t="s">
        <v>981</v>
      </c>
      <c r="D55" s="885" t="s">
        <v>290</v>
      </c>
      <c r="E55" s="868"/>
      <c r="F55" s="1913">
        <f>'Expenditures 15-22'!I114</f>
        <v>155040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1877</v>
      </c>
      <c r="C57" s="889">
        <f>'Expenditures 15-22'!B139</f>
        <v>4000</v>
      </c>
      <c r="D57" s="887" t="str">
        <f>'Expenditures 15-22'!A139</f>
        <v>Total Payments to Other Govt Units</v>
      </c>
      <c r="E57" s="868"/>
      <c r="F57" s="1913">
        <f>'Expenditures 15-22'!K139</f>
        <v>0</v>
      </c>
      <c r="G57" s="865"/>
    </row>
    <row r="58" spans="1:7" x14ac:dyDescent="0.2">
      <c r="A58" s="869" t="s">
        <v>459</v>
      </c>
      <c r="B58" s="869" t="s">
        <v>1878</v>
      </c>
      <c r="C58" s="886" t="s">
        <v>981</v>
      </c>
      <c r="D58" s="885" t="s">
        <v>1094</v>
      </c>
      <c r="E58" s="868"/>
      <c r="F58" s="1915">
        <f>'Expenditures 15-22'!G151</f>
        <v>1483071</v>
      </c>
      <c r="G58" s="865"/>
    </row>
    <row r="59" spans="1:7" x14ac:dyDescent="0.2">
      <c r="A59" s="893" t="s">
        <v>459</v>
      </c>
      <c r="B59" s="856" t="s">
        <v>1879</v>
      </c>
      <c r="C59" s="894" t="s">
        <v>981</v>
      </c>
      <c r="D59" s="856" t="s">
        <v>290</v>
      </c>
      <c r="F59" s="1916">
        <f>'Expenditures 15-22'!I151</f>
        <v>37617</v>
      </c>
      <c r="G59" s="865"/>
    </row>
    <row r="60" spans="1:7" x14ac:dyDescent="0.2">
      <c r="A60" s="893" t="s">
        <v>498</v>
      </c>
      <c r="B60" s="856" t="s">
        <v>1880</v>
      </c>
      <c r="C60" s="894">
        <v>4000</v>
      </c>
      <c r="D60" s="856" t="s">
        <v>311</v>
      </c>
      <c r="F60" s="1914">
        <f>'Expenditures 15-22'!K160</f>
        <v>0</v>
      </c>
      <c r="G60" s="865"/>
    </row>
    <row r="61" spans="1:7" x14ac:dyDescent="0.2">
      <c r="A61" s="895" t="s">
        <v>498</v>
      </c>
      <c r="B61" s="895" t="s">
        <v>1881</v>
      </c>
      <c r="C61" s="896" t="str">
        <f>'Expenditures 15-22'!B170</f>
        <v>5300</v>
      </c>
      <c r="D61" s="897" t="s">
        <v>310</v>
      </c>
      <c r="E61" s="879"/>
      <c r="F61" s="1913">
        <f>'Expenditures 15-22'!K170</f>
        <v>3355000</v>
      </c>
      <c r="G61" s="865"/>
    </row>
    <row r="62" spans="1:7" x14ac:dyDescent="0.2">
      <c r="A62" s="869" t="s">
        <v>460</v>
      </c>
      <c r="B62" s="869" t="s">
        <v>1882</v>
      </c>
      <c r="C62" s="886">
        <f>'Expenditures 15-22'!B185</f>
        <v>3000</v>
      </c>
      <c r="D62" s="876" t="s">
        <v>448</v>
      </c>
      <c r="E62" s="868"/>
      <c r="F62" s="1913">
        <f>'Expenditures 15-22'!K185-SUM('Expenditures 15-22'!G185,'Expenditures 15-22'!I185)</f>
        <v>0</v>
      </c>
      <c r="G62" s="865"/>
    </row>
    <row r="63" spans="1:7" x14ac:dyDescent="0.2">
      <c r="A63" s="869" t="s">
        <v>460</v>
      </c>
      <c r="B63" s="869" t="s">
        <v>1883</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1884</v>
      </c>
      <c r="C64" s="896" t="str">
        <f>'Expenditures 15-22'!B206</f>
        <v>5300</v>
      </c>
      <c r="D64" s="892" t="s">
        <v>310</v>
      </c>
      <c r="E64" s="868"/>
      <c r="F64" s="1913">
        <f>'Expenditures 15-22'!K206</f>
        <v>0</v>
      </c>
      <c r="G64" s="865"/>
    </row>
    <row r="65" spans="1:8" x14ac:dyDescent="0.2">
      <c r="A65" s="869" t="s">
        <v>460</v>
      </c>
      <c r="B65" s="869" t="s">
        <v>1885</v>
      </c>
      <c r="C65" s="886" t="s">
        <v>981</v>
      </c>
      <c r="D65" s="885" t="s">
        <v>1094</v>
      </c>
      <c r="E65" s="868"/>
      <c r="F65" s="1913">
        <f>'Expenditures 15-22'!G210</f>
        <v>166605</v>
      </c>
      <c r="G65" s="865"/>
    </row>
    <row r="66" spans="1:8" x14ac:dyDescent="0.2">
      <c r="A66" s="869" t="s">
        <v>460</v>
      </c>
      <c r="B66" s="869" t="s">
        <v>1886</v>
      </c>
      <c r="C66" s="886" t="s">
        <v>981</v>
      </c>
      <c r="D66" s="885" t="s">
        <v>290</v>
      </c>
      <c r="E66" s="868"/>
      <c r="F66" s="1913">
        <f>'Expenditures 15-22'!I210</f>
        <v>0</v>
      </c>
      <c r="G66" s="865"/>
    </row>
    <row r="67" spans="1:8" x14ac:dyDescent="0.2">
      <c r="A67" s="869" t="s">
        <v>461</v>
      </c>
      <c r="B67" s="869" t="s">
        <v>1887</v>
      </c>
      <c r="C67" s="886" t="str">
        <f>'Expenditures 15-22'!B216</f>
        <v>1125</v>
      </c>
      <c r="D67" s="892" t="str">
        <f>'Expenditures 15-22'!A216</f>
        <v>Pre-K Programs</v>
      </c>
      <c r="E67" s="868"/>
      <c r="F67" s="1913">
        <f>'Expenditures 15-22'!K216</f>
        <v>815</v>
      </c>
      <c r="G67" s="865"/>
    </row>
    <row r="68" spans="1:8" x14ac:dyDescent="0.2">
      <c r="A68" s="869" t="s">
        <v>461</v>
      </c>
      <c r="B68" s="869" t="s">
        <v>1478</v>
      </c>
      <c r="C68" s="886" t="str">
        <f>'Expenditures 15-22'!B218</f>
        <v>1225</v>
      </c>
      <c r="D68" s="892" t="str">
        <f>'Expenditures 15-22'!A218</f>
        <v>Special Education Programs - Pre-K</v>
      </c>
      <c r="E68" s="868"/>
      <c r="F68" s="1913">
        <f>'Expenditures 15-22'!K218</f>
        <v>5086</v>
      </c>
      <c r="G68" s="865"/>
    </row>
    <row r="69" spans="1:8" x14ac:dyDescent="0.2">
      <c r="A69" s="869" t="s">
        <v>461</v>
      </c>
      <c r="B69" s="869" t="s">
        <v>1888</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1889</v>
      </c>
      <c r="C70" s="886">
        <f>'Expenditures 15-22'!B221</f>
        <v>1300</v>
      </c>
      <c r="D70" s="887" t="str">
        <f>'Expenditures 15-22'!A221</f>
        <v>Adult/Continuing Education Programs</v>
      </c>
      <c r="E70" s="868"/>
      <c r="F70" s="1913">
        <f>'Expenditures 15-22'!K221</f>
        <v>6581</v>
      </c>
      <c r="G70" s="865"/>
    </row>
    <row r="71" spans="1:8" x14ac:dyDescent="0.2">
      <c r="A71" s="869" t="s">
        <v>461</v>
      </c>
      <c r="B71" s="869" t="s">
        <v>1890</v>
      </c>
      <c r="C71" s="886">
        <f>'Expenditures 15-22'!B224</f>
        <v>1600</v>
      </c>
      <c r="D71" s="887" t="str">
        <f>'Expenditures 15-22'!A224</f>
        <v>Summer School Programs</v>
      </c>
      <c r="E71" s="868"/>
      <c r="F71" s="1913">
        <f>'Expenditures 15-22'!K224</f>
        <v>1712</v>
      </c>
      <c r="G71" s="865"/>
    </row>
    <row r="72" spans="1:8" x14ac:dyDescent="0.2">
      <c r="A72" s="869" t="s">
        <v>461</v>
      </c>
      <c r="B72" s="869" t="s">
        <v>1891</v>
      </c>
      <c r="C72" s="886">
        <f>'Expenditures 15-22'!B280</f>
        <v>3000</v>
      </c>
      <c r="D72" s="876" t="s">
        <v>448</v>
      </c>
      <c r="E72" s="868"/>
      <c r="F72" s="1913">
        <f>'Expenditures 15-22'!K280</f>
        <v>0</v>
      </c>
      <c r="G72" s="865"/>
    </row>
    <row r="73" spans="1:8" x14ac:dyDescent="0.2">
      <c r="A73" s="869" t="s">
        <v>461</v>
      </c>
      <c r="B73" s="869" t="s">
        <v>1892</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1893</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1894</v>
      </c>
      <c r="E76" s="1774" t="s">
        <v>957</v>
      </c>
      <c r="F76" s="1778">
        <f>SUM(F18:F74)</f>
        <v>7834262</v>
      </c>
      <c r="G76" s="865"/>
    </row>
    <row r="77" spans="1:8" s="893" customFormat="1" ht="12" customHeight="1" thickTop="1" thickBot="1" x14ac:dyDescent="0.25">
      <c r="A77" s="1779"/>
      <c r="B77" s="1776"/>
      <c r="C77" s="1772"/>
      <c r="D77" s="1777" t="s">
        <v>1895</v>
      </c>
      <c r="E77" s="1774"/>
      <c r="F77" s="1780">
        <f>(F14-F76)</f>
        <v>39999766</v>
      </c>
      <c r="G77" s="869"/>
    </row>
    <row r="78" spans="1:8" s="893" customFormat="1" ht="12" customHeight="1" thickTop="1" x14ac:dyDescent="0.2">
      <c r="A78" s="1781"/>
      <c r="B78" s="1776"/>
      <c r="C78" s="1772"/>
      <c r="D78" s="1777" t="s">
        <v>2056</v>
      </c>
      <c r="E78" s="1774"/>
      <c r="F78" s="898">
        <v>4339.6000000000004</v>
      </c>
      <c r="G78" s="899"/>
      <c r="H78" s="869"/>
    </row>
    <row r="79" spans="1:8" s="893" customFormat="1" ht="12" customHeight="1" thickBot="1" x14ac:dyDescent="0.25">
      <c r="A79" s="1782"/>
      <c r="B79" s="1776"/>
      <c r="C79" s="1772"/>
      <c r="D79" s="1777" t="s">
        <v>1896</v>
      </c>
      <c r="E79" s="1774" t="s">
        <v>957</v>
      </c>
      <c r="F79" s="1783">
        <f>IF(F78&gt;0,F77/F78," Complete Line 78")</f>
        <v>9217.3854733155131</v>
      </c>
      <c r="G79" s="869"/>
    </row>
    <row r="80" spans="1:8" s="893" customFormat="1" ht="8.25" customHeight="1" thickTop="1" x14ac:dyDescent="0.2">
      <c r="A80" s="900"/>
      <c r="B80" s="869"/>
      <c r="C80" s="871"/>
      <c r="D80" s="901"/>
      <c r="E80" s="868"/>
      <c r="F80" s="902"/>
      <c r="G80" s="869"/>
    </row>
    <row r="81" spans="1:7" s="893" customFormat="1" ht="12" thickBot="1" x14ac:dyDescent="0.25">
      <c r="A81" s="2257" t="s">
        <v>1104</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1660423</v>
      </c>
      <c r="G94" s="912"/>
    </row>
    <row r="95" spans="1:7" x14ac:dyDescent="0.2">
      <c r="A95" s="908" t="s">
        <v>140</v>
      </c>
      <c r="B95" s="908" t="s">
        <v>175</v>
      </c>
      <c r="C95" s="910">
        <v>1700</v>
      </c>
      <c r="D95" s="918" t="str">
        <f>'Revenues 9-14'!A82</f>
        <v>Total District/School Activity Income</v>
      </c>
      <c r="E95" s="906"/>
      <c r="F95" s="1789">
        <f>SUM('Revenues 9-14'!C82,'Revenues 9-14'!D82)</f>
        <v>375211</v>
      </c>
      <c r="G95" s="912"/>
    </row>
    <row r="96" spans="1:7" x14ac:dyDescent="0.2">
      <c r="A96" s="908" t="s">
        <v>458</v>
      </c>
      <c r="B96" s="908" t="s">
        <v>176</v>
      </c>
      <c r="C96" s="910">
        <f>'Revenues 9-14'!B84</f>
        <v>1811</v>
      </c>
      <c r="D96" s="911" t="str">
        <f>'Revenues 9-14'!A84</f>
        <v>Rentals - Regular Textbooks</v>
      </c>
      <c r="E96" s="906"/>
      <c r="F96" s="1789">
        <f>'Revenues 9-14'!C84</f>
        <v>555902</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16983</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144406</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2385</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1997</v>
      </c>
      <c r="C105" s="913">
        <v>3100</v>
      </c>
      <c r="D105" s="919" t="str">
        <f>'Revenues 9-14'!A132</f>
        <v>Total Special Education</v>
      </c>
      <c r="E105" s="906"/>
      <c r="F105" s="1789">
        <f>SUM('Revenues 9-14'!C132:D132,'Revenues 9-14'!F132)</f>
        <v>648223</v>
      </c>
      <c r="G105" s="912"/>
    </row>
    <row r="106" spans="1:7" x14ac:dyDescent="0.2">
      <c r="A106" s="908" t="s">
        <v>672</v>
      </c>
      <c r="B106" s="908" t="s">
        <v>1998</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1999</v>
      </c>
      <c r="C107" s="920">
        <v>3300</v>
      </c>
      <c r="D107" s="911" t="str">
        <f>'Revenues 9-14'!A145</f>
        <v>Total Bilingual Ed</v>
      </c>
      <c r="E107" s="906"/>
      <c r="F107" s="1789">
        <f>SUM('Revenues 9-14'!C145,'Revenues 9-14'!G145)</f>
        <v>0</v>
      </c>
      <c r="G107" s="912"/>
    </row>
    <row r="108" spans="1:7" x14ac:dyDescent="0.2">
      <c r="A108" s="908" t="s">
        <v>458</v>
      </c>
      <c r="B108" s="908" t="s">
        <v>2000</v>
      </c>
      <c r="C108" s="920">
        <f>'Revenues 9-14'!B146</f>
        <v>3360</v>
      </c>
      <c r="D108" s="911" t="str">
        <f>'Revenues 9-14'!A146</f>
        <v>State Free Lunch &amp; Breakfast</v>
      </c>
      <c r="E108" s="906"/>
      <c r="F108" s="1789">
        <f>'Revenues 9-14'!C146</f>
        <v>6629</v>
      </c>
      <c r="G108" s="912"/>
    </row>
    <row r="109" spans="1:7" x14ac:dyDescent="0.2">
      <c r="A109" s="908" t="s">
        <v>672</v>
      </c>
      <c r="B109" s="908" t="s">
        <v>2001</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9">
        <f>SUM('Revenues 9-14'!C148,'Revenues 9-14'!D148)</f>
        <v>64980</v>
      </c>
      <c r="G110" s="912"/>
    </row>
    <row r="111" spans="1:7" x14ac:dyDescent="0.2">
      <c r="A111" s="908" t="s">
        <v>667</v>
      </c>
      <c r="B111" s="908" t="s">
        <v>2003</v>
      </c>
      <c r="C111" s="922">
        <v>3500</v>
      </c>
      <c r="D111" s="911" t="str">
        <f>'Revenues 9-14'!A155</f>
        <v>Total Transportation</v>
      </c>
      <c r="E111" s="906"/>
      <c r="F111" s="1789">
        <f>SUM('Revenues 9-14'!C155,'Revenues 9-14'!D155,'Revenues 9-14'!F155,'Revenues 9-14'!G155)</f>
        <v>707733</v>
      </c>
      <c r="G111" s="912"/>
    </row>
    <row r="112" spans="1:7" x14ac:dyDescent="0.2">
      <c r="A112" s="908" t="s">
        <v>458</v>
      </c>
      <c r="B112" s="908" t="s">
        <v>2004</v>
      </c>
      <c r="C112" s="920">
        <f>'Revenues 9-14'!B156</f>
        <v>3610</v>
      </c>
      <c r="D112" s="911" t="str">
        <f>'Revenues 9-14'!A156</f>
        <v>Learning Improvement - Change Grants</v>
      </c>
      <c r="E112" s="906"/>
      <c r="F112" s="1789">
        <f>'Revenues 9-14'!C156</f>
        <v>0</v>
      </c>
      <c r="G112" s="912"/>
    </row>
    <row r="113" spans="1:7" x14ac:dyDescent="0.2">
      <c r="A113" s="908" t="s">
        <v>667</v>
      </c>
      <c r="B113" s="908" t="s">
        <v>2005</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2007</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2008</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2009</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2010</v>
      </c>
      <c r="C118" s="924">
        <f>'Revenues 9-14'!B163</f>
        <v>3780</v>
      </c>
      <c r="D118" s="925" t="str">
        <f>'Revenues 9-14'!A163</f>
        <v>Technology - Technology for Success</v>
      </c>
      <c r="E118" s="906"/>
      <c r="F118" s="1907">
        <f>SUM('Revenues 9-14'!C163:G163)</f>
        <v>0</v>
      </c>
      <c r="G118" s="912"/>
    </row>
    <row r="119" spans="1:7" x14ac:dyDescent="0.2">
      <c r="A119" s="923" t="s">
        <v>503</v>
      </c>
      <c r="B119" s="923" t="s">
        <v>2011</v>
      </c>
      <c r="C119" s="924">
        <f>'Revenues 9-14'!B164</f>
        <v>3815</v>
      </c>
      <c r="D119" s="925" t="str">
        <f>'Revenues 9-14'!A164</f>
        <v>State Charter Schools</v>
      </c>
      <c r="E119" s="906"/>
      <c r="F119" s="1907">
        <f>SUM('Revenues 9-14'!C164,'Revenues 9-14'!F164)</f>
        <v>0</v>
      </c>
      <c r="G119" s="912"/>
    </row>
    <row r="120" spans="1:7" x14ac:dyDescent="0.2">
      <c r="A120" s="927" t="s">
        <v>459</v>
      </c>
      <c r="B120" s="927" t="s">
        <v>2012</v>
      </c>
      <c r="C120" s="928">
        <f>'Revenues 9-14'!B167</f>
        <v>3925</v>
      </c>
      <c r="D120" s="929" t="str">
        <f>'Revenues 9-14'!A167</f>
        <v>School Infrastructure - Maintenance Projects</v>
      </c>
      <c r="E120" s="906"/>
      <c r="F120" s="1789">
        <f>'Revenues 9-14'!D167</f>
        <v>0</v>
      </c>
      <c r="G120" s="930"/>
    </row>
    <row r="121" spans="1:7" x14ac:dyDescent="0.2">
      <c r="A121" s="927" t="s">
        <v>499</v>
      </c>
      <c r="B121" s="927" t="s">
        <v>2013</v>
      </c>
      <c r="C121" s="928">
        <f>'Revenues 9-14'!B168</f>
        <v>3999</v>
      </c>
      <c r="D121" s="929" t="s">
        <v>542</v>
      </c>
      <c r="E121" s="931"/>
      <c r="F121" s="1789">
        <f>SUM('Revenues 9-14'!C168:G168,'Revenues 9-14'!J168)</f>
        <v>11228</v>
      </c>
      <c r="G121" s="930"/>
    </row>
    <row r="122" spans="1:7" x14ac:dyDescent="0.2">
      <c r="A122" s="927" t="s">
        <v>458</v>
      </c>
      <c r="B122" s="927" t="s">
        <v>2014</v>
      </c>
      <c r="C122" s="932">
        <f>'Revenues 9-14'!B177</f>
        <v>4045</v>
      </c>
      <c r="D122" s="929" t="str">
        <f>'Revenues 9-14'!A177 &amp; " (Subtract)"</f>
        <v>Head Start (Subtract)</v>
      </c>
      <c r="E122" s="906"/>
      <c r="F122" s="1789">
        <f>SUM(-'Revenues 9-14'!C177)</f>
        <v>0</v>
      </c>
      <c r="G122" s="930"/>
    </row>
    <row r="123" spans="1:7" x14ac:dyDescent="0.2">
      <c r="A123" s="927" t="s">
        <v>667</v>
      </c>
      <c r="B123" s="927" t="s">
        <v>2015</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2016</v>
      </c>
      <c r="C124" s="932">
        <v>4100</v>
      </c>
      <c r="D124" s="933" t="str">
        <f>'Revenues 9-14'!A188</f>
        <v>Total Title V</v>
      </c>
      <c r="E124" s="906"/>
      <c r="F124" s="1789">
        <f>SUM('Revenues 9-14'!C188,'Revenues 9-14'!D188,'Revenues 9-14'!F188,'Revenues 9-14'!G188)</f>
        <v>0</v>
      </c>
      <c r="G124" s="930"/>
    </row>
    <row r="125" spans="1:7" x14ac:dyDescent="0.2">
      <c r="A125" s="927" t="s">
        <v>663</v>
      </c>
      <c r="B125" s="927" t="s">
        <v>2017</v>
      </c>
      <c r="C125" s="932">
        <v>4200</v>
      </c>
      <c r="D125" s="929" t="str">
        <f>'Revenues 9-14'!A198</f>
        <v>Total Food Service</v>
      </c>
      <c r="E125" s="906"/>
      <c r="F125" s="1789">
        <f>SUM('Revenues 9-14'!C198,'Revenues 9-14'!G198)</f>
        <v>453552</v>
      </c>
      <c r="G125" s="930"/>
    </row>
    <row r="126" spans="1:7" x14ac:dyDescent="0.2">
      <c r="A126" s="927" t="s">
        <v>667</v>
      </c>
      <c r="B126" s="927" t="s">
        <v>2018</v>
      </c>
      <c r="C126" s="932">
        <v>4300</v>
      </c>
      <c r="D126" s="933" t="str">
        <f>'Revenues 9-14'!A204</f>
        <v>Total Title I</v>
      </c>
      <c r="E126" s="906"/>
      <c r="F126" s="1789">
        <f>SUM('Revenues 9-14'!C204,'Revenues 9-14'!D204,'Revenues 9-14'!F204,'Revenues 9-14'!G204)</f>
        <v>442741</v>
      </c>
      <c r="G126" s="930"/>
    </row>
    <row r="127" spans="1:7" x14ac:dyDescent="0.2">
      <c r="A127" s="927" t="s">
        <v>667</v>
      </c>
      <c r="B127" s="927" t="s">
        <v>2019</v>
      </c>
      <c r="C127" s="932">
        <v>4400</v>
      </c>
      <c r="D127" s="933" t="str">
        <f>'Revenues 9-14'!A209</f>
        <v>Total Title IV</v>
      </c>
      <c r="E127" s="906"/>
      <c r="F127" s="1789">
        <f>SUM('Revenues 9-14'!C209,'Revenues 9-14'!D209,'Revenues 9-14'!F209,'Revenues 9-14'!G209)</f>
        <v>6573</v>
      </c>
      <c r="G127" s="930"/>
    </row>
    <row r="128" spans="1:7" x14ac:dyDescent="0.2">
      <c r="A128" s="927" t="s">
        <v>667</v>
      </c>
      <c r="B128" s="927" t="s">
        <v>2020</v>
      </c>
      <c r="C128" s="932">
        <f>'Revenues 9-14'!B213</f>
        <v>4620</v>
      </c>
      <c r="D128" s="933" t="str">
        <f>'Revenues 9-14'!A213</f>
        <v>Fed - Spec Education - IDEA - Flow Through</v>
      </c>
      <c r="E128" s="906"/>
      <c r="F128" s="1789">
        <f>SUM('Revenues 9-14'!C213:D213,'Revenues 9-14'!F213:G213)</f>
        <v>808016</v>
      </c>
      <c r="G128" s="930"/>
    </row>
    <row r="129" spans="1:7" x14ac:dyDescent="0.2">
      <c r="A129" s="927" t="s">
        <v>667</v>
      </c>
      <c r="B129" s="927" t="s">
        <v>2021</v>
      </c>
      <c r="C129" s="932">
        <f>'Revenues 9-14'!B214</f>
        <v>4625</v>
      </c>
      <c r="D129" s="933" t="str">
        <f>'Revenues 9-14'!A214</f>
        <v>Fed - Spec Education - IDEA - Room &amp; Board</v>
      </c>
      <c r="E129" s="906"/>
      <c r="F129" s="1789">
        <f>SUM('Revenues 9-14'!C214,'Revenues 9-14'!D214,'Revenues 9-14'!F214,'Revenues 9-14'!G214)</f>
        <v>341388</v>
      </c>
      <c r="G129" s="930"/>
    </row>
    <row r="130" spans="1:7" x14ac:dyDescent="0.2">
      <c r="A130" s="927" t="s">
        <v>667</v>
      </c>
      <c r="B130" s="927" t="s">
        <v>2022</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2023</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2024</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9">
        <v>0</v>
      </c>
      <c r="G138" s="905"/>
    </row>
    <row r="139" spans="1:7" s="867" customFormat="1" hidden="1" x14ac:dyDescent="0.2">
      <c r="A139" s="934" t="s">
        <v>206</v>
      </c>
      <c r="B139" s="934" t="s">
        <v>2030</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2033</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89">
        <f>SUM('Revenues 9-14'!C240:G240,'Revenues 9-14'!J240)</f>
        <v>58112</v>
      </c>
      <c r="G146" s="905"/>
    </row>
    <row r="147" spans="1:7" s="867" customFormat="1" hidden="1" x14ac:dyDescent="0.2">
      <c r="A147" s="934" t="s">
        <v>206</v>
      </c>
      <c r="B147" s="934" t="s">
        <v>2035</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2038</v>
      </c>
      <c r="C157" s="940" t="s">
        <v>840</v>
      </c>
      <c r="D157" s="941" t="s">
        <v>776</v>
      </c>
      <c r="E157" s="942"/>
      <c r="F157" s="1789">
        <f>SUM(F133:F156)</f>
        <v>58112</v>
      </c>
      <c r="G157" s="905"/>
    </row>
    <row r="158" spans="1:7" s="867" customFormat="1" x14ac:dyDescent="0.2">
      <c r="A158" s="938" t="s">
        <v>458</v>
      </c>
      <c r="B158" s="939" t="s">
        <v>2039</v>
      </c>
      <c r="C158" s="940" t="s">
        <v>1426</v>
      </c>
      <c r="D158" s="941" t="s">
        <v>1427</v>
      </c>
      <c r="E158" s="942"/>
      <c r="F158" s="1789">
        <f>SUM('Revenues 9-14'!C253)</f>
        <v>0</v>
      </c>
      <c r="G158" s="905"/>
    </row>
    <row r="159" spans="1:7" s="867" customFormat="1" x14ac:dyDescent="0.2">
      <c r="A159" s="938" t="s">
        <v>499</v>
      </c>
      <c r="B159" s="939" t="s">
        <v>2040</v>
      </c>
      <c r="C159" s="940" t="s">
        <v>1465</v>
      </c>
      <c r="D159" s="941" t="s">
        <v>1466</v>
      </c>
      <c r="E159" s="942"/>
      <c r="F159" s="1789">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2042</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2043</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2044</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2045</v>
      </c>
      <c r="C164" s="932">
        <f>'Revenues 9-14'!B259</f>
        <v>4932</v>
      </c>
      <c r="D164" s="933" t="str">
        <f>'Revenues 9-14'!A259</f>
        <v>Title II - Teacher Quality</v>
      </c>
      <c r="E164" s="906"/>
      <c r="F164" s="1907">
        <f>SUM('Revenues 9-14'!C259,'Revenues 9-14'!D259,'Revenues 9-14'!F259,'Revenues 9-14'!G259)</f>
        <v>104571</v>
      </c>
      <c r="G164" s="930"/>
    </row>
    <row r="165" spans="1:7" x14ac:dyDescent="0.2">
      <c r="A165" s="927" t="s">
        <v>667</v>
      </c>
      <c r="B165" s="927" t="s">
        <v>2046</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1991</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1992</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2047</v>
      </c>
      <c r="C168" s="932">
        <f>'Revenues 9-14'!B263</f>
        <v>4991</v>
      </c>
      <c r="D168" s="933" t="str">
        <f>'Revenues 9-14'!A263</f>
        <v>Medicaid Matching Funds - Administrative Outreach</v>
      </c>
      <c r="E168" s="906"/>
      <c r="F168" s="1789">
        <f>SUM('Revenues 9-14'!C263:D263,'Revenues 9-14'!F263:G263)</f>
        <v>60121</v>
      </c>
      <c r="G168" s="947">
        <v>6320</v>
      </c>
    </row>
    <row r="169" spans="1:7" x14ac:dyDescent="0.2">
      <c r="A169" s="927" t="s">
        <v>667</v>
      </c>
      <c r="B169" s="927" t="s">
        <v>2048</v>
      </c>
      <c r="C169" s="932">
        <f>'Revenues 9-14'!B264</f>
        <v>4992</v>
      </c>
      <c r="D169" s="933" t="str">
        <f>'Revenues 9-14'!A264</f>
        <v>Medicaid Matching Funds - Fee-for-Service Program</v>
      </c>
      <c r="E169" s="906"/>
      <c r="F169" s="1789">
        <f>SUM('Revenues 9-14'!C264:D264,'Revenues 9-14'!F264:G264)</f>
        <v>88868</v>
      </c>
      <c r="G169" s="947"/>
    </row>
    <row r="170" spans="1:7" x14ac:dyDescent="0.2">
      <c r="A170" s="948" t="s">
        <v>667</v>
      </c>
      <c r="B170" s="944" t="s">
        <v>2049</v>
      </c>
      <c r="C170" s="945">
        <f>'Revenues 9-14'!B265</f>
        <v>4999</v>
      </c>
      <c r="D170" s="946" t="str">
        <f>'Revenues 9-14'!A265</f>
        <v>Other Restricted Revenue from Federal Sources (Describe &amp; Itemize)</v>
      </c>
      <c r="E170" s="906"/>
      <c r="F170" s="1789">
        <f>SUM('Revenues 9-14'!C265:D265,'Revenues 9-14'!F265:G265)</f>
        <v>63955</v>
      </c>
      <c r="G170" s="927"/>
    </row>
    <row r="171" spans="1:7" x14ac:dyDescent="0.2">
      <c r="A171" s="1918" t="s">
        <v>5</v>
      </c>
      <c r="B171" s="1919" t="s">
        <v>1915</v>
      </c>
      <c r="C171" s="1920">
        <v>3100</v>
      </c>
      <c r="D171" s="1921" t="s">
        <v>1917</v>
      </c>
      <c r="E171" s="906"/>
      <c r="F171" s="1906"/>
      <c r="G171" s="927"/>
    </row>
    <row r="172" spans="1:7" x14ac:dyDescent="0.2">
      <c r="A172" s="1918" t="s">
        <v>663</v>
      </c>
      <c r="B172" s="1919" t="s">
        <v>1915</v>
      </c>
      <c r="C172" s="1920">
        <v>3300</v>
      </c>
      <c r="D172" s="1921" t="s">
        <v>1918</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2050</v>
      </c>
      <c r="E174" s="1787" t="s">
        <v>957</v>
      </c>
      <c r="F174" s="1788">
        <f>SUM(F84:F132,F157:F172)</f>
        <v>6622000</v>
      </c>
    </row>
    <row r="175" spans="1:7" ht="12" customHeight="1" x14ac:dyDescent="0.2">
      <c r="A175" s="1770"/>
      <c r="B175" s="1784"/>
      <c r="C175" s="1785"/>
      <c r="D175" s="1786" t="s">
        <v>2051</v>
      </c>
      <c r="E175" s="1787"/>
      <c r="F175" s="1789">
        <f>'PCTC-OEPP 27-28'!F77-F174</f>
        <v>33377766</v>
      </c>
    </row>
    <row r="176" spans="1:7" ht="12" customHeight="1" x14ac:dyDescent="0.2">
      <c r="A176" s="1770"/>
      <c r="B176" s="1784"/>
      <c r="C176" s="1785"/>
      <c r="D176" s="1786" t="s">
        <v>1813</v>
      </c>
      <c r="E176" s="1787"/>
      <c r="F176" s="1789">
        <f>'Cap Outlay Deprec 26'!I18</f>
        <v>2017419.7</v>
      </c>
    </row>
    <row r="177" spans="1:7" ht="12" customHeight="1" x14ac:dyDescent="0.2">
      <c r="A177" s="1770"/>
      <c r="B177" s="1784"/>
      <c r="C177" s="1785"/>
      <c r="D177" s="1786" t="s">
        <v>2052</v>
      </c>
      <c r="E177" s="1787"/>
      <c r="F177" s="1789">
        <f>F175+F176</f>
        <v>35395185.700000003</v>
      </c>
    </row>
    <row r="178" spans="1:7" ht="12" customHeight="1" x14ac:dyDescent="0.2">
      <c r="A178" s="1770"/>
      <c r="B178" s="1790"/>
      <c r="C178" s="1785"/>
      <c r="D178" s="1786" t="str">
        <f>D78</f>
        <v>9 Month ADA from District Average Daily Attendance/Prior General State Aid Inquiry 2018-2019</v>
      </c>
      <c r="E178" s="1787"/>
      <c r="F178" s="1791">
        <f>'PCTC-OEPP 27-28'!F78</f>
        <v>4339.6000000000004</v>
      </c>
      <c r="G178" s="930"/>
    </row>
    <row r="179" spans="1:7" ht="12" customHeight="1" thickBot="1" x14ac:dyDescent="0.25">
      <c r="A179" s="1770"/>
      <c r="B179" s="1790"/>
      <c r="C179" s="1785"/>
      <c r="D179" s="1786" t="s">
        <v>2053</v>
      </c>
      <c r="E179" s="1787" t="s">
        <v>1544</v>
      </c>
      <c r="F179" s="1792">
        <f>F177/F178</f>
        <v>8156.3244769103139</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22" customFormat="1" ht="12.2" customHeight="1" x14ac:dyDescent="0.2">
      <c r="A182" s="1922" t="s">
        <v>1988</v>
      </c>
      <c r="B182" s="1923"/>
      <c r="C182" s="1924"/>
      <c r="D182" s="1923"/>
      <c r="E182" s="1924"/>
      <c r="F182" s="1923"/>
      <c r="G182" s="1923"/>
    </row>
    <row r="183" spans="1:7" s="1922" customFormat="1" ht="12.2" customHeight="1" x14ac:dyDescent="0.2">
      <c r="A183" s="1925" t="s">
        <v>1990</v>
      </c>
      <c r="C183" s="1924"/>
      <c r="D183" s="1923"/>
      <c r="E183" s="1924"/>
      <c r="F183" s="1923"/>
      <c r="G183" s="1923"/>
    </row>
    <row r="184" spans="1:7" ht="12" customHeight="1" x14ac:dyDescent="0.2">
      <c r="C184" s="949"/>
      <c r="D184" s="930"/>
      <c r="E184" s="949"/>
      <c r="F184" s="930"/>
      <c r="G184" s="930"/>
    </row>
    <row r="185" spans="1:7" x14ac:dyDescent="0.2">
      <c r="A185" s="1926" t="s">
        <v>1920</v>
      </c>
      <c r="B185" s="1927"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0" zoomScaleNormal="100" workbookViewId="0">
      <selection activeCell="D36" sqref="D36"/>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1828</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1" t="s">
        <v>1814</v>
      </c>
      <c r="B4" s="2272"/>
      <c r="C4" s="2272"/>
      <c r="D4" s="2272"/>
      <c r="E4" s="2272"/>
      <c r="F4" s="2272"/>
      <c r="G4" s="2273"/>
    </row>
    <row r="5" spans="1:7" x14ac:dyDescent="0.25">
      <c r="A5" s="2274"/>
      <c r="B5" s="2275"/>
      <c r="C5" s="2275"/>
      <c r="D5" s="2275"/>
      <c r="E5" s="2275"/>
      <c r="F5" s="2275"/>
      <c r="G5" s="2276"/>
    </row>
    <row r="6" spans="1:7" ht="18.75" x14ac:dyDescent="0.25">
      <c r="A6" s="1534" t="s">
        <v>1815</v>
      </c>
      <c r="B6" s="1535"/>
      <c r="C6" s="1535"/>
      <c r="D6" s="1535"/>
      <c r="E6" s="1535"/>
      <c r="F6" s="1535"/>
      <c r="G6" s="1536"/>
    </row>
    <row r="7" spans="1:7" ht="30.75" customHeight="1" x14ac:dyDescent="0.25">
      <c r="A7" s="2277" t="s">
        <v>1927</v>
      </c>
      <c r="B7" s="2278"/>
      <c r="C7" s="2278"/>
      <c r="D7" s="2278"/>
      <c r="E7" s="2278"/>
      <c r="F7" s="2278"/>
      <c r="G7" s="2279"/>
    </row>
    <row r="8" spans="1:7" ht="15.75" customHeight="1" x14ac:dyDescent="0.25">
      <c r="A8" s="2280" t="s">
        <v>1902</v>
      </c>
      <c r="B8" s="2281"/>
      <c r="C8" s="2281"/>
      <c r="D8" s="2281"/>
      <c r="E8" s="2281"/>
      <c r="F8" s="2281"/>
      <c r="G8" s="2282"/>
    </row>
    <row r="9" spans="1:7" ht="35.25" customHeight="1" x14ac:dyDescent="0.25">
      <c r="A9" s="2277" t="s">
        <v>2059</v>
      </c>
      <c r="B9" s="2278"/>
      <c r="C9" s="2278"/>
      <c r="D9" s="2278"/>
      <c r="E9" s="2278"/>
      <c r="F9" s="2278"/>
      <c r="G9" s="2279"/>
    </row>
    <row r="10" spans="1:7" ht="15" customHeight="1" x14ac:dyDescent="0.25">
      <c r="A10" s="1537" t="s">
        <v>1816</v>
      </c>
      <c r="B10" s="1538"/>
      <c r="C10" s="1538"/>
      <c r="D10" s="1538"/>
      <c r="E10" s="1538"/>
      <c r="F10" s="1538"/>
      <c r="G10" s="1539"/>
    </row>
    <row r="11" spans="1:7" ht="17.25" customHeight="1" x14ac:dyDescent="0.25">
      <c r="A11" s="2277" t="s">
        <v>1929</v>
      </c>
      <c r="B11" s="2278"/>
      <c r="C11" s="2278"/>
      <c r="D11" s="2278"/>
      <c r="E11" s="2278"/>
      <c r="F11" s="2278"/>
      <c r="G11" s="2279"/>
    </row>
    <row r="12" spans="1:7" ht="15" customHeight="1" x14ac:dyDescent="0.25">
      <c r="A12" s="1537" t="s">
        <v>1821</v>
      </c>
      <c r="B12" s="1538"/>
      <c r="C12" s="1538"/>
      <c r="D12" s="1538"/>
      <c r="E12" s="1538"/>
      <c r="F12" s="1538"/>
      <c r="G12" s="1539"/>
    </row>
    <row r="13" spans="1:7" ht="32.25" customHeight="1" x14ac:dyDescent="0.25">
      <c r="A13" s="2268" t="s">
        <v>1970</v>
      </c>
      <c r="B13" s="2269"/>
      <c r="C13" s="2269"/>
      <c r="D13" s="2269"/>
      <c r="E13" s="2269"/>
      <c r="F13" s="2269"/>
      <c r="G13" s="2270"/>
    </row>
    <row r="14" spans="1:7" x14ac:dyDescent="0.25">
      <c r="A14" s="1661" t="s">
        <v>1829</v>
      </c>
      <c r="B14" s="1662"/>
      <c r="C14" s="1662"/>
      <c r="D14" s="1662"/>
      <c r="E14" s="1662"/>
      <c r="F14" s="1662"/>
      <c r="G14" s="1663"/>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2101</v>
      </c>
      <c r="B17" s="1939" t="s">
        <v>2102</v>
      </c>
      <c r="C17" s="1940" t="s">
        <v>2103</v>
      </c>
      <c r="D17" s="1941">
        <v>1583</v>
      </c>
      <c r="E17" s="1540">
        <f t="shared" ref="E17:E141" si="0">IF(D17&lt;=25000,D17,IF(D17&gt;25000,25000,0))</f>
        <v>1583</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1583</v>
      </c>
      <c r="G17" s="1793">
        <f>IF(F17=0,0,D17-F17)</f>
        <v>0</v>
      </c>
      <c r="H17" s="1647"/>
    </row>
    <row r="18" spans="1:8" x14ac:dyDescent="0.25">
      <c r="A18" s="1938" t="s">
        <v>2101</v>
      </c>
      <c r="B18" s="1939" t="s">
        <v>2102</v>
      </c>
      <c r="C18" s="1940" t="s">
        <v>2104</v>
      </c>
      <c r="D18" s="1941">
        <v>5334</v>
      </c>
      <c r="E18" s="1540">
        <f t="shared" ref="E18:E140" si="2">IF(D18&lt;=25000,D18,IF(D18&gt;25000,25000,0))</f>
        <v>5334</v>
      </c>
      <c r="F18" s="1932">
        <f t="shared" si="1"/>
        <v>5334</v>
      </c>
      <c r="G18" s="1793">
        <f t="shared" ref="G18:G140" si="3">IF(F18=0,0,D18-F18)</f>
        <v>0</v>
      </c>
    </row>
    <row r="19" spans="1:8" x14ac:dyDescent="0.25">
      <c r="A19" s="1938" t="s">
        <v>2101</v>
      </c>
      <c r="B19" s="1939" t="s">
        <v>2102</v>
      </c>
      <c r="C19" s="1940" t="s">
        <v>2105</v>
      </c>
      <c r="D19" s="1941">
        <v>7263</v>
      </c>
      <c r="E19" s="1540">
        <f t="shared" si="2"/>
        <v>7263</v>
      </c>
      <c r="F19" s="1932">
        <f t="shared" si="1"/>
        <v>7263</v>
      </c>
      <c r="G19" s="1793">
        <f t="shared" si="3"/>
        <v>0</v>
      </c>
    </row>
    <row r="20" spans="1:8" x14ac:dyDescent="0.25">
      <c r="A20" s="1938" t="s">
        <v>2101</v>
      </c>
      <c r="B20" s="1939" t="s">
        <v>2102</v>
      </c>
      <c r="C20" s="1940" t="s">
        <v>2106</v>
      </c>
      <c r="D20" s="1941">
        <v>16745</v>
      </c>
      <c r="E20" s="1540">
        <f t="shared" si="2"/>
        <v>16745</v>
      </c>
      <c r="F20" s="1932">
        <f t="shared" si="1"/>
        <v>16745</v>
      </c>
      <c r="G20" s="1793">
        <f t="shared" si="3"/>
        <v>0</v>
      </c>
    </row>
    <row r="21" spans="1:8" x14ac:dyDescent="0.25">
      <c r="A21" s="1938" t="s">
        <v>2101</v>
      </c>
      <c r="B21" s="1939" t="s">
        <v>2102</v>
      </c>
      <c r="C21" s="1940" t="s">
        <v>2107</v>
      </c>
      <c r="D21" s="1941">
        <v>3121</v>
      </c>
      <c r="E21" s="1540">
        <f t="shared" si="2"/>
        <v>3121</v>
      </c>
      <c r="F21" s="1932">
        <f t="shared" si="1"/>
        <v>3121</v>
      </c>
      <c r="G21" s="1793">
        <f t="shared" si="3"/>
        <v>0</v>
      </c>
    </row>
    <row r="22" spans="1:8" x14ac:dyDescent="0.25">
      <c r="A22" s="1938" t="s">
        <v>2101</v>
      </c>
      <c r="B22" s="1939" t="s">
        <v>2102</v>
      </c>
      <c r="C22" s="1940" t="s">
        <v>2108</v>
      </c>
      <c r="D22" s="1941">
        <v>9359</v>
      </c>
      <c r="E22" s="1540">
        <f t="shared" si="2"/>
        <v>9359</v>
      </c>
      <c r="F22" s="1932">
        <f t="shared" si="1"/>
        <v>9359</v>
      </c>
      <c r="G22" s="1793">
        <f t="shared" si="3"/>
        <v>0</v>
      </c>
    </row>
    <row r="23" spans="1:8" x14ac:dyDescent="0.25">
      <c r="A23" s="1938" t="s">
        <v>2109</v>
      </c>
      <c r="B23" s="1939" t="s">
        <v>2110</v>
      </c>
      <c r="C23" s="1940" t="s">
        <v>2111</v>
      </c>
      <c r="D23" s="1941">
        <v>1170</v>
      </c>
      <c r="E23" s="1540">
        <f t="shared" si="2"/>
        <v>1170</v>
      </c>
      <c r="F23" s="1932">
        <f t="shared" si="1"/>
        <v>1170</v>
      </c>
      <c r="G23" s="1793">
        <f t="shared" si="3"/>
        <v>0</v>
      </c>
    </row>
    <row r="24" spans="1:8" x14ac:dyDescent="0.25">
      <c r="A24" s="1938" t="s">
        <v>2112</v>
      </c>
      <c r="B24" s="1939" t="s">
        <v>2113</v>
      </c>
      <c r="C24" s="1940" t="s">
        <v>2114</v>
      </c>
      <c r="D24" s="1941">
        <v>14946</v>
      </c>
      <c r="E24" s="1540">
        <f t="shared" si="2"/>
        <v>14946</v>
      </c>
      <c r="F24" s="1932">
        <f t="shared" si="1"/>
        <v>14946</v>
      </c>
      <c r="G24" s="1793">
        <f t="shared" si="3"/>
        <v>0</v>
      </c>
    </row>
    <row r="25" spans="1:8" x14ac:dyDescent="0.25">
      <c r="A25" s="1938"/>
      <c r="B25" s="1939"/>
      <c r="C25" s="1940"/>
      <c r="D25" s="1941"/>
      <c r="E25" s="1540">
        <f t="shared" si="2"/>
        <v>0</v>
      </c>
      <c r="F25" s="1932">
        <f t="shared" si="1"/>
        <v>0</v>
      </c>
      <c r="G25" s="1793">
        <f t="shared" si="3"/>
        <v>0</v>
      </c>
    </row>
    <row r="26" spans="1:8" x14ac:dyDescent="0.25">
      <c r="A26" s="1938"/>
      <c r="B26" s="1939"/>
      <c r="C26" s="1940"/>
      <c r="D26" s="1941"/>
      <c r="E26" s="1540">
        <f t="shared" si="2"/>
        <v>0</v>
      </c>
      <c r="F26" s="1932">
        <f t="shared" si="1"/>
        <v>0</v>
      </c>
      <c r="G26" s="1793">
        <f t="shared" si="3"/>
        <v>0</v>
      </c>
    </row>
    <row r="27" spans="1:8" x14ac:dyDescent="0.25">
      <c r="A27" s="1938"/>
      <c r="B27" s="1939"/>
      <c r="C27" s="1940"/>
      <c r="D27" s="1941"/>
      <c r="E27" s="1540">
        <f t="shared" si="2"/>
        <v>0</v>
      </c>
      <c r="F27" s="1932">
        <f t="shared" si="1"/>
        <v>0</v>
      </c>
      <c r="G27" s="1793">
        <f t="shared" si="3"/>
        <v>0</v>
      </c>
    </row>
    <row r="28" spans="1:8" x14ac:dyDescent="0.25">
      <c r="A28" s="1938"/>
      <c r="B28" s="1939"/>
      <c r="C28" s="1940"/>
      <c r="D28" s="1941"/>
      <c r="E28" s="1540">
        <f t="shared" si="2"/>
        <v>0</v>
      </c>
      <c r="F28" s="1932">
        <f t="shared" si="1"/>
        <v>0</v>
      </c>
      <c r="G28" s="1793">
        <f t="shared" si="3"/>
        <v>0</v>
      </c>
    </row>
    <row r="29" spans="1:8" x14ac:dyDescent="0.25">
      <c r="A29" s="1938"/>
      <c r="B29" s="1939"/>
      <c r="C29" s="1940"/>
      <c r="D29" s="1941"/>
      <c r="E29" s="1540">
        <f t="shared" si="2"/>
        <v>0</v>
      </c>
      <c r="F29" s="1932">
        <f t="shared" si="1"/>
        <v>0</v>
      </c>
      <c r="G29" s="1793">
        <f t="shared" si="3"/>
        <v>0</v>
      </c>
    </row>
    <row r="30" spans="1:8" x14ac:dyDescent="0.25">
      <c r="A30" s="1938"/>
      <c r="B30" s="1939"/>
      <c r="C30" s="1940"/>
      <c r="D30" s="1941"/>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59521</v>
      </c>
      <c r="E141" s="1541">
        <f t="shared" si="0"/>
        <v>25000</v>
      </c>
      <c r="F141" s="1933">
        <f>SUM(F17:F140)</f>
        <v>59521</v>
      </c>
      <c r="G141" s="179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10" colorId="8" zoomScale="110" zoomScaleNormal="110" workbookViewId="0">
      <selection activeCell="I11" sqref="I11:J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3" t="s">
        <v>1678</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453552</v>
      </c>
      <c r="F10" s="974"/>
      <c r="G10" s="975"/>
      <c r="H10" s="162"/>
      <c r="I10" s="162"/>
    </row>
    <row r="11" spans="1:9" s="668" customFormat="1" ht="22.5" customHeight="1" x14ac:dyDescent="0.2">
      <c r="A11" s="2288" t="s">
        <v>1971</v>
      </c>
      <c r="B11" s="2289"/>
      <c r="C11" s="2289"/>
      <c r="D11" s="2290"/>
      <c r="E11" s="977">
        <v>105911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23158486</v>
      </c>
      <c r="F19" s="1799"/>
      <c r="G19" s="1801">
        <f>'Expenditures 15-22'!K33-SUM('Expenditures 15-22'!G33,'Expenditures 15-22'!I33)+'Expenditures 15-22'!D229</f>
        <v>23158486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2554344</v>
      </c>
      <c r="F21" s="1802"/>
      <c r="G21" s="1805">
        <f>'Expenditures 15-22'!K42-SUM('Expenditures 15-22'!G42,'Expenditures 15-22'!I42)+'Expenditures 15-22'!K120-SUM('Expenditures 15-22'!G120,'Expenditures 15-22'!I120)+'Expenditures 15-22'!K180-SUM('Expenditures 15-22'!G180,'Expenditures 15-22'!I180)+'Expenditures 15-22'!D238</f>
        <v>2554344</v>
      </c>
      <c r="H21" s="987"/>
      <c r="I21" s="162"/>
    </row>
    <row r="22" spans="1:9" s="668" customFormat="1" ht="12" customHeight="1" x14ac:dyDescent="0.2">
      <c r="A22" s="994" t="s">
        <v>563</v>
      </c>
      <c r="B22" s="995"/>
      <c r="C22" s="993">
        <v>2200</v>
      </c>
      <c r="D22" s="1802"/>
      <c r="E22" s="1804">
        <f>'Expenditures 15-22'!K47-SUM('Expenditures 15-22'!G47,'Expenditures 15-22'!I47)+'Expenditures 15-22'!D243</f>
        <v>456342</v>
      </c>
      <c r="F22" s="1802"/>
      <c r="G22" s="1805">
        <f>'Expenditures 15-22'!K47-SUM('Expenditures 15-22'!G47,'Expenditures 15-22'!I47)+'Expenditures 15-22'!D243</f>
        <v>456342</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1795897</v>
      </c>
      <c r="F23" s="1802"/>
      <c r="G23" s="1804">
        <f>'Expenditures 15-22'!K53-SUM('Expenditures 15-22'!G53,'Expenditures 15-22'!I53)+'Expenditures 15-22'!D257+'Expenditures 15-22'!K330-SUM('Expenditures 15-22'!G330,'Expenditures 15-22'!I330)</f>
        <v>1795897</v>
      </c>
      <c r="H23" s="987"/>
      <c r="I23" s="162"/>
    </row>
    <row r="24" spans="1:9" s="668" customFormat="1" ht="12" customHeight="1" x14ac:dyDescent="0.2">
      <c r="A24" s="994" t="s">
        <v>565</v>
      </c>
      <c r="B24" s="995"/>
      <c r="C24" s="993">
        <v>2400</v>
      </c>
      <c r="D24" s="1802"/>
      <c r="E24" s="1804">
        <f>'Expenditures 15-22'!K57-SUM('Expenditures 15-22'!G57,'Expenditures 15-22'!I57)+'Expenditures 15-22'!D261</f>
        <v>1831982</v>
      </c>
      <c r="F24" s="1802"/>
      <c r="G24" s="1805">
        <f>'Expenditures 15-22'!K57-SUM('Expenditures 15-22'!G57,'Expenditures 15-22'!I57)+'Expenditures 15-22'!D261</f>
        <v>1831982</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584860</v>
      </c>
      <c r="E27" s="1804">
        <f>E8</f>
        <v>0</v>
      </c>
      <c r="F27" s="1804">
        <f>'Expenditures 15-22'!K60-SUM('Expenditures 15-22'!G60,'Expenditures 15-22'!I60)+'Expenditures 15-22'!D264-E8</f>
        <v>584860</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4421485</v>
      </c>
      <c r="F28" s="1806">
        <f>'Expenditures 15-22'!K61-SUM('Expenditures 15-22'!G61,'Expenditures 15-22'!I61)+'Expenditures 15-22'!K124-SUM('Expenditures 15-22'!G124,'Expenditures 15-22'!I124)+'Expenditures 15-22'!D266-E9</f>
        <v>4421485</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2114237</v>
      </c>
      <c r="F29" s="1802"/>
      <c r="G29" s="1805">
        <f>'Expenditures 15-22'!K62-SUM('Expenditures 15-22'!G62,'Expenditures 15-22'!I62)+'Expenditures 15-22'!K125-SUM('Expenditures 15-22'!G125,'Expenditures 15-22'!I125)+'Expenditures 15-22'!K182-SUM('Expenditures 15-22'!G182,'Expenditures 15-22'!I182)+'Expenditures 15-22'!D267</f>
        <v>2114237</v>
      </c>
      <c r="H29" s="985"/>
    </row>
    <row r="30" spans="1:9" ht="12" customHeight="1" x14ac:dyDescent="0.2">
      <c r="A30" s="994" t="s">
        <v>100</v>
      </c>
      <c r="B30" s="997"/>
      <c r="C30" s="993">
        <v>2560</v>
      </c>
      <c r="D30" s="1802"/>
      <c r="E30" s="1804">
        <f>'Expenditures 15-22'!K63-SUM('Expenditures 15-22'!G63,'Expenditures 15-22'!I63)+'Expenditures 15-22'!D268-E10</f>
        <v>1538541</v>
      </c>
      <c r="F30" s="1802"/>
      <c r="G30" s="1804">
        <f>'Expenditures 15-22'!K63-SUM('Expenditures 15-22'!G63,'Expenditures 15-22'!I63)+'Expenditures 15-22'!D268-E10</f>
        <v>1538541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81510</v>
      </c>
      <c r="F35" s="1802"/>
      <c r="G35" s="1804">
        <f>'Expenditures 15-22'!K69-SUM('Expenditures 15-22'!G69,'Expenditures 15-22'!I69)+'Expenditures 15-22'!D274</f>
        <v>81510</v>
      </c>
    </row>
    <row r="36" spans="1:7" ht="12" customHeight="1" x14ac:dyDescent="0.2">
      <c r="A36" s="994" t="s">
        <v>402</v>
      </c>
      <c r="B36" s="997"/>
      <c r="C36" s="993">
        <v>2640</v>
      </c>
      <c r="D36" s="1804">
        <f>'Expenditures 15-22'!K70-SUM('Expenditures 15-22'!G70,'Expenditures 15-22'!I70)+'Expenditures 15-22'!D275-E13</f>
        <v>66353</v>
      </c>
      <c r="E36" s="1804">
        <f>E13</f>
        <v>0</v>
      </c>
      <c r="F36" s="1804">
        <f>'Expenditures 15-22'!K70-SUM('Expenditures 15-22'!G70,'Expenditures 15-22'!I70)+'Expenditures 15-22'!D275-E13</f>
        <v>66353</v>
      </c>
      <c r="G36" s="1804">
        <f>E13</f>
        <v>0</v>
      </c>
    </row>
    <row r="37" spans="1:7" ht="12" customHeight="1" x14ac:dyDescent="0.2">
      <c r="A37" s="994" t="s">
        <v>403</v>
      </c>
      <c r="B37" s="997"/>
      <c r="C37" s="993">
        <v>2660</v>
      </c>
      <c r="D37" s="1804">
        <f>'Expenditures 15-22'!K71-SUM('Expenditures 15-22'!G71,'Expenditures 15-22'!I71)+'Expenditures 15-22'!D276-E14</f>
        <v>1117184</v>
      </c>
      <c r="E37" s="1804">
        <f>E14</f>
        <v>0</v>
      </c>
      <c r="F37" s="1804">
        <f>'Expenditures 15-22'!K71-SUM('Expenditures 15-22'!G71,'Expenditures 15-22'!I71)+'Expenditures 15-22'!D276-E14</f>
        <v>1117184</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6877</v>
      </c>
      <c r="F38" s="1802"/>
      <c r="G38" s="1804">
        <f>'Expenditures 15-22'!K73-SUM('Expenditures 15-22'!G73,'Expenditures 15-22'!I73)+'Expenditures 15-22'!K128-SUM('Expenditures 15-22'!G128,'Expenditures 15-22'!I128)+'Expenditures 15-22'!K183-SUM('Expenditures 15-22'!G183,'Expenditures 15-22'!I183)+'Expenditures 15-22'!D278</f>
        <v>6877</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9987</v>
      </c>
      <c r="F39" s="1802"/>
      <c r="G39" s="1804">
        <f>'Expenditures 15-22'!K75-SUM('Expenditures 15-22'!G75,'Expenditures 15-22'!I75)+'Expenditures 15-22'!K130-SUM('Expenditures 15-22'!G130,'Expenditures 15-22'!I130)+'Expenditures 15-22'!K185-SUM('Expenditures 15-22'!G185,'Expenditures 15-22'!I185)+'Expenditures 15-22'!D280</f>
        <v>9987</v>
      </c>
    </row>
    <row r="40" spans="1:7" ht="12" customHeight="1" x14ac:dyDescent="0.2">
      <c r="A40" s="990" t="s">
        <v>1819</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1768397</v>
      </c>
      <c r="E41" s="1806">
        <f>SUM(E19:E40)</f>
        <v>37969688</v>
      </c>
      <c r="F41" s="1806">
        <f>SUM(F19:F39)</f>
        <v>6189882</v>
      </c>
      <c r="G41" s="1806">
        <f>SUM(G19:G40)</f>
        <v>33548203</v>
      </c>
    </row>
    <row r="42" spans="1:7" x14ac:dyDescent="0.2">
      <c r="A42" s="987"/>
      <c r="B42" s="162"/>
      <c r="C42" s="1001"/>
      <c r="D42" s="2286" t="s">
        <v>521</v>
      </c>
      <c r="E42" s="2287"/>
      <c r="F42" s="1002" t="s">
        <v>522</v>
      </c>
      <c r="G42" s="1003"/>
    </row>
    <row r="43" spans="1:7" ht="12" customHeight="1" x14ac:dyDescent="0.2">
      <c r="A43" s="987"/>
      <c r="B43" s="162"/>
      <c r="C43" s="1001"/>
      <c r="D43" s="1807" t="s">
        <v>472</v>
      </c>
      <c r="E43" s="1808">
        <f>D41</f>
        <v>1768397</v>
      </c>
      <c r="F43" s="1807" t="s">
        <v>472</v>
      </c>
      <c r="G43" s="1808">
        <f>F41</f>
        <v>6189882</v>
      </c>
    </row>
    <row r="44" spans="1:7" ht="12" customHeight="1" x14ac:dyDescent="0.2">
      <c r="A44" s="987"/>
      <c r="B44" s="162"/>
      <c r="C44" s="1001"/>
      <c r="D44" s="1807" t="s">
        <v>473</v>
      </c>
      <c r="E44" s="1808">
        <f>E41</f>
        <v>37969688</v>
      </c>
      <c r="F44" s="1807" t="s">
        <v>473</v>
      </c>
      <c r="G44" s="1808">
        <f>G41</f>
        <v>33548203</v>
      </c>
    </row>
    <row r="45" spans="1:7" ht="12" customHeight="1" x14ac:dyDescent="0.2">
      <c r="A45" s="987"/>
      <c r="B45" s="162"/>
      <c r="C45" s="162"/>
      <c r="D45" s="1809" t="s">
        <v>1005</v>
      </c>
      <c r="E45" s="1810">
        <f>(E43/E44)</f>
        <v>4.6573914434061191E-2</v>
      </c>
      <c r="F45" s="1809" t="s">
        <v>1005</v>
      </c>
      <c r="G45" s="1810">
        <f>(G43/G44)</f>
        <v>0.18450711055969227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7" activePane="bottomLeft" state="frozen"/>
      <selection activeCell="A47" sqref="A47"/>
      <selection pane="bottomLeft" activeCell="F29" sqref="F2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5" t="s">
        <v>1378</v>
      </c>
      <c r="B1" s="2305"/>
      <c r="C1" s="2305"/>
      <c r="D1" s="2305"/>
      <c r="E1" s="2305"/>
      <c r="F1" s="2305"/>
    </row>
    <row r="2" spans="1:10" x14ac:dyDescent="0.2">
      <c r="A2" s="1887" t="s">
        <v>1907</v>
      </c>
      <c r="B2" s="1848"/>
      <c r="C2" s="1887"/>
      <c r="D2" s="1848"/>
      <c r="E2" s="1848"/>
      <c r="F2" s="1849"/>
    </row>
    <row r="3" spans="1:10" x14ac:dyDescent="0.2">
      <c r="A3" s="1887" t="s">
        <v>1972</v>
      </c>
      <c r="B3" s="1848"/>
      <c r="C3" s="1887"/>
      <c r="D3" s="1848"/>
      <c r="E3" s="1848"/>
      <c r="F3" s="1849"/>
    </row>
    <row r="4" spans="1:10" ht="3.75" customHeight="1" x14ac:dyDescent="0.2">
      <c r="A4" s="1848"/>
      <c r="B4" s="1848"/>
      <c r="C4" s="1848"/>
      <c r="D4" s="1848"/>
      <c r="E4" s="1848"/>
      <c r="F4" s="1849"/>
    </row>
    <row r="5" spans="1:10" ht="15" x14ac:dyDescent="0.25">
      <c r="A5" s="2306" t="s">
        <v>1545</v>
      </c>
      <c r="B5" s="2307"/>
      <c r="C5" s="2308"/>
      <c r="D5" s="2308"/>
      <c r="E5" s="2308"/>
      <c r="F5" s="2308"/>
    </row>
    <row r="6" spans="1:10" ht="12" customHeight="1" x14ac:dyDescent="0.25">
      <c r="A6" s="1850"/>
      <c r="B6" s="1851"/>
      <c r="C6" s="2309" t="str">
        <f>COVER!A17</f>
        <v>Ball Chatham CUSD 5</v>
      </c>
      <c r="D6" s="2309"/>
      <c r="E6" s="2309"/>
      <c r="F6" s="1852"/>
    </row>
    <row r="7" spans="1:10" ht="11.25" customHeight="1" thickBot="1" x14ac:dyDescent="0.3">
      <c r="A7" s="1850"/>
      <c r="B7" s="1851"/>
      <c r="C7" s="2310">
        <f>COVER!A13</f>
        <v>51084005026</v>
      </c>
      <c r="D7" s="2310"/>
      <c r="E7" s="2310"/>
      <c r="F7" s="1852"/>
    </row>
    <row r="8" spans="1:10" ht="25.5" customHeight="1" thickBot="1" x14ac:dyDescent="0.25">
      <c r="A8" s="1893" t="s">
        <v>1903</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c r="D26" s="1865"/>
      <c r="E26" s="1868"/>
      <c r="F26" s="1867"/>
      <c r="H26" s="1878">
        <f t="shared" si="0"/>
        <v>0</v>
      </c>
      <c r="I26" s="1878">
        <f t="shared" si="1"/>
        <v>0</v>
      </c>
      <c r="J26" s="1878">
        <f t="shared" si="2"/>
        <v>0</v>
      </c>
    </row>
    <row r="27" spans="1:12" ht="18.75" x14ac:dyDescent="0.2">
      <c r="A27" s="1863" t="s">
        <v>1534</v>
      </c>
      <c r="B27" s="1864"/>
      <c r="C27" s="1865" t="s">
        <v>2069</v>
      </c>
      <c r="D27" s="1865" t="s">
        <v>2069</v>
      </c>
      <c r="E27" s="1868"/>
      <c r="F27" s="1867" t="s">
        <v>2091</v>
      </c>
      <c r="H27" s="1878">
        <f t="shared" si="0"/>
        <v>5</v>
      </c>
      <c r="I27" s="1878">
        <f t="shared" si="1"/>
        <v>5</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2069</v>
      </c>
      <c r="D31" s="1865" t="s">
        <v>2069</v>
      </c>
      <c r="E31" s="1868"/>
      <c r="F31" s="1867" t="s">
        <v>2090</v>
      </c>
      <c r="H31" s="1878">
        <f t="shared" si="0"/>
        <v>5</v>
      </c>
      <c r="I31" s="1878">
        <f t="shared" si="1"/>
        <v>5</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0</v>
      </c>
      <c r="K34" s="1878">
        <f>SUM(H34:J34)</f>
        <v>20</v>
      </c>
    </row>
    <row r="35" spans="1:11" ht="12" customHeight="1" x14ac:dyDescent="0.2">
      <c r="A35" s="1871" t="s">
        <v>1391</v>
      </c>
      <c r="B35" s="1872"/>
      <c r="C35" s="2311"/>
      <c r="D35" s="2311"/>
      <c r="E35" s="2311"/>
      <c r="F35" s="2312"/>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297"/>
      <c r="B38" s="2298"/>
      <c r="C38" s="2298"/>
      <c r="D38" s="2298"/>
      <c r="E38" s="2298"/>
      <c r="F38" s="2299"/>
    </row>
    <row r="39" spans="1:11" ht="4.5" hidden="1" customHeight="1" x14ac:dyDescent="0.2">
      <c r="A39" s="1873"/>
      <c r="B39" s="1873"/>
      <c r="C39" s="1873"/>
      <c r="D39" s="1873"/>
      <c r="E39" s="1873"/>
      <c r="F39" s="1873"/>
    </row>
    <row r="40" spans="1:11" s="1870" customFormat="1" ht="12" customHeight="1" x14ac:dyDescent="0.25">
      <c r="A40" s="1874" t="s">
        <v>1390</v>
      </c>
      <c r="B40" s="1875"/>
      <c r="C40" s="2300"/>
      <c r="D40" s="2300"/>
      <c r="E40" s="2300"/>
      <c r="F40" s="2301"/>
      <c r="H40" s="1879"/>
      <c r="I40" s="1879"/>
      <c r="J40" s="1879"/>
      <c r="K40" s="1879"/>
    </row>
    <row r="41" spans="1:11" s="1870" customFormat="1" ht="12" customHeight="1" x14ac:dyDescent="0.25">
      <c r="A41" s="2302"/>
      <c r="B41" s="2303"/>
      <c r="C41" s="2303"/>
      <c r="D41" s="2303"/>
      <c r="E41" s="2303"/>
      <c r="F41" s="2304"/>
      <c r="H41" s="1879"/>
      <c r="I41" s="1879"/>
      <c r="J41" s="1879"/>
      <c r="K41" s="1879"/>
    </row>
    <row r="42" spans="1:11" s="1870" customFormat="1" ht="12" customHeight="1" x14ac:dyDescent="0.25">
      <c r="A42" s="2302"/>
      <c r="B42" s="2303"/>
      <c r="C42" s="2303"/>
      <c r="D42" s="2303"/>
      <c r="E42" s="2303"/>
      <c r="F42" s="2304"/>
      <c r="H42" s="1879"/>
      <c r="I42" s="1879"/>
      <c r="J42" s="1879"/>
      <c r="K42" s="1879"/>
    </row>
    <row r="43" spans="1:11" s="1870" customFormat="1" ht="15" x14ac:dyDescent="0.25">
      <c r="A43" s="2291"/>
      <c r="B43" s="2292"/>
      <c r="C43" s="2292"/>
      <c r="D43" s="2292"/>
      <c r="E43" s="2292"/>
      <c r="F43" s="2293"/>
      <c r="H43" s="1879"/>
      <c r="I43" s="1879"/>
      <c r="J43" s="1879"/>
      <c r="K43" s="1879"/>
    </row>
    <row r="44" spans="1:11" s="1870" customFormat="1" ht="12" hidden="1" customHeight="1" x14ac:dyDescent="0.25">
      <c r="A44" s="2291"/>
      <c r="B44" s="2292"/>
      <c r="C44" s="2292"/>
      <c r="D44" s="2292"/>
      <c r="E44" s="2292"/>
      <c r="F44" s="229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7" colorId="8" zoomScaleNormal="10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18" t="str">
        <f>COVER!A17</f>
        <v>Ball Chatham CUSD 5</v>
      </c>
      <c r="J6" s="2319"/>
      <c r="Q6" s="1664"/>
    </row>
    <row r="7" spans="1:17" x14ac:dyDescent="0.2">
      <c r="A7" s="2320" t="s">
        <v>868</v>
      </c>
      <c r="B7" s="2321"/>
      <c r="C7" s="2321"/>
      <c r="D7" s="2321"/>
      <c r="E7" s="2322"/>
      <c r="F7" s="1017"/>
      <c r="G7" s="1009"/>
      <c r="H7" s="1016" t="s">
        <v>371</v>
      </c>
      <c r="I7" s="2323">
        <f>COVER!A13</f>
        <v>51084005026</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1973</v>
      </c>
      <c r="F9" s="1023"/>
      <c r="G9" s="1023"/>
      <c r="H9" s="1896" t="s">
        <v>1974</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4" t="s">
        <v>480</v>
      </c>
      <c r="B11" s="2325"/>
      <c r="C11" s="2326"/>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398810</v>
      </c>
      <c r="F12" s="1039"/>
      <c r="G12" s="1811">
        <f t="shared" ref="G12:G18" si="0">SUM(E12:F12)</f>
        <v>398810</v>
      </c>
      <c r="H12" s="1040">
        <v>414165</v>
      </c>
      <c r="I12" s="1039"/>
      <c r="J12" s="1811">
        <f t="shared" ref="J12:J18" si="1">SUM(H12:I12)</f>
        <v>414165</v>
      </c>
    </row>
    <row r="13" spans="1:17" ht="15" customHeight="1" x14ac:dyDescent="0.2">
      <c r="A13" s="1035">
        <v>2</v>
      </c>
      <c r="B13" s="1036" t="s">
        <v>42</v>
      </c>
      <c r="C13" s="1037"/>
      <c r="D13" s="1038">
        <v>2330</v>
      </c>
      <c r="E13" s="1811">
        <f>'Expenditures 15-22'!K51</f>
        <v>371884</v>
      </c>
      <c r="F13" s="1039"/>
      <c r="G13" s="1811">
        <f t="shared" si="0"/>
        <v>371884</v>
      </c>
      <c r="H13" s="1040">
        <v>395035</v>
      </c>
      <c r="I13" s="1039"/>
      <c r="J13" s="1811">
        <f t="shared" si="1"/>
        <v>395035</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27" t="s">
        <v>7</v>
      </c>
      <c r="C18" s="2328"/>
      <c r="D18" s="2329"/>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770694</v>
      </c>
      <c r="F19" s="1813">
        <f t="shared" si="2"/>
        <v>0</v>
      </c>
      <c r="G19" s="1813">
        <f t="shared" si="2"/>
        <v>770694</v>
      </c>
      <c r="H19" s="1813">
        <f t="shared" si="2"/>
        <v>809200</v>
      </c>
      <c r="I19" s="1813">
        <f t="shared" si="2"/>
        <v>0</v>
      </c>
      <c r="J19" s="1813">
        <f t="shared" si="2"/>
        <v>809200</v>
      </c>
    </row>
    <row r="20" spans="1:10" ht="13.5" thickTop="1" x14ac:dyDescent="0.2">
      <c r="A20" s="1035">
        <v>9</v>
      </c>
      <c r="B20" s="2330" t="s">
        <v>1975</v>
      </c>
      <c r="C20" s="2330"/>
      <c r="D20" s="2331"/>
      <c r="E20" s="1046"/>
      <c r="F20" s="1046"/>
      <c r="G20" s="1046"/>
      <c r="H20" s="1046"/>
      <c r="I20" s="1046"/>
      <c r="J20" s="1814">
        <f>IF(AND(G19&gt;0,J19&gt;0),(((J19-G19)/G19)),"Enter Budget Data")</f>
        <v>4.996276083633712E-2</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1032</v>
      </c>
      <c r="D27" s="1052"/>
      <c r="E27" s="1053"/>
      <c r="F27" s="2332" t="s">
        <v>1508</v>
      </c>
      <c r="G27" s="2332"/>
    </row>
    <row r="28" spans="1:10" ht="28.5" customHeight="1" x14ac:dyDescent="0.2">
      <c r="B28" s="1047"/>
      <c r="C28" s="2334"/>
      <c r="D28" s="2334"/>
      <c r="E28" s="1054"/>
      <c r="F28" s="2334"/>
      <c r="G28" s="2334"/>
    </row>
    <row r="29" spans="1:10" x14ac:dyDescent="0.2">
      <c r="B29" s="1047"/>
      <c r="C29" s="1055" t="s">
        <v>1560</v>
      </c>
      <c r="E29" s="1056"/>
      <c r="F29" s="2333" t="s">
        <v>1509</v>
      </c>
      <c r="G29" s="2333"/>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1977</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881</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2" sqref="B1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37" t="s">
        <v>2092</v>
      </c>
    </row>
    <row r="6" spans="1:2" x14ac:dyDescent="0.2">
      <c r="A6" s="1068">
        <v>2</v>
      </c>
      <c r="B6" s="1937" t="s">
        <v>2093</v>
      </c>
    </row>
    <row r="7" spans="1:2" x14ac:dyDescent="0.2">
      <c r="A7" s="1068">
        <v>3</v>
      </c>
      <c r="B7" s="1937" t="s">
        <v>2094</v>
      </c>
    </row>
    <row r="8" spans="1:2" x14ac:dyDescent="0.2">
      <c r="A8" s="1068">
        <v>4</v>
      </c>
      <c r="B8" s="1937" t="s">
        <v>2095</v>
      </c>
    </row>
    <row r="9" spans="1:2" x14ac:dyDescent="0.2">
      <c r="A9" s="1068">
        <v>5</v>
      </c>
      <c r="B9" s="1937" t="s">
        <v>2096</v>
      </c>
    </row>
    <row r="10" spans="1:2" x14ac:dyDescent="0.2">
      <c r="A10" s="1068">
        <v>6</v>
      </c>
      <c r="B10" s="329" t="s">
        <v>2100</v>
      </c>
    </row>
    <row r="11" spans="1:2" x14ac:dyDescent="0.2">
      <c r="A11" s="1068">
        <v>7</v>
      </c>
      <c r="B11" s="1937" t="s">
        <v>2098</v>
      </c>
    </row>
    <row r="12" spans="1:2" x14ac:dyDescent="0.2">
      <c r="A12" s="1068">
        <v>8</v>
      </c>
      <c r="B12" s="1937" t="s">
        <v>2097</v>
      </c>
    </row>
    <row r="13" spans="1:2" x14ac:dyDescent="0.2">
      <c r="A13" s="1068">
        <v>9</v>
      </c>
      <c r="B13" s="1937" t="s">
        <v>2099</v>
      </c>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Ball Chatham CUSD 5</v>
      </c>
    </row>
    <row r="65" spans="2:2" x14ac:dyDescent="0.2">
      <c r="B65" s="1070">
        <f>COVER!A13</f>
        <v>51084005026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7:F27"/>
  <sheetViews>
    <sheetView showGridLines="0" zoomScale="110" zoomScaleNormal="110" workbookViewId="0">
      <selection activeCell="H24" sqref="H24"/>
    </sheetView>
  </sheetViews>
  <sheetFormatPr defaultRowHeight="12.75" x14ac:dyDescent="0.2"/>
  <cols>
    <col min="1" max="1" width="1.85546875" style="329" customWidth="1"/>
    <col min="2" max="2" width="59.7109375" style="329" customWidth="1"/>
    <col min="3" max="16384" width="9.140625" style="329"/>
  </cols>
  <sheetData>
    <row r="17" spans="1:6" x14ac:dyDescent="0.2">
      <c r="B17" s="1071"/>
      <c r="C17" s="1071"/>
      <c r="D17" s="1071"/>
      <c r="E17" s="1071"/>
      <c r="F17" s="1071"/>
    </row>
    <row r="22" spans="1:6" x14ac:dyDescent="0.2">
      <c r="A22" s="1072" t="s">
        <v>1492</v>
      </c>
    </row>
    <row r="24" spans="1:6" x14ac:dyDescent="0.2">
      <c r="A24" s="389" t="s">
        <v>856</v>
      </c>
    </row>
    <row r="25" spans="1:6" s="1071" customFormat="1" ht="45" customHeight="1" x14ac:dyDescent="0.2">
      <c r="A25" s="1073"/>
      <c r="B25" s="1073" t="s">
        <v>1683</v>
      </c>
    </row>
    <row r="26" spans="1:6" ht="6" customHeight="1" x14ac:dyDescent="0.2"/>
    <row r="27" spans="1:6" ht="24.75" customHeight="1" x14ac:dyDescent="0.2">
      <c r="A27" s="2337" t="s">
        <v>1684</v>
      </c>
      <c r="B27" s="2337"/>
    </row>
  </sheetData>
  <sheetProtection selectLockedCells="1"/>
  <mergeCells count="1">
    <mergeCell ref="A27:B27"/>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mc:AlternateContent xmlns:mc="http://schemas.openxmlformats.org/markup-compatibility/2006">
      <mc:Choice Requires="x14">
        <oleObject progId="AcroExch.Document.DC" dvAspect="DVASPECT_ICON" shapeId="35842"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Exch.Document.DC" dvAspect="DVASPECT_ICON" shapeId="35842" r:id="rId6"/>
      </mc:Fallback>
    </mc:AlternateContent>
    <mc:AlternateContent xmlns:mc="http://schemas.openxmlformats.org/markup-compatibility/2006">
      <mc:Choice Requires="x14">
        <oleObject progId="AcroExch.Document.DC" dvAspect="DVASPECT_ICON" shapeId="35843" r:id="rId8">
          <objectPr defaultSize="0" r:id="rId7">
            <anchor moveWithCells="1">
              <from>
                <xdr:col>1</xdr:col>
                <xdr:colOff>0</xdr:colOff>
                <xdr:row>11</xdr:row>
                <xdr:rowOff>0</xdr:rowOff>
              </from>
              <to>
                <xdr:col>1</xdr:col>
                <xdr:colOff>914400</xdr:colOff>
                <xdr:row>15</xdr:row>
                <xdr:rowOff>38100</xdr:rowOff>
              </to>
            </anchor>
          </objectPr>
        </oleObject>
      </mc:Choice>
      <mc:Fallback>
        <oleObject progId="AcroExch.Document.DC" dvAspect="DVASPECT_ICON" shapeId="35843" r:id="rId8"/>
      </mc:Fallback>
    </mc:AlternateContent>
    <mc:AlternateContent xmlns:mc="http://schemas.openxmlformats.org/markup-compatibility/2006">
      <mc:Choice Requires="x14">
        <oleObject progId="AcroExch.Document.DC" dvAspect="DVASPECT_ICON" shapeId="35844" r:id="rId9">
          <objectPr defaultSize="0" r:id="rId7">
            <anchor moveWithCells="1">
              <from>
                <xdr:col>1</xdr:col>
                <xdr:colOff>0</xdr:colOff>
                <xdr:row>16</xdr:row>
                <xdr:rowOff>0</xdr:rowOff>
              </from>
              <to>
                <xdr:col>1</xdr:col>
                <xdr:colOff>914400</xdr:colOff>
                <xdr:row>20</xdr:row>
                <xdr:rowOff>38100</xdr:rowOff>
              </to>
            </anchor>
          </objectPr>
        </oleObject>
      </mc:Choice>
      <mc:Fallback>
        <oleObject progId="AcroExch.Document.DC" dvAspect="DVASPECT_ICON" shapeId="35844" r:id="rId9"/>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1689</v>
      </c>
      <c r="B1" s="2339"/>
      <c r="C1" s="2339"/>
      <c r="D1" s="2339"/>
      <c r="E1" s="2339"/>
      <c r="F1" s="2340"/>
    </row>
    <row r="2" spans="1:8" ht="45" customHeight="1" x14ac:dyDescent="0.2">
      <c r="A2" s="2348" t="s">
        <v>1981</v>
      </c>
      <c r="B2" s="2349"/>
      <c r="C2" s="2349"/>
      <c r="D2" s="2349"/>
      <c r="E2" s="2349"/>
      <c r="F2" s="2350"/>
      <c r="G2" s="1074"/>
      <c r="H2" s="1074"/>
    </row>
    <row r="3" spans="1:8" ht="57" customHeight="1" x14ac:dyDescent="0.2">
      <c r="A3" s="2351" t="s">
        <v>1685</v>
      </c>
      <c r="B3" s="2352"/>
      <c r="C3" s="2352"/>
      <c r="D3" s="2352"/>
      <c r="E3" s="2352"/>
      <c r="F3" s="2353"/>
      <c r="G3" s="1074"/>
      <c r="H3" s="1074"/>
    </row>
    <row r="4" spans="1:8" ht="14.25" customHeight="1" x14ac:dyDescent="0.2">
      <c r="A4" s="2357" t="s">
        <v>1982</v>
      </c>
      <c r="B4" s="2358"/>
      <c r="C4" s="2358"/>
      <c r="D4" s="2358"/>
      <c r="E4" s="2358"/>
      <c r="F4" s="2359"/>
      <c r="G4" s="1074"/>
      <c r="H4" s="1074"/>
    </row>
    <row r="5" spans="1:8" ht="14.25" customHeight="1" x14ac:dyDescent="0.2">
      <c r="A5" s="2360" t="s">
        <v>1978</v>
      </c>
      <c r="B5" s="2361"/>
      <c r="C5" s="2361"/>
      <c r="D5" s="2361"/>
      <c r="E5" s="2361"/>
      <c r="F5" s="2362"/>
      <c r="G5" s="1074"/>
      <c r="H5" s="1074"/>
    </row>
    <row r="6" spans="1:8" s="1075" customFormat="1" ht="41.25" customHeight="1" x14ac:dyDescent="0.2">
      <c r="A6" s="2354" t="s">
        <v>1690</v>
      </c>
      <c r="B6" s="2355"/>
      <c r="C6" s="2355"/>
      <c r="D6" s="2355"/>
      <c r="E6" s="2355"/>
      <c r="F6" s="2356"/>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34449542</v>
      </c>
      <c r="C8" s="1815">
        <f>'Acct Summary 7-8'!D8</f>
        <v>4132895</v>
      </c>
      <c r="D8" s="1815">
        <f>'Acct Summary 7-8'!F8</f>
        <v>2338120</v>
      </c>
      <c r="E8" s="1815">
        <f>'Acct Summary 7-8'!I8</f>
        <v>131091</v>
      </c>
      <c r="F8" s="1815">
        <f>SUM(B8:E8)</f>
        <v>41051648</v>
      </c>
    </row>
    <row r="9" spans="1:8" s="1079" customFormat="1" ht="14.25" customHeight="1" thickBot="1" x14ac:dyDescent="0.25">
      <c r="A9" s="1078" t="s">
        <v>1368</v>
      </c>
      <c r="B9" s="1816">
        <f>'Acct Summary 7-8'!C17</f>
        <v>33795899</v>
      </c>
      <c r="C9" s="1816">
        <f>'Acct Summary 7-8'!D17</f>
        <v>5380164</v>
      </c>
      <c r="D9" s="1816">
        <f>'Acct Summary 7-8'!F17</f>
        <v>2065737</v>
      </c>
      <c r="E9" s="1815"/>
      <c r="F9" s="1815">
        <f>SUM(B9:E9)</f>
        <v>41241800</v>
      </c>
    </row>
    <row r="10" spans="1:8" s="1079" customFormat="1" ht="14.25" thickTop="1" thickBot="1" x14ac:dyDescent="0.25">
      <c r="A10" s="1080" t="s">
        <v>1369</v>
      </c>
      <c r="B10" s="1817">
        <f>(B8-B9)</f>
        <v>653643</v>
      </c>
      <c r="C10" s="1817">
        <f>(C8-C9)</f>
        <v>-1247269</v>
      </c>
      <c r="D10" s="1817">
        <f>(D8-D9)</f>
        <v>272383</v>
      </c>
      <c r="E10" s="1816">
        <f>(E8-E9)</f>
        <v>131091</v>
      </c>
      <c r="F10" s="1818">
        <f>SUM(F8-F9)</f>
        <v>-190152</v>
      </c>
    </row>
    <row r="11" spans="1:8" s="1079" customFormat="1" ht="14.25" thickTop="1" thickBot="1" x14ac:dyDescent="0.25">
      <c r="A11" s="1081" t="s">
        <v>1979</v>
      </c>
      <c r="B11" s="1819">
        <f>'Acct Summary 7-8'!C81</f>
        <v>12268532</v>
      </c>
      <c r="C11" s="1819">
        <f>'Acct Summary 7-8'!D81</f>
        <v>6181068</v>
      </c>
      <c r="D11" s="1819">
        <f>'Acct Summary 7-8'!F81</f>
        <v>2550075</v>
      </c>
      <c r="E11" s="1819">
        <f>'Acct Summary 7-8'!I81</f>
        <v>2393308</v>
      </c>
      <c r="F11" s="1820">
        <f>SUM(B11:E11)</f>
        <v>23392983</v>
      </c>
    </row>
    <row r="12" spans="1:8" ht="16.5" customHeight="1" thickTop="1" x14ac:dyDescent="0.2">
      <c r="A12" s="1082"/>
      <c r="B12" s="1083"/>
      <c r="C12" s="2342" t="str">
        <f>IF(AND(F10&lt;0,F11&gt;=0,ABS(F10*3)&gt;ABS(F11)),A16,IF(AND(F10&lt;0,F11&gt;0,ABS(F10*3)&lt;=ABS(F11)),A17,IF(AND(F10&lt;0,F11&lt;0),A16,IF(F11=0,A19,A18))))</f>
        <v>Unbalanced -  however, a deficit reduction plan is not required at this time.</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1686</v>
      </c>
      <c r="B16" s="2341"/>
      <c r="C16" s="2341"/>
      <c r="D16" s="2341"/>
      <c r="E16" s="2341"/>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35" colorId="8" zoomScale="110" zoomScaleNormal="110" workbookViewId="0">
      <selection activeCell="D54" sqref="D5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3" t="s">
        <v>664</v>
      </c>
      <c r="B3" s="2364"/>
      <c r="C3" s="2364"/>
      <c r="D3" s="2365"/>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4" t="s">
        <v>1503</v>
      </c>
      <c r="D7" s="2375"/>
    </row>
    <row r="8" spans="1:4" s="668" customFormat="1" ht="12.75" x14ac:dyDescent="0.2">
      <c r="A8" s="1138"/>
      <c r="B8" s="1093"/>
      <c r="C8" s="1096" t="s">
        <v>1502</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6" t="s">
        <v>1007</v>
      </c>
      <c r="B15" s="2367"/>
      <c r="C15" s="2367"/>
      <c r="D15" s="2368"/>
    </row>
    <row r="16" spans="1:4" s="668" customFormat="1" ht="24" customHeight="1" x14ac:dyDescent="0.2">
      <c r="A16" s="2369" t="s">
        <v>662</v>
      </c>
      <c r="B16" s="2370"/>
      <c r="C16" s="2370"/>
      <c r="D16" s="2371"/>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78" t="s">
        <v>313</v>
      </c>
      <c r="D21" s="2379"/>
    </row>
    <row r="22" spans="1:10" ht="12.75" x14ac:dyDescent="0.2">
      <c r="A22" s="1139"/>
      <c r="B22" s="1140">
        <v>2</v>
      </c>
      <c r="C22" s="2376" t="s">
        <v>1523</v>
      </c>
      <c r="D22" s="2377"/>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80" t="s">
        <v>535</v>
      </c>
      <c r="D43" s="2381"/>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2" t="s">
        <v>783</v>
      </c>
      <c r="D56" s="2373"/>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1020</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OK</v>
      </c>
    </row>
    <row r="70" spans="1:4" x14ac:dyDescent="0.2">
      <c r="A70" s="1098"/>
      <c r="B70" s="1120">
        <f>B66+1</f>
        <v>9</v>
      </c>
      <c r="C70" s="2372" t="s">
        <v>1695</v>
      </c>
      <c r="D70" s="2373"/>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51084005026</v>
      </c>
    </row>
    <row r="3" spans="1:2" x14ac:dyDescent="0.2">
      <c r="A3" t="s">
        <v>955</v>
      </c>
      <c r="B3" s="138" t="str">
        <f>COVER!A15</f>
        <v>Sangamon</v>
      </c>
    </row>
    <row r="4" spans="1:2" x14ac:dyDescent="0.2">
      <c r="A4" t="s">
        <v>1006</v>
      </c>
      <c r="B4" s="138" t="str">
        <f>COVER!A17</f>
        <v>Ball Chatham CUSD 5</v>
      </c>
    </row>
    <row r="5" spans="1:2" x14ac:dyDescent="0.2">
      <c r="A5" t="s">
        <v>703</v>
      </c>
      <c r="B5" s="138" t="str">
        <f>COVER!A38</f>
        <v>Dr. Douglas Wood</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066-005100</v>
      </c>
    </row>
    <row r="16" spans="1:2" x14ac:dyDescent="0.2">
      <c r="A16" t="s">
        <v>421</v>
      </c>
      <c r="B16" s="138" t="str">
        <f>COVER!T13</f>
        <v>Mack &amp; Associates, P.C.</v>
      </c>
    </row>
    <row r="17" spans="1:2" x14ac:dyDescent="0.2">
      <c r="A17" t="s">
        <v>883</v>
      </c>
      <c r="B17" s="138" t="str">
        <f>COVER!T15</f>
        <v>Tawnya Mack, CPA</v>
      </c>
    </row>
    <row r="18" spans="1:2" x14ac:dyDescent="0.2">
      <c r="A18" t="s">
        <v>1149</v>
      </c>
      <c r="B18" s="138" t="str">
        <f>COVER!T17</f>
        <v>116 E. Washington St., Suite One</v>
      </c>
    </row>
    <row r="19" spans="1:2" x14ac:dyDescent="0.2">
      <c r="A19" t="s">
        <v>885</v>
      </c>
      <c r="B19" s="138" t="str">
        <f>COVER!T25</f>
        <v>tmack@mackcpas.com</v>
      </c>
    </row>
    <row r="20" spans="1:2" x14ac:dyDescent="0.2">
      <c r="A20" t="s">
        <v>886</v>
      </c>
      <c r="B20" s="138" t="str">
        <f>COVER!T19</f>
        <v>Morris</v>
      </c>
    </row>
    <row r="21" spans="1:2" x14ac:dyDescent="0.2">
      <c r="A21" t="s">
        <v>478</v>
      </c>
      <c r="B21" s="138" t="str">
        <f>COVER!X19</f>
        <v>IL</v>
      </c>
    </row>
    <row r="22" spans="1:2" x14ac:dyDescent="0.2">
      <c r="A22" t="s">
        <v>887</v>
      </c>
      <c r="B22" s="138">
        <f>COVER!Z19</f>
        <v>60450</v>
      </c>
    </row>
    <row r="23" spans="1:2" x14ac:dyDescent="0.2">
      <c r="A23" t="s">
        <v>1151</v>
      </c>
      <c r="B23" s="138" t="str">
        <f>COVER!T21</f>
        <v>815-942-3306</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35431</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10342827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12519554</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251022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251022</v>
      </c>
      <c r="C91" s="2" t="s">
        <v>572</v>
      </c>
      <c r="D91" s="2" t="str">
        <f t="shared" si="0"/>
        <v>Error?</v>
      </c>
    </row>
    <row r="92" spans="1:4" x14ac:dyDescent="0.2">
      <c r="A92" s="5">
        <v>31</v>
      </c>
      <c r="B92" s="138">
        <f>'Assets-Liab 5-6'!C39</f>
        <v>10419065</v>
      </c>
      <c r="D92" s="2" t="str">
        <f t="shared" si="0"/>
        <v>Error?</v>
      </c>
    </row>
    <row r="93" spans="1:4" x14ac:dyDescent="0.2">
      <c r="A93" s="5">
        <v>32</v>
      </c>
      <c r="B93" s="138">
        <f>'Assets-Liab 5-6'!C41</f>
        <v>12519554</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6218205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37137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37137</v>
      </c>
      <c r="C122" s="2" t="s">
        <v>572</v>
      </c>
      <c r="D122" s="2" t="str">
        <f t="shared" si="0"/>
        <v>Error?</v>
      </c>
    </row>
    <row r="123" spans="1:4" x14ac:dyDescent="0.2">
      <c r="A123" s="5">
        <v>62</v>
      </c>
      <c r="B123" s="138">
        <f>'Assets-Liab 5-6'!D39</f>
        <v>6181068</v>
      </c>
      <c r="D123" s="2" t="str">
        <f t="shared" si="0"/>
        <v>Error?</v>
      </c>
    </row>
    <row r="124" spans="1:4" x14ac:dyDescent="0.2">
      <c r="A124" s="5">
        <v>63</v>
      </c>
      <c r="B124" s="138">
        <f>'Assets-Liab 5-6'!D41</f>
        <v>6218205</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2705531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2705531</v>
      </c>
      <c r="D140" s="2" t="str">
        <f t="shared" si="1"/>
        <v>Error?</v>
      </c>
    </row>
    <row r="141" spans="1:4" x14ac:dyDescent="0.2">
      <c r="A141" s="5">
        <v>80</v>
      </c>
      <c r="B141" s="138">
        <f>'Assets-Liab 5-6'!E41</f>
        <v>2705531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2553294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3219</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3219</v>
      </c>
      <c r="C169" s="2" t="s">
        <v>572</v>
      </c>
      <c r="D169" s="2" t="str">
        <f t="shared" si="1"/>
        <v>Error?</v>
      </c>
    </row>
    <row r="170" spans="1:4" x14ac:dyDescent="0.2">
      <c r="A170" s="5">
        <v>109</v>
      </c>
      <c r="B170" s="138">
        <f>'Assets-Liab 5-6'!F39</f>
        <v>2550075</v>
      </c>
      <c r="D170" s="2" t="str">
        <f t="shared" si="1"/>
        <v>Error?</v>
      </c>
    </row>
    <row r="171" spans="1:4" x14ac:dyDescent="0.2">
      <c r="A171" s="5">
        <v>110</v>
      </c>
      <c r="B171" s="138">
        <f>'Assets-Liab 5-6'!F41</f>
        <v>2553294</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1299831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3443</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3443</v>
      </c>
      <c r="C188" s="2" t="s">
        <v>572</v>
      </c>
      <c r="D188" s="2" t="str">
        <f t="shared" si="1"/>
        <v>Error?</v>
      </c>
    </row>
    <row r="189" spans="1:4" x14ac:dyDescent="0.2">
      <c r="A189" s="5">
        <v>128</v>
      </c>
      <c r="B189" s="138">
        <f>'Assets-Liab 5-6'!G39</f>
        <v>724721</v>
      </c>
      <c r="D189" s="2" t="str">
        <f t="shared" si="1"/>
        <v>Error?</v>
      </c>
    </row>
    <row r="190" spans="1:4" x14ac:dyDescent="0.2">
      <c r="A190" s="5">
        <v>129</v>
      </c>
      <c r="B190" s="138">
        <f>'Assets-Liab 5-6'!G41</f>
        <v>1299831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4426429</v>
      </c>
      <c r="D273" s="2" t="str">
        <f t="shared" si="3"/>
        <v>Error?</v>
      </c>
    </row>
    <row r="274" spans="1:4" x14ac:dyDescent="0.2">
      <c r="A274" s="5">
        <v>213</v>
      </c>
      <c r="B274" s="138">
        <f>'Assets-Liab 5-6'!M17</f>
        <v>111532232</v>
      </c>
      <c r="D274" s="2" t="str">
        <f t="shared" si="3"/>
        <v>Error?</v>
      </c>
    </row>
    <row r="275" spans="1:4" x14ac:dyDescent="0.2">
      <c r="A275" s="5">
        <v>214</v>
      </c>
      <c r="B275" s="138">
        <f>'Assets-Liab 5-6'!M18</f>
        <v>9465948</v>
      </c>
      <c r="D275" s="2" t="str">
        <f t="shared" si="3"/>
        <v>Error?</v>
      </c>
    </row>
    <row r="276" spans="1:4" x14ac:dyDescent="0.2">
      <c r="A276" s="5">
        <v>215</v>
      </c>
      <c r="B276" s="138">
        <f>'Assets-Liab 5-6'!M19</f>
        <v>15326549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140781940</v>
      </c>
      <c r="C279" s="2" t="s">
        <v>572</v>
      </c>
      <c r="D279" s="2" t="str">
        <f t="shared" si="3"/>
        <v>Error?</v>
      </c>
    </row>
    <row r="280" spans="1:4" x14ac:dyDescent="0.2">
      <c r="A280" s="5">
        <v>219</v>
      </c>
      <c r="B280" s="138">
        <f>'Assets-Liab 5-6'!M40</f>
        <v>140781940</v>
      </c>
      <c r="D280" s="2" t="str">
        <f t="shared" si="3"/>
        <v>Error?</v>
      </c>
    </row>
    <row r="281" spans="1:4" x14ac:dyDescent="0.2">
      <c r="A281" s="5">
        <v>220</v>
      </c>
      <c r="B281" s="138">
        <f>'Assets-Liab 5-6'!M41</f>
        <v>140781940</v>
      </c>
      <c r="C281" s="2" t="s">
        <v>572</v>
      </c>
      <c r="D281" s="2" t="str">
        <f t="shared" si="3"/>
        <v>Error?</v>
      </c>
    </row>
    <row r="282" spans="1:4" x14ac:dyDescent="0.2">
      <c r="A282" s="5">
        <v>221</v>
      </c>
      <c r="B282" s="138">
        <f>'Assets-Liab 5-6'!N21</f>
        <v>2705531</v>
      </c>
      <c r="D282" s="2" t="str">
        <f t="shared" si="3"/>
        <v>Error?</v>
      </c>
    </row>
    <row r="283" spans="1:4" x14ac:dyDescent="0.2">
      <c r="A283" s="5">
        <v>222</v>
      </c>
      <c r="B283" s="138">
        <f>'Assets-Liab 5-6'!N22</f>
        <v>42929469</v>
      </c>
      <c r="D283" s="2" t="str">
        <f t="shared" si="3"/>
        <v>Error?</v>
      </c>
    </row>
    <row r="284" spans="1:4" x14ac:dyDescent="0.2">
      <c r="A284" s="5">
        <v>223</v>
      </c>
      <c r="B284" s="138">
        <f>'Assets-Liab 5-6'!N23</f>
        <v>45635000</v>
      </c>
      <c r="C284" s="2" t="s">
        <v>572</v>
      </c>
      <c r="D284" s="2" t="str">
        <f t="shared" si="3"/>
        <v>Error?</v>
      </c>
    </row>
    <row r="285" spans="1:4" x14ac:dyDescent="0.2">
      <c r="A285" s="5">
        <v>224</v>
      </c>
      <c r="B285" s="138">
        <f>'Assets-Liab 5-6'!N36</f>
        <v>45635000</v>
      </c>
      <c r="D285" s="2" t="str">
        <f t="shared" si="3"/>
        <v>Error?</v>
      </c>
    </row>
    <row r="286" spans="1:4" x14ac:dyDescent="0.2">
      <c r="A286" s="10">
        <v>225</v>
      </c>
      <c r="D286" s="2" t="str">
        <f t="shared" si="3"/>
        <v>OK</v>
      </c>
    </row>
    <row r="287" spans="1:4" x14ac:dyDescent="0.2">
      <c r="A287" s="5">
        <v>226</v>
      </c>
      <c r="B287" s="138">
        <f>'Assets-Liab 5-6'!N37</f>
        <v>45635000</v>
      </c>
      <c r="C287" s="2" t="s">
        <v>572</v>
      </c>
      <c r="D287" s="2" t="str">
        <f t="shared" si="3"/>
        <v>Error?</v>
      </c>
    </row>
    <row r="288" spans="1:4" x14ac:dyDescent="0.2">
      <c r="A288" s="5">
        <v>227</v>
      </c>
      <c r="B288" s="138">
        <f>'Assets-Liab 5-6'!N41</f>
        <v>45635000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12103428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39204</v>
      </c>
      <c r="D716" s="2" t="str">
        <f t="shared" si="10"/>
        <v>Error?</v>
      </c>
    </row>
    <row r="717" spans="1:4" x14ac:dyDescent="0.2">
      <c r="A717" s="5">
        <v>656</v>
      </c>
      <c r="B717" s="138">
        <f>'Expenditures 15-22'!C13</f>
        <v>453468</v>
      </c>
      <c r="D717" s="2" t="str">
        <f t="shared" si="10"/>
        <v>Error?</v>
      </c>
    </row>
    <row r="718" spans="1:4" x14ac:dyDescent="0.2">
      <c r="A718" s="5">
        <v>657</v>
      </c>
      <c r="B718" s="138">
        <f>'Expenditures 15-22'!C14</f>
        <v>533542</v>
      </c>
      <c r="D718" s="2" t="str">
        <f t="shared" si="10"/>
        <v>Error?</v>
      </c>
    </row>
    <row r="719" spans="1:4" x14ac:dyDescent="0.2">
      <c r="A719" s="5">
        <v>658</v>
      </c>
      <c r="B719" s="138">
        <f>'Expenditures 15-22'!C15</f>
        <v>29577</v>
      </c>
      <c r="D719" s="2" t="str">
        <f t="shared" si="10"/>
        <v>Error?</v>
      </c>
    </row>
    <row r="720" spans="1:4" x14ac:dyDescent="0.2">
      <c r="A720" s="5">
        <v>659</v>
      </c>
      <c r="B720" s="138">
        <f>'Expenditures 15-22'!C33</f>
        <v>16230931</v>
      </c>
      <c r="C720" s="2" t="s">
        <v>572</v>
      </c>
      <c r="D720" s="2" t="str">
        <f t="shared" si="10"/>
        <v>Error?</v>
      </c>
    </row>
    <row r="721" spans="1:4" x14ac:dyDescent="0.2">
      <c r="A721" s="5">
        <v>660</v>
      </c>
      <c r="B721" s="138">
        <f>'Expenditures 15-22'!C36</f>
        <v>240669</v>
      </c>
      <c r="D721" s="2" t="str">
        <f t="shared" si="10"/>
        <v>Error?</v>
      </c>
    </row>
    <row r="722" spans="1:4" x14ac:dyDescent="0.2">
      <c r="A722" s="5">
        <v>661</v>
      </c>
      <c r="B722" s="138">
        <f>'Expenditures 15-22'!C37</f>
        <v>596284</v>
      </c>
      <c r="D722" s="2" t="str">
        <f t="shared" si="10"/>
        <v>Error?</v>
      </c>
    </row>
    <row r="723" spans="1:4" x14ac:dyDescent="0.2">
      <c r="A723" s="5">
        <v>662</v>
      </c>
      <c r="B723" s="138">
        <f>'Expenditures 15-22'!C38</f>
        <v>236244</v>
      </c>
      <c r="D723" s="2" t="str">
        <f t="shared" si="10"/>
        <v>Error?</v>
      </c>
    </row>
    <row r="724" spans="1:4" x14ac:dyDescent="0.2">
      <c r="A724" s="5">
        <v>663</v>
      </c>
      <c r="B724" s="138">
        <f>'Expenditures 15-22'!C39</f>
        <v>142232</v>
      </c>
      <c r="D724" s="2" t="str">
        <f t="shared" si="10"/>
        <v>Error?</v>
      </c>
    </row>
    <row r="725" spans="1:4" x14ac:dyDescent="0.2">
      <c r="A725" s="5">
        <v>664</v>
      </c>
      <c r="B725" s="138">
        <f>'Expenditures 15-22'!C40</f>
        <v>416765</v>
      </c>
      <c r="D725" s="2" t="str">
        <f t="shared" si="10"/>
        <v>Error?</v>
      </c>
    </row>
    <row r="726" spans="1:4" x14ac:dyDescent="0.2">
      <c r="A726" s="5">
        <v>665</v>
      </c>
      <c r="B726" s="138">
        <f>'Expenditures 15-22'!C41</f>
        <v>382792</v>
      </c>
      <c r="D726" s="2" t="str">
        <f t="shared" si="10"/>
        <v>Error?</v>
      </c>
    </row>
    <row r="727" spans="1:4" x14ac:dyDescent="0.2">
      <c r="A727" s="5">
        <v>666</v>
      </c>
      <c r="B727" s="138">
        <f>'Expenditures 15-22'!C42</f>
        <v>2014986</v>
      </c>
      <c r="C727" s="2" t="s">
        <v>572</v>
      </c>
      <c r="D727" s="2" t="str">
        <f t="shared" si="10"/>
        <v>Error?</v>
      </c>
    </row>
    <row r="728" spans="1:4" x14ac:dyDescent="0.2">
      <c r="A728" s="5">
        <v>667</v>
      </c>
      <c r="B728" s="138">
        <f>'Expenditures 15-22'!C44</f>
        <v>48468</v>
      </c>
      <c r="D728" s="2" t="str">
        <f t="shared" si="10"/>
        <v>Error?</v>
      </c>
    </row>
    <row r="729" spans="1:4" x14ac:dyDescent="0.2">
      <c r="A729" s="5">
        <v>668</v>
      </c>
      <c r="B729" s="138">
        <f>'Expenditures 15-22'!C45</f>
        <v>151865</v>
      </c>
      <c r="D729" s="2" t="str">
        <f t="shared" si="10"/>
        <v>Error?</v>
      </c>
    </row>
    <row r="730" spans="1:4" x14ac:dyDescent="0.2">
      <c r="A730" s="5">
        <v>669</v>
      </c>
      <c r="B730" s="138">
        <f>'Expenditures 15-22'!C46</f>
        <v>724</v>
      </c>
      <c r="D730" s="2" t="str">
        <f t="shared" si="10"/>
        <v>Error?</v>
      </c>
    </row>
    <row r="731" spans="1:4" x14ac:dyDescent="0.2">
      <c r="A731" s="5">
        <v>670</v>
      </c>
      <c r="B731" s="138">
        <f>'Expenditures 15-22'!C47</f>
        <v>201057</v>
      </c>
      <c r="C731" s="2" t="s">
        <v>572</v>
      </c>
      <c r="D731" s="2" t="str">
        <f t="shared" si="10"/>
        <v>Error?</v>
      </c>
    </row>
    <row r="732" spans="1:4" x14ac:dyDescent="0.2">
      <c r="A732" s="5">
        <v>671</v>
      </c>
      <c r="B732" s="138">
        <f>'Expenditures 15-22'!C49</f>
        <v>65666</v>
      </c>
      <c r="D732" s="2" t="str">
        <f t="shared" si="10"/>
        <v>Error?</v>
      </c>
    </row>
    <row r="733" spans="1:4" x14ac:dyDescent="0.2">
      <c r="A733" s="5">
        <v>672</v>
      </c>
      <c r="B733" s="138">
        <f>'Expenditures 15-22'!C50</f>
        <v>321660</v>
      </c>
      <c r="D733" s="2" t="str">
        <f t="shared" si="10"/>
        <v>Error?</v>
      </c>
    </row>
    <row r="734" spans="1:4" x14ac:dyDescent="0.2">
      <c r="A734" s="5">
        <v>673</v>
      </c>
      <c r="B734" s="138">
        <f>'Expenditures 15-22'!C53</f>
        <v>686705</v>
      </c>
      <c r="C734" s="2" t="s">
        <v>572</v>
      </c>
      <c r="D734" s="2" t="str">
        <f t="shared" si="10"/>
        <v>Error?</v>
      </c>
    </row>
    <row r="735" spans="1:4" x14ac:dyDescent="0.2">
      <c r="A735" s="5">
        <v>674</v>
      </c>
      <c r="B735" s="138">
        <f>'Expenditures 15-22'!C55</f>
        <v>1423438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1423438</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385529</v>
      </c>
      <c r="D739" s="2" t="str">
        <f t="shared" si="10"/>
        <v>Error?</v>
      </c>
    </row>
    <row r="740" spans="1:4" x14ac:dyDescent="0.2">
      <c r="A740" s="5">
        <v>679</v>
      </c>
      <c r="B740" s="138">
        <f>'Expenditures 15-22'!C61</f>
        <v>240511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754442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1380482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69055</v>
      </c>
      <c r="D748" s="2" t="str">
        <f t="shared" si="10"/>
        <v>Error?</v>
      </c>
    </row>
    <row r="749" spans="1:4" x14ac:dyDescent="0.2">
      <c r="A749" s="5">
        <v>688</v>
      </c>
      <c r="B749" s="138">
        <f>'Expenditures 15-22'!C70</f>
        <v>36799</v>
      </c>
      <c r="D749" s="2" t="str">
        <f t="shared" si="10"/>
        <v>Error?</v>
      </c>
    </row>
    <row r="750" spans="1:4" x14ac:dyDescent="0.2">
      <c r="A750" s="10">
        <v>689</v>
      </c>
      <c r="D750" s="2" t="str">
        <f t="shared" si="10"/>
        <v>OK</v>
      </c>
    </row>
    <row r="751" spans="1:4" x14ac:dyDescent="0.2">
      <c r="A751" s="5">
        <v>690</v>
      </c>
      <c r="B751" s="138">
        <f>'Expenditures 15-22'!C71</f>
        <v>314041</v>
      </c>
      <c r="D751" s="2" t="str">
        <f t="shared" si="10"/>
        <v>Error?</v>
      </c>
    </row>
    <row r="752" spans="1:4" x14ac:dyDescent="0.2">
      <c r="A752" s="10">
        <v>691</v>
      </c>
      <c r="D752" s="2" t="str">
        <f t="shared" si="10"/>
        <v>OK</v>
      </c>
    </row>
    <row r="753" spans="1:4" x14ac:dyDescent="0.2">
      <c r="A753" s="5">
        <v>692</v>
      </c>
      <c r="B753" s="138">
        <f>'Expenditures 15-22'!C72</f>
        <v>419895</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6126563</v>
      </c>
      <c r="C755" s="2" t="s">
        <v>572</v>
      </c>
      <c r="D755" s="2" t="str">
        <f t="shared" si="10"/>
        <v>Error?</v>
      </c>
    </row>
    <row r="756" spans="1:4" x14ac:dyDescent="0.2">
      <c r="A756" s="5">
        <v>695</v>
      </c>
      <c r="B756" s="138">
        <f>'Expenditures 15-22'!C75</f>
        <v>6548</v>
      </c>
      <c r="D756" s="2" t="str">
        <f t="shared" si="10"/>
        <v>Error?</v>
      </c>
    </row>
    <row r="757" spans="1:4" x14ac:dyDescent="0.2">
      <c r="A757" s="5">
        <v>696</v>
      </c>
      <c r="B757" s="138">
        <f>'Expenditures 15-22'!C114</f>
        <v>22364042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2743076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6982</v>
      </c>
      <c r="D774" s="2" t="str">
        <f t="shared" si="11"/>
        <v>Error?</v>
      </c>
    </row>
    <row r="775" spans="1:4" x14ac:dyDescent="0.2">
      <c r="A775" s="5">
        <v>714</v>
      </c>
      <c r="B775" s="138">
        <f>'Expenditures 15-22'!D13</f>
        <v>96695</v>
      </c>
      <c r="D775" s="2" t="str">
        <f t="shared" si="11"/>
        <v>Error?</v>
      </c>
    </row>
    <row r="776" spans="1:4" x14ac:dyDescent="0.2">
      <c r="A776" s="5">
        <v>715</v>
      </c>
      <c r="B776" s="138">
        <f>'Expenditures 15-22'!D14</f>
        <v>49728</v>
      </c>
      <c r="D776" s="2" t="str">
        <f t="shared" si="11"/>
        <v>Error?</v>
      </c>
    </row>
    <row r="777" spans="1:4" x14ac:dyDescent="0.2">
      <c r="A777" s="5">
        <v>716</v>
      </c>
      <c r="B777" s="138">
        <f>'Expenditures 15-22'!D15</f>
        <v>1937</v>
      </c>
      <c r="D777" s="2" t="str">
        <f t="shared" si="11"/>
        <v>Error?</v>
      </c>
    </row>
    <row r="778" spans="1:4" x14ac:dyDescent="0.2">
      <c r="A778" s="5">
        <v>717</v>
      </c>
      <c r="B778" s="138">
        <f>'Expenditures 15-22'!D33</f>
        <v>3710165</v>
      </c>
      <c r="C778" s="2" t="s">
        <v>572</v>
      </c>
      <c r="D778" s="2" t="str">
        <f t="shared" si="11"/>
        <v>Error?</v>
      </c>
    </row>
    <row r="779" spans="1:4" x14ac:dyDescent="0.2">
      <c r="A779" s="5">
        <v>718</v>
      </c>
      <c r="B779" s="138">
        <f>'Expenditures 15-22'!D36</f>
        <v>44196</v>
      </c>
      <c r="D779" s="2" t="str">
        <f t="shared" si="11"/>
        <v>Error?</v>
      </c>
    </row>
    <row r="780" spans="1:4" x14ac:dyDescent="0.2">
      <c r="A780" s="5">
        <v>719</v>
      </c>
      <c r="B780" s="138">
        <f>'Expenditures 15-22'!D37</f>
        <v>129503</v>
      </c>
      <c r="D780" s="2" t="str">
        <f t="shared" si="11"/>
        <v>Error?</v>
      </c>
    </row>
    <row r="781" spans="1:4" x14ac:dyDescent="0.2">
      <c r="A781" s="5">
        <v>720</v>
      </c>
      <c r="B781" s="138">
        <f>'Expenditures 15-22'!D38</f>
        <v>29182</v>
      </c>
      <c r="D781" s="2" t="str">
        <f t="shared" si="11"/>
        <v>Error?</v>
      </c>
    </row>
    <row r="782" spans="1:4" x14ac:dyDescent="0.2">
      <c r="A782" s="5">
        <v>721</v>
      </c>
      <c r="B782" s="138">
        <f>'Expenditures 15-22'!D39</f>
        <v>30143</v>
      </c>
      <c r="D782" s="2" t="str">
        <f t="shared" si="11"/>
        <v>Error?</v>
      </c>
    </row>
    <row r="783" spans="1:4" x14ac:dyDescent="0.2">
      <c r="A783" s="5">
        <v>722</v>
      </c>
      <c r="B783" s="138">
        <f>'Expenditures 15-22'!D40</f>
        <v>114535</v>
      </c>
      <c r="D783" s="2" t="str">
        <f t="shared" si="11"/>
        <v>Error?</v>
      </c>
    </row>
    <row r="784" spans="1:4" x14ac:dyDescent="0.2">
      <c r="A784" s="5">
        <v>723</v>
      </c>
      <c r="B784" s="138">
        <f>'Expenditures 15-22'!D41</f>
        <v>43188</v>
      </c>
      <c r="D784" s="2" t="str">
        <f t="shared" si="11"/>
        <v>Error?</v>
      </c>
    </row>
    <row r="785" spans="1:4" x14ac:dyDescent="0.2">
      <c r="A785" s="5">
        <v>724</v>
      </c>
      <c r="B785" s="138">
        <f>'Expenditures 15-22'!D42</f>
        <v>390747</v>
      </c>
      <c r="C785" s="2" t="s">
        <v>572</v>
      </c>
      <c r="D785" s="2" t="str">
        <f t="shared" si="11"/>
        <v>Error?</v>
      </c>
    </row>
    <row r="786" spans="1:4" x14ac:dyDescent="0.2">
      <c r="A786" s="5">
        <v>725</v>
      </c>
      <c r="B786" s="138">
        <f>'Expenditures 15-22'!D44</f>
        <v>7839</v>
      </c>
      <c r="D786" s="2" t="str">
        <f t="shared" si="11"/>
        <v>Error?</v>
      </c>
    </row>
    <row r="787" spans="1:4" x14ac:dyDescent="0.2">
      <c r="A787" s="5">
        <v>726</v>
      </c>
      <c r="B787" s="138">
        <f>'Expenditures 15-22'!D45</f>
        <v>49949</v>
      </c>
      <c r="D787" s="2" t="str">
        <f t="shared" si="11"/>
        <v>Error?</v>
      </c>
    </row>
    <row r="788" spans="1:4" x14ac:dyDescent="0.2">
      <c r="A788" s="5">
        <v>727</v>
      </c>
      <c r="B788" s="138">
        <f>'Expenditures 15-22'!D46</f>
        <v>91</v>
      </c>
      <c r="D788" s="2" t="str">
        <f t="shared" si="11"/>
        <v>Error?</v>
      </c>
    </row>
    <row r="789" spans="1:4" x14ac:dyDescent="0.2">
      <c r="A789" s="5">
        <v>728</v>
      </c>
      <c r="B789" s="138">
        <f>'Expenditures 15-22'!D47</f>
        <v>57879</v>
      </c>
      <c r="C789" s="2" t="s">
        <v>572</v>
      </c>
      <c r="D789" s="2" t="str">
        <f t="shared" si="11"/>
        <v>Error?</v>
      </c>
    </row>
    <row r="790" spans="1:4" x14ac:dyDescent="0.2">
      <c r="A790" s="5">
        <v>729</v>
      </c>
      <c r="B790" s="138">
        <f>'Expenditures 15-22'!D49</f>
        <v>87828</v>
      </c>
      <c r="D790" s="2" t="str">
        <f t="shared" si="11"/>
        <v>Error?</v>
      </c>
    </row>
    <row r="791" spans="1:4" x14ac:dyDescent="0.2">
      <c r="A791" s="5">
        <v>730</v>
      </c>
      <c r="B791" s="138">
        <f>'Expenditures 15-22'!D50</f>
        <v>68439</v>
      </c>
      <c r="D791" s="2" t="str">
        <f t="shared" si="11"/>
        <v>Error?</v>
      </c>
    </row>
    <row r="792" spans="1:4" x14ac:dyDescent="0.2">
      <c r="A792" s="5">
        <v>731</v>
      </c>
      <c r="B792" s="138">
        <f>'Expenditures 15-22'!D53</f>
        <v>224416</v>
      </c>
      <c r="C792" s="2" t="s">
        <v>572</v>
      </c>
      <c r="D792" s="2" t="str">
        <f t="shared" si="11"/>
        <v>Error?</v>
      </c>
    </row>
    <row r="793" spans="1:4" x14ac:dyDescent="0.2">
      <c r="A793" s="5">
        <v>732</v>
      </c>
      <c r="B793" s="138">
        <f>'Expenditures 15-22'!D55</f>
        <v>306381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306381</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57726</v>
      </c>
      <c r="D797" s="2" t="str">
        <f t="shared" si="11"/>
        <v>Error?</v>
      </c>
    </row>
    <row r="798" spans="1:4" x14ac:dyDescent="0.2">
      <c r="A798" s="5">
        <v>737</v>
      </c>
      <c r="B798" s="138">
        <f>'Expenditures 15-22'!D61</f>
        <v>1455</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123735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182916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348</v>
      </c>
      <c r="D806" s="2" t="str">
        <f t="shared" si="11"/>
        <v>Error?</v>
      </c>
    </row>
    <row r="807" spans="1:4" x14ac:dyDescent="0.2">
      <c r="A807" s="5">
        <v>746</v>
      </c>
      <c r="B807" s="138">
        <f>'Expenditures 15-22'!D70</f>
        <v>7525</v>
      </c>
      <c r="D807" s="2" t="str">
        <f t="shared" si="11"/>
        <v>Error?</v>
      </c>
    </row>
    <row r="808" spans="1:4" x14ac:dyDescent="0.2">
      <c r="A808" s="10">
        <v>747</v>
      </c>
      <c r="D808" s="2" t="str">
        <f t="shared" si="11"/>
        <v>OK</v>
      </c>
    </row>
    <row r="809" spans="1:4" x14ac:dyDescent="0.2">
      <c r="A809" s="5">
        <v>748</v>
      </c>
      <c r="B809" s="138">
        <f>'Expenditures 15-22'!D71</f>
        <v>47019</v>
      </c>
      <c r="D809" s="2" t="str">
        <f t="shared" si="11"/>
        <v>Error?</v>
      </c>
    </row>
    <row r="810" spans="1:4" x14ac:dyDescent="0.2">
      <c r="A810" s="10">
        <v>749</v>
      </c>
      <c r="D810" s="2" t="str">
        <f t="shared" si="11"/>
        <v>OK</v>
      </c>
    </row>
    <row r="811" spans="1:4" x14ac:dyDescent="0.2">
      <c r="A811" s="5">
        <v>750</v>
      </c>
      <c r="B811" s="138">
        <f>'Expenditures 15-22'!D72</f>
        <v>54892</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1217231</v>
      </c>
      <c r="C813" s="2" t="s">
        <v>572</v>
      </c>
      <c r="D813" s="2" t="str">
        <f t="shared" si="11"/>
        <v>Error?</v>
      </c>
    </row>
    <row r="814" spans="1:4" x14ac:dyDescent="0.2">
      <c r="A814" s="5">
        <v>753</v>
      </c>
      <c r="B814" s="138">
        <f>'Expenditures 15-22'!D75</f>
        <v>987</v>
      </c>
      <c r="D814" s="2" t="str">
        <f t="shared" si="11"/>
        <v>Error?</v>
      </c>
    </row>
    <row r="815" spans="1:4" x14ac:dyDescent="0.2">
      <c r="A815" s="5">
        <v>754</v>
      </c>
      <c r="B815" s="138">
        <f>'Expenditures 15-22'!D114</f>
        <v>4928383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373577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2487</v>
      </c>
      <c r="D833" s="2" t="str">
        <f t="shared" si="12"/>
        <v>Error?</v>
      </c>
    </row>
    <row r="834" spans="1:4" x14ac:dyDescent="0.2">
      <c r="A834" s="5">
        <v>773</v>
      </c>
      <c r="B834" s="138">
        <f>'Expenditures 15-22'!E14</f>
        <v>80786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483914</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2341</v>
      </c>
      <c r="D839" s="2" t="str">
        <f t="shared" si="12"/>
        <v>Error?</v>
      </c>
    </row>
    <row r="840" spans="1:4" x14ac:dyDescent="0.2">
      <c r="A840" s="5">
        <v>779</v>
      </c>
      <c r="B840" s="138">
        <f>'Expenditures 15-22'!E39</f>
        <v>250</v>
      </c>
      <c r="D840" s="2" t="str">
        <f t="shared" si="12"/>
        <v>Error?</v>
      </c>
    </row>
    <row r="841" spans="1:4" x14ac:dyDescent="0.2">
      <c r="A841" s="5">
        <v>780</v>
      </c>
      <c r="B841" s="138">
        <f>'Expenditures 15-22'!E40</f>
        <v>1665</v>
      </c>
      <c r="D841" s="2" t="str">
        <f t="shared" si="12"/>
        <v>Error?</v>
      </c>
    </row>
    <row r="842" spans="1:4" x14ac:dyDescent="0.2">
      <c r="A842" s="5">
        <v>781</v>
      </c>
      <c r="B842" s="138">
        <f>'Expenditures 15-22'!E41</f>
        <v>2597</v>
      </c>
      <c r="D842" s="2" t="str">
        <f t="shared" si="12"/>
        <v>Error?</v>
      </c>
    </row>
    <row r="843" spans="1:4" x14ac:dyDescent="0.2">
      <c r="A843" s="5">
        <v>782</v>
      </c>
      <c r="B843" s="138">
        <f>'Expenditures 15-22'!E42</f>
        <v>6853</v>
      </c>
      <c r="C843" s="2" t="s">
        <v>572</v>
      </c>
      <c r="D843" s="2" t="str">
        <f t="shared" si="12"/>
        <v>Error?</v>
      </c>
    </row>
    <row r="844" spans="1:4" x14ac:dyDescent="0.2">
      <c r="A844" s="5">
        <v>783</v>
      </c>
      <c r="B844" s="138">
        <f>'Expenditures 15-22'!E44</f>
        <v>79114</v>
      </c>
      <c r="D844" s="2" t="str">
        <f t="shared" si="12"/>
        <v>Error?</v>
      </c>
    </row>
    <row r="845" spans="1:4" x14ac:dyDescent="0.2">
      <c r="A845" s="5">
        <v>784</v>
      </c>
      <c r="B845" s="138">
        <f>'Expenditures 15-22'!E45</f>
        <v>6390</v>
      </c>
      <c r="D845" s="2" t="str">
        <f t="shared" si="12"/>
        <v>Error?</v>
      </c>
    </row>
    <row r="846" spans="1:4" x14ac:dyDescent="0.2">
      <c r="A846" s="5">
        <v>785</v>
      </c>
      <c r="B846" s="138">
        <f>'Expenditures 15-22'!E46</f>
        <v>40176</v>
      </c>
      <c r="D846" s="2" t="str">
        <f t="shared" si="12"/>
        <v>Error?</v>
      </c>
    </row>
    <row r="847" spans="1:4" x14ac:dyDescent="0.2">
      <c r="A847" s="5">
        <v>786</v>
      </c>
      <c r="B847" s="138">
        <f>'Expenditures 15-22'!E47</f>
        <v>125680</v>
      </c>
      <c r="C847" s="2" t="s">
        <v>572</v>
      </c>
      <c r="D847" s="2" t="str">
        <f t="shared" si="12"/>
        <v>Error?</v>
      </c>
    </row>
    <row r="848" spans="1:4" x14ac:dyDescent="0.2">
      <c r="A848" s="5">
        <v>787</v>
      </c>
      <c r="B848" s="138">
        <f>'Expenditures 15-22'!E49</f>
        <v>174951</v>
      </c>
      <c r="D848" s="2" t="str">
        <f t="shared" si="12"/>
        <v>Error?</v>
      </c>
    </row>
    <row r="849" spans="1:4" x14ac:dyDescent="0.2">
      <c r="A849" s="5">
        <v>788</v>
      </c>
      <c r="B849" s="138">
        <f>'Expenditures 15-22'!E50</f>
        <v>7687</v>
      </c>
      <c r="D849" s="2" t="str">
        <f t="shared" si="12"/>
        <v>Error?</v>
      </c>
    </row>
    <row r="850" spans="1:4" x14ac:dyDescent="0.2">
      <c r="A850" s="5">
        <v>789</v>
      </c>
      <c r="B850" s="138">
        <f>'Expenditures 15-22'!E53</f>
        <v>804988</v>
      </c>
      <c r="C850" s="2" t="s">
        <v>572</v>
      </c>
      <c r="D850" s="2" t="str">
        <f t="shared" si="12"/>
        <v>Error?</v>
      </c>
    </row>
    <row r="851" spans="1:4" x14ac:dyDescent="0.2">
      <c r="A851" s="5">
        <v>790</v>
      </c>
      <c r="B851" s="138">
        <f>'Expenditures 15-22'!E55</f>
        <v>10886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10886</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88330</v>
      </c>
      <c r="D855" s="2" t="str">
        <f t="shared" si="12"/>
        <v>Error?</v>
      </c>
    </row>
    <row r="856" spans="1:4" x14ac:dyDescent="0.2">
      <c r="A856" s="5">
        <v>795</v>
      </c>
      <c r="B856" s="138">
        <f>'Expenditures 15-22'!E61</f>
        <v>2839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8829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99998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13063</v>
      </c>
      <c r="D865" s="2" t="str">
        <f t="shared" si="12"/>
        <v>Error?</v>
      </c>
    </row>
    <row r="866" spans="1:4" x14ac:dyDescent="0.2">
      <c r="A866" s="10">
        <v>805</v>
      </c>
      <c r="D866" s="2" t="str">
        <f t="shared" si="12"/>
        <v>OK</v>
      </c>
    </row>
    <row r="867" spans="1:4" x14ac:dyDescent="0.2">
      <c r="A867" s="5">
        <v>806</v>
      </c>
      <c r="B867" s="138">
        <f>'Expenditures 15-22'!E71</f>
        <v>388533</v>
      </c>
      <c r="D867" s="2" t="str">
        <f t="shared" si="12"/>
        <v>Error?</v>
      </c>
    </row>
    <row r="868" spans="1:4" x14ac:dyDescent="0.2">
      <c r="A868" s="10">
        <v>807</v>
      </c>
      <c r="D868" s="2" t="str">
        <f t="shared" si="12"/>
        <v>OK</v>
      </c>
    </row>
    <row r="869" spans="1:4" x14ac:dyDescent="0.2">
      <c r="A869" s="5">
        <v>808</v>
      </c>
      <c r="B869" s="138">
        <f>'Expenditures 15-22'!E72</f>
        <v>401596</v>
      </c>
      <c r="C869" s="2" t="s">
        <v>572</v>
      </c>
      <c r="D869" s="2" t="str">
        <f t="shared" si="12"/>
        <v>Error?</v>
      </c>
    </row>
    <row r="870" spans="1:4" x14ac:dyDescent="0.2">
      <c r="A870" s="5">
        <v>809</v>
      </c>
      <c r="B870" s="138">
        <f>'Expenditures 15-22'!E73</f>
        <v>6574</v>
      </c>
      <c r="D870" s="2" t="str">
        <f t="shared" si="12"/>
        <v>Error?</v>
      </c>
    </row>
    <row r="871" spans="1:4" x14ac:dyDescent="0.2">
      <c r="A871" s="5">
        <v>810</v>
      </c>
      <c r="B871" s="138">
        <f>'Expenditures 15-22'!E74</f>
        <v>1456575</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1960839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642256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18584</v>
      </c>
      <c r="D891" s="2" t="str">
        <f t="shared" si="12"/>
        <v>Error?</v>
      </c>
    </row>
    <row r="892" spans="1:4" x14ac:dyDescent="0.2">
      <c r="A892" s="5">
        <v>831</v>
      </c>
      <c r="B892" s="138">
        <f>'Expenditures 15-22'!F14</f>
        <v>52194</v>
      </c>
      <c r="D892" s="2" t="str">
        <f t="shared" si="12"/>
        <v>Error?</v>
      </c>
    </row>
    <row r="893" spans="1:4" x14ac:dyDescent="0.2">
      <c r="A893" s="5">
        <v>832</v>
      </c>
      <c r="B893" s="138">
        <f>'Expenditures 15-22'!F15</f>
        <v>7500</v>
      </c>
      <c r="D893" s="2" t="str">
        <f t="shared" si="12"/>
        <v>Error?</v>
      </c>
    </row>
    <row r="894" spans="1:4" x14ac:dyDescent="0.2">
      <c r="A894" s="5">
        <v>833</v>
      </c>
      <c r="B894" s="138">
        <f>'Expenditures 15-22'!F33</f>
        <v>752693</v>
      </c>
      <c r="C894" s="2" t="s">
        <v>572</v>
      </c>
      <c r="D894" s="2" t="str">
        <f t="shared" si="12"/>
        <v>Error?</v>
      </c>
    </row>
    <row r="895" spans="1:4" x14ac:dyDescent="0.2">
      <c r="A895" s="5">
        <v>834</v>
      </c>
      <c r="B895" s="138">
        <f>'Expenditures 15-22'!F36</f>
        <v>1568</v>
      </c>
      <c r="D895" s="2" t="str">
        <f t="shared" ref="D895:D958" si="13">IF(ISBLANK(B895),"OK",IF(A895-B895=0,"OK","Error?"))</f>
        <v>Error?</v>
      </c>
    </row>
    <row r="896" spans="1:4" x14ac:dyDescent="0.2">
      <c r="A896" s="5">
        <v>835</v>
      </c>
      <c r="B896" s="138">
        <f>'Expenditures 15-22'!F37</f>
        <v>3274</v>
      </c>
      <c r="D896" s="2" t="str">
        <f t="shared" si="13"/>
        <v>Error?</v>
      </c>
    </row>
    <row r="897" spans="1:4" x14ac:dyDescent="0.2">
      <c r="A897" s="5">
        <v>836</v>
      </c>
      <c r="B897" s="138">
        <f>'Expenditures 15-22'!F38</f>
        <v>15165</v>
      </c>
      <c r="D897" s="2" t="str">
        <f t="shared" si="13"/>
        <v>Error?</v>
      </c>
    </row>
    <row r="898" spans="1:4" x14ac:dyDescent="0.2">
      <c r="A898" s="5">
        <v>837</v>
      </c>
      <c r="B898" s="138">
        <f>'Expenditures 15-22'!F39</f>
        <v>1695</v>
      </c>
      <c r="D898" s="2" t="str">
        <f t="shared" si="13"/>
        <v>Error?</v>
      </c>
    </row>
    <row r="899" spans="1:4" x14ac:dyDescent="0.2">
      <c r="A899" s="5">
        <v>838</v>
      </c>
      <c r="B899" s="138">
        <f>'Expenditures 15-22'!F40</f>
        <v>1882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23584</v>
      </c>
      <c r="C901" s="2" t="s">
        <v>572</v>
      </c>
      <c r="D901" s="2" t="str">
        <f t="shared" si="13"/>
        <v>Error?</v>
      </c>
    </row>
    <row r="902" spans="1:4" x14ac:dyDescent="0.2">
      <c r="A902" s="5">
        <v>841</v>
      </c>
      <c r="B902" s="138">
        <f>'Expenditures 15-22'!F44</f>
        <v>15542</v>
      </c>
      <c r="D902" s="2" t="str">
        <f t="shared" si="13"/>
        <v>Error?</v>
      </c>
    </row>
    <row r="903" spans="1:4" x14ac:dyDescent="0.2">
      <c r="A903" s="5">
        <v>842</v>
      </c>
      <c r="B903" s="138">
        <f>'Expenditures 15-22'!F45</f>
        <v>44399</v>
      </c>
      <c r="D903" s="2" t="str">
        <f t="shared" si="13"/>
        <v>Error?</v>
      </c>
    </row>
    <row r="904" spans="1:4" x14ac:dyDescent="0.2">
      <c r="A904" s="5">
        <v>843</v>
      </c>
      <c r="B904" s="138">
        <f>'Expenditures 15-22'!F46</f>
        <v>1905</v>
      </c>
      <c r="D904" s="2" t="str">
        <f t="shared" si="13"/>
        <v>Error?</v>
      </c>
    </row>
    <row r="905" spans="1:4" x14ac:dyDescent="0.2">
      <c r="A905" s="5">
        <v>844</v>
      </c>
      <c r="B905" s="138">
        <f>'Expenditures 15-22'!F47</f>
        <v>61846</v>
      </c>
      <c r="C905" s="2" t="s">
        <v>572</v>
      </c>
      <c r="D905" s="2" t="str">
        <f t="shared" si="13"/>
        <v>Error?</v>
      </c>
    </row>
    <row r="906" spans="1:4" x14ac:dyDescent="0.2">
      <c r="A906" s="5">
        <v>845</v>
      </c>
      <c r="B906" s="138">
        <f>'Expenditures 15-22'!F49</f>
        <v>38843</v>
      </c>
      <c r="D906" s="2" t="str">
        <f t="shared" si="13"/>
        <v>Error?</v>
      </c>
    </row>
    <row r="907" spans="1:4" x14ac:dyDescent="0.2">
      <c r="A907" s="5">
        <v>846</v>
      </c>
      <c r="B907" s="138">
        <f>'Expenditures 15-22'!F50</f>
        <v>420</v>
      </c>
      <c r="D907" s="2" t="str">
        <f t="shared" si="13"/>
        <v>Error?</v>
      </c>
    </row>
    <row r="908" spans="1:4" x14ac:dyDescent="0.2">
      <c r="A908" s="5">
        <v>847</v>
      </c>
      <c r="B908" s="138">
        <f>'Expenditures 15-22'!F53</f>
        <v>39263</v>
      </c>
      <c r="C908" s="2" t="s">
        <v>572</v>
      </c>
      <c r="D908" s="2" t="str">
        <f t="shared" si="13"/>
        <v>Error?</v>
      </c>
    </row>
    <row r="909" spans="1:4" x14ac:dyDescent="0.2">
      <c r="A909" s="5">
        <v>848</v>
      </c>
      <c r="B909" s="138">
        <f>'Expenditures 15-22'!F55</f>
        <v>37218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37218</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3460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996429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999889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59</v>
      </c>
      <c r="D922" s="2" t="str">
        <f t="shared" si="13"/>
        <v>Error?</v>
      </c>
    </row>
    <row r="923" spans="1:4" x14ac:dyDescent="0.2">
      <c r="A923" s="5">
        <v>862</v>
      </c>
      <c r="B923" s="138">
        <f>'Expenditures 15-22'!F70</f>
        <v>3599</v>
      </c>
      <c r="D923" s="2" t="str">
        <f t="shared" si="13"/>
        <v>Error?</v>
      </c>
    </row>
    <row r="924" spans="1:4" x14ac:dyDescent="0.2">
      <c r="A924" s="10">
        <v>863</v>
      </c>
      <c r="D924" s="2" t="str">
        <f t="shared" si="13"/>
        <v>OK</v>
      </c>
    </row>
    <row r="925" spans="1:4" x14ac:dyDescent="0.2">
      <c r="A925" s="5">
        <v>864</v>
      </c>
      <c r="B925" s="138">
        <f>'Expenditures 15-22'!F71</f>
        <v>314967</v>
      </c>
      <c r="D925" s="2" t="str">
        <f t="shared" si="13"/>
        <v>Error?</v>
      </c>
    </row>
    <row r="926" spans="1:4" x14ac:dyDescent="0.2">
      <c r="A926" s="10">
        <v>865</v>
      </c>
      <c r="D926" s="2" t="str">
        <f t="shared" si="13"/>
        <v>OK</v>
      </c>
    </row>
    <row r="927" spans="1:4" x14ac:dyDescent="0.2">
      <c r="A927" s="5">
        <v>866</v>
      </c>
      <c r="B927" s="138">
        <f>'Expenditures 15-22'!F72</f>
        <v>318625</v>
      </c>
      <c r="C927" s="2" t="s">
        <v>572</v>
      </c>
      <c r="D927" s="2" t="str">
        <f t="shared" si="13"/>
        <v>Error?</v>
      </c>
    </row>
    <row r="928" spans="1:4" x14ac:dyDescent="0.2">
      <c r="A928" s="5">
        <v>867</v>
      </c>
      <c r="B928" s="138">
        <f>'Expenditures 15-22'!F73</f>
        <v>53</v>
      </c>
      <c r="D928" s="2" t="str">
        <f t="shared" si="13"/>
        <v>Error?</v>
      </c>
    </row>
    <row r="929" spans="1:4" x14ac:dyDescent="0.2">
      <c r="A929" s="5">
        <v>868</v>
      </c>
      <c r="B929" s="138">
        <f>'Expenditures 15-22'!F74</f>
        <v>1480478</v>
      </c>
      <c r="C929" s="2" t="s">
        <v>572</v>
      </c>
      <c r="D929" s="2" t="str">
        <f t="shared" si="13"/>
        <v>Error?</v>
      </c>
    </row>
    <row r="930" spans="1:4" x14ac:dyDescent="0.2">
      <c r="A930" s="5">
        <v>869</v>
      </c>
      <c r="B930" s="138">
        <f>'Expenditures 15-22'!F75</f>
        <v>2452</v>
      </c>
      <c r="D930" s="2" t="str">
        <f t="shared" si="13"/>
        <v>Error?</v>
      </c>
    </row>
    <row r="931" spans="1:4" x14ac:dyDescent="0.2">
      <c r="A931" s="5">
        <v>870</v>
      </c>
      <c r="B931" s="138">
        <f>'Expenditures 15-22'!F114</f>
        <v>2235623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5720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138087</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143807</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4787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4787</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8320</v>
      </c>
      <c r="D983" s="2" t="str">
        <f t="shared" si="14"/>
        <v>Error?</v>
      </c>
    </row>
    <row r="984" spans="1:4" x14ac:dyDescent="0.2">
      <c r="A984" s="10">
        <v>923</v>
      </c>
      <c r="D984" s="2" t="str">
        <f t="shared" si="14"/>
        <v>OK</v>
      </c>
    </row>
    <row r="985" spans="1:4" x14ac:dyDescent="0.2">
      <c r="A985" s="5">
        <v>924</v>
      </c>
      <c r="B985" s="138">
        <f>'Expenditures 15-22'!G72</f>
        <v>8320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13107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156914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7044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25503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1557611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130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1800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1930</v>
      </c>
      <c r="C1017" s="2" t="s">
        <v>572</v>
      </c>
      <c r="D1017" s="2" t="str">
        <f t="shared" si="14"/>
        <v>Error?</v>
      </c>
    </row>
    <row r="1018" spans="1:4" x14ac:dyDescent="0.2">
      <c r="A1018" s="5">
        <v>957</v>
      </c>
      <c r="B1018" s="138">
        <f>'Expenditures 15-22'!H44</f>
        <v>450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450</v>
      </c>
      <c r="C1021" s="2" t="s">
        <v>572</v>
      </c>
      <c r="D1021" s="2" t="str">
        <f t="shared" si="14"/>
        <v>Error?</v>
      </c>
    </row>
    <row r="1022" spans="1:4" x14ac:dyDescent="0.2">
      <c r="A1022" s="5">
        <v>961</v>
      </c>
      <c r="B1022" s="138">
        <f>'Expenditures 15-22'!H49</f>
        <v>12866</v>
      </c>
      <c r="D1022" s="2" t="str">
        <f t="shared" si="14"/>
        <v>Error?</v>
      </c>
    </row>
    <row r="1023" spans="1:4" x14ac:dyDescent="0.2">
      <c r="A1023" s="5">
        <v>962</v>
      </c>
      <c r="B1023" s="138">
        <f>'Expenditures 15-22'!H50</f>
        <v>604</v>
      </c>
      <c r="D1023" s="2" t="str">
        <f t="shared" ref="D1023:D1086" si="15">IF(ISBLANK(B1023),"OK",IF(A1023-B1023=0,"OK","Error?"))</f>
        <v>Error?</v>
      </c>
    </row>
    <row r="1024" spans="1:4" x14ac:dyDescent="0.2">
      <c r="A1024" s="5">
        <v>963</v>
      </c>
      <c r="B1024" s="138">
        <f>'Expenditures 15-22'!H53</f>
        <v>13470</v>
      </c>
      <c r="C1024" s="2" t="s">
        <v>572</v>
      </c>
      <c r="D1024" s="2" t="str">
        <f t="shared" si="15"/>
        <v>Error?</v>
      </c>
    </row>
    <row r="1025" spans="1:4" x14ac:dyDescent="0.2">
      <c r="A1025" s="5">
        <v>964</v>
      </c>
      <c r="B1025" s="138">
        <f>'Expenditures 15-22'!H55</f>
        <v>7806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7806</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964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1102</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285</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285</v>
      </c>
      <c r="C1043" s="2" t="s">
        <v>572</v>
      </c>
      <c r="D1043" s="2" t="str">
        <f t="shared" si="15"/>
        <v>Error?</v>
      </c>
    </row>
    <row r="1044" spans="1:4" x14ac:dyDescent="0.2">
      <c r="A1044" s="5">
        <v>983</v>
      </c>
      <c r="B1044" s="138">
        <f>'Expenditures 15-22'!H73</f>
        <v>250</v>
      </c>
      <c r="D1044" s="2" t="str">
        <f t="shared" si="15"/>
        <v>Error?</v>
      </c>
    </row>
    <row r="1045" spans="1:4" x14ac:dyDescent="0.2">
      <c r="A1045" s="5">
        <v>984</v>
      </c>
      <c r="B1045" s="138">
        <f>'Expenditures 15-22'!H74</f>
        <v>25293</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412154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1995058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15880638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46186</v>
      </c>
      <c r="C1104" s="2" t="s">
        <v>572</v>
      </c>
      <c r="D1104" s="2" t="str">
        <f t="shared" si="16"/>
        <v>Error?</v>
      </c>
    </row>
    <row r="1105" spans="1:4" x14ac:dyDescent="0.2">
      <c r="A1105" s="5">
        <v>1044</v>
      </c>
      <c r="B1105" s="138">
        <f>'Expenditures 15-22'!K13</f>
        <v>572033</v>
      </c>
      <c r="C1105" s="2" t="s">
        <v>572</v>
      </c>
      <c r="D1105" s="2" t="str">
        <f t="shared" si="16"/>
        <v>Error?</v>
      </c>
    </row>
    <row r="1106" spans="1:4" x14ac:dyDescent="0.2">
      <c r="A1106" s="5">
        <v>1045</v>
      </c>
      <c r="B1106" s="138">
        <f>'Expenditures 15-22'!K14</f>
        <v>883702</v>
      </c>
      <c r="C1106" s="2" t="s">
        <v>572</v>
      </c>
      <c r="D1106" s="2" t="str">
        <f t="shared" si="16"/>
        <v>Error?</v>
      </c>
    </row>
    <row r="1107" spans="1:4" x14ac:dyDescent="0.2">
      <c r="A1107" s="5">
        <v>1046</v>
      </c>
      <c r="B1107" s="138">
        <f>'Expenditures 15-22'!K15</f>
        <v>39014</v>
      </c>
      <c r="C1107" s="2" t="s">
        <v>572</v>
      </c>
      <c r="D1107" s="2" t="str">
        <f t="shared" si="16"/>
        <v>Error?</v>
      </c>
    </row>
    <row r="1108" spans="1:4" x14ac:dyDescent="0.2">
      <c r="A1108" s="5">
        <v>1047</v>
      </c>
      <c r="B1108" s="138">
        <f>'Expenditures 15-22'!K33</f>
        <v>22889319</v>
      </c>
      <c r="C1108" s="2" t="s">
        <v>572</v>
      </c>
      <c r="D1108" s="2" t="str">
        <f t="shared" si="16"/>
        <v>Error?</v>
      </c>
    </row>
    <row r="1109" spans="1:4" x14ac:dyDescent="0.2">
      <c r="A1109" s="5">
        <v>1048</v>
      </c>
      <c r="B1109" s="138">
        <f>'Expenditures 15-22'!K36</f>
        <v>286433</v>
      </c>
      <c r="C1109" s="2" t="s">
        <v>572</v>
      </c>
      <c r="D1109" s="2" t="str">
        <f t="shared" si="16"/>
        <v>Error?</v>
      </c>
    </row>
    <row r="1110" spans="1:4" x14ac:dyDescent="0.2">
      <c r="A1110" s="5">
        <v>1049</v>
      </c>
      <c r="B1110" s="138">
        <f>'Expenditures 15-22'!K37</f>
        <v>729611</v>
      </c>
      <c r="C1110" s="2" t="s">
        <v>572</v>
      </c>
      <c r="D1110" s="2" t="str">
        <f t="shared" si="16"/>
        <v>Error?</v>
      </c>
    </row>
    <row r="1111" spans="1:4" x14ac:dyDescent="0.2">
      <c r="A1111" s="5">
        <v>1050</v>
      </c>
      <c r="B1111" s="138">
        <f>'Expenditures 15-22'!K38</f>
        <v>285453</v>
      </c>
      <c r="C1111" s="2" t="s">
        <v>572</v>
      </c>
      <c r="D1111" s="2" t="str">
        <f t="shared" si="16"/>
        <v>Error?</v>
      </c>
    </row>
    <row r="1112" spans="1:4" x14ac:dyDescent="0.2">
      <c r="A1112" s="5">
        <v>1051</v>
      </c>
      <c r="B1112" s="138">
        <f>'Expenditures 15-22'!K39</f>
        <v>174320</v>
      </c>
      <c r="C1112" s="2" t="s">
        <v>572</v>
      </c>
      <c r="D1112" s="2" t="str">
        <f t="shared" si="16"/>
        <v>Error?</v>
      </c>
    </row>
    <row r="1113" spans="1:4" x14ac:dyDescent="0.2">
      <c r="A1113" s="5">
        <v>1052</v>
      </c>
      <c r="B1113" s="138">
        <f>'Expenditures 15-22'!K40</f>
        <v>536647</v>
      </c>
      <c r="C1113" s="2" t="s">
        <v>572</v>
      </c>
      <c r="D1113" s="2" t="str">
        <f t="shared" si="16"/>
        <v>Error?</v>
      </c>
    </row>
    <row r="1114" spans="1:4" x14ac:dyDescent="0.2">
      <c r="A1114" s="5">
        <v>1053</v>
      </c>
      <c r="B1114" s="138">
        <f>'Expenditures 15-22'!K41</f>
        <v>428577</v>
      </c>
      <c r="C1114" s="2" t="s">
        <v>572</v>
      </c>
      <c r="D1114" s="2" t="str">
        <f t="shared" si="16"/>
        <v>Error?</v>
      </c>
    </row>
    <row r="1115" spans="1:4" x14ac:dyDescent="0.2">
      <c r="A1115" s="5">
        <v>1054</v>
      </c>
      <c r="B1115" s="138">
        <f>'Expenditures 15-22'!K42</f>
        <v>2441041</v>
      </c>
      <c r="C1115" s="2" t="s">
        <v>572</v>
      </c>
      <c r="D1115" s="2" t="str">
        <f t="shared" si="16"/>
        <v>Error?</v>
      </c>
    </row>
    <row r="1116" spans="1:4" x14ac:dyDescent="0.2">
      <c r="A1116" s="5">
        <v>1055</v>
      </c>
      <c r="B1116" s="138">
        <f>'Expenditures 15-22'!K44</f>
        <v>151413</v>
      </c>
      <c r="C1116" s="2" t="s">
        <v>572</v>
      </c>
      <c r="D1116" s="2" t="str">
        <f t="shared" si="16"/>
        <v>Error?</v>
      </c>
    </row>
    <row r="1117" spans="1:4" x14ac:dyDescent="0.2">
      <c r="A1117" s="5">
        <v>1056</v>
      </c>
      <c r="B1117" s="138">
        <f>'Expenditures 15-22'!K45</f>
        <v>252603</v>
      </c>
      <c r="C1117" s="2" t="s">
        <v>572</v>
      </c>
      <c r="D1117" s="2" t="str">
        <f t="shared" si="16"/>
        <v>Error?</v>
      </c>
    </row>
    <row r="1118" spans="1:4" x14ac:dyDescent="0.2">
      <c r="A1118" s="5">
        <v>1057</v>
      </c>
      <c r="B1118" s="138">
        <f>'Expenditures 15-22'!K46</f>
        <v>42896</v>
      </c>
      <c r="C1118" s="2" t="s">
        <v>572</v>
      </c>
      <c r="D1118" s="2" t="str">
        <f t="shared" si="16"/>
        <v>Error?</v>
      </c>
    </row>
    <row r="1119" spans="1:4" x14ac:dyDescent="0.2">
      <c r="A1119" s="5">
        <v>1058</v>
      </c>
      <c r="B1119" s="138">
        <f>'Expenditures 15-22'!K47</f>
        <v>446912</v>
      </c>
      <c r="C1119" s="2" t="s">
        <v>572</v>
      </c>
      <c r="D1119" s="2" t="str">
        <f t="shared" si="16"/>
        <v>Error?</v>
      </c>
    </row>
    <row r="1120" spans="1:4" x14ac:dyDescent="0.2">
      <c r="A1120" s="5">
        <v>1059</v>
      </c>
      <c r="B1120" s="138">
        <f>'Expenditures 15-22'!K49</f>
        <v>380154</v>
      </c>
      <c r="C1120" s="2" t="s">
        <v>572</v>
      </c>
      <c r="D1120" s="2" t="str">
        <f t="shared" si="16"/>
        <v>Error?</v>
      </c>
    </row>
    <row r="1121" spans="1:4" x14ac:dyDescent="0.2">
      <c r="A1121" s="5">
        <v>1060</v>
      </c>
      <c r="B1121" s="138">
        <f>'Expenditures 15-22'!K50</f>
        <v>398810</v>
      </c>
      <c r="C1121" s="2" t="s">
        <v>572</v>
      </c>
      <c r="D1121" s="2" t="str">
        <f t="shared" si="16"/>
        <v>Error?</v>
      </c>
    </row>
    <row r="1122" spans="1:4" x14ac:dyDescent="0.2">
      <c r="A1122" s="5">
        <v>1061</v>
      </c>
      <c r="B1122" s="138">
        <f>'Expenditures 15-22'!K53</f>
        <v>1768842</v>
      </c>
      <c r="C1122" s="2" t="s">
        <v>572</v>
      </c>
      <c r="D1122" s="2" t="str">
        <f t="shared" si="16"/>
        <v>Error?</v>
      </c>
    </row>
    <row r="1123" spans="1:4" x14ac:dyDescent="0.2">
      <c r="A1123" s="5">
        <v>1062</v>
      </c>
      <c r="B1123" s="138">
        <f>'Expenditures 15-22'!K55</f>
        <v>1788634</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1788634</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536009</v>
      </c>
      <c r="C1127" s="2" t="s">
        <v>572</v>
      </c>
      <c r="D1127" s="2" t="str">
        <f t="shared" si="16"/>
        <v>Error?</v>
      </c>
    </row>
    <row r="1128" spans="1:4" x14ac:dyDescent="0.2">
      <c r="A1128" s="5">
        <v>1067</v>
      </c>
      <c r="B1128" s="138">
        <f>'Expenditures 15-22'!K61</f>
        <v>244805</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1892120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2672934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69747</v>
      </c>
      <c r="C1136" s="2" t="s">
        <v>572</v>
      </c>
      <c r="D1136" s="2" t="str">
        <f t="shared" si="16"/>
        <v>Error?</v>
      </c>
    </row>
    <row r="1137" spans="1:4" x14ac:dyDescent="0.2">
      <c r="A1137" s="5">
        <v>1076</v>
      </c>
      <c r="B1137" s="138">
        <f>'Expenditures 15-22'!K70</f>
        <v>60986</v>
      </c>
      <c r="C1137" s="2" t="s">
        <v>572</v>
      </c>
      <c r="D1137" s="2" t="str">
        <f t="shared" si="16"/>
        <v>Error?</v>
      </c>
    </row>
    <row r="1138" spans="1:4" x14ac:dyDescent="0.2">
      <c r="A1138" s="10">
        <v>1077</v>
      </c>
      <c r="D1138" s="2" t="str">
        <f t="shared" si="16"/>
        <v>OK</v>
      </c>
    </row>
    <row r="1139" spans="1:4" x14ac:dyDescent="0.2">
      <c r="A1139" s="5">
        <v>1078</v>
      </c>
      <c r="B1139" s="138">
        <f>'Expenditures 15-22'!K71</f>
        <v>1208116</v>
      </c>
      <c r="C1139" s="2" t="s">
        <v>572</v>
      </c>
      <c r="D1139" s="2" t="str">
        <f t="shared" si="16"/>
        <v>Error?</v>
      </c>
    </row>
    <row r="1140" spans="1:4" x14ac:dyDescent="0.2">
      <c r="A1140" s="10">
        <v>1079</v>
      </c>
      <c r="D1140" s="2" t="str">
        <f t="shared" si="16"/>
        <v>OK</v>
      </c>
    </row>
    <row r="1141" spans="1:4" x14ac:dyDescent="0.2">
      <c r="A1141" s="5">
        <v>1080</v>
      </c>
      <c r="B1141" s="138">
        <f>'Expenditures 15-22'!K72</f>
        <v>1338849</v>
      </c>
      <c r="C1141" s="2" t="s">
        <v>572</v>
      </c>
      <c r="D1141" s="2" t="str">
        <f t="shared" si="16"/>
        <v>Error?</v>
      </c>
    </row>
    <row r="1142" spans="1:4" x14ac:dyDescent="0.2">
      <c r="A1142" s="5">
        <v>1081</v>
      </c>
      <c r="B1142" s="138">
        <f>'Expenditures 15-22'!K73</f>
        <v>6877</v>
      </c>
      <c r="C1142" s="2" t="s">
        <v>572</v>
      </c>
      <c r="D1142" s="2" t="str">
        <f t="shared" si="16"/>
        <v>Error?</v>
      </c>
    </row>
    <row r="1143" spans="1:4" x14ac:dyDescent="0.2">
      <c r="A1143" s="5">
        <v>1082</v>
      </c>
      <c r="B1143" s="138">
        <f>'Expenditures 15-22'!K74</f>
        <v>10464089</v>
      </c>
      <c r="C1143" s="2" t="s">
        <v>572</v>
      </c>
      <c r="D1143" s="2" t="str">
        <f t="shared" si="16"/>
        <v>Error?</v>
      </c>
    </row>
    <row r="1144" spans="1:4" x14ac:dyDescent="0.2">
      <c r="A1144" s="5">
        <v>1083</v>
      </c>
      <c r="B1144" s="138">
        <f>'Expenditures 15-22'!K75</f>
        <v>9987</v>
      </c>
      <c r="C1144" s="2" t="s">
        <v>572</v>
      </c>
      <c r="D1144" s="2" t="str">
        <f t="shared" si="16"/>
        <v>Error?</v>
      </c>
    </row>
    <row r="1145" spans="1:4" x14ac:dyDescent="0.2">
      <c r="A1145" s="5">
        <v>1084</v>
      </c>
      <c r="B1145" s="138">
        <f>'Expenditures 15-22'!K102</f>
        <v>432504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33795899</v>
      </c>
      <c r="C1152" s="2" t="s">
        <v>572</v>
      </c>
      <c r="D1152" s="2" t="str">
        <f t="shared" si="17"/>
        <v>Error?</v>
      </c>
    </row>
    <row r="1153" spans="1:4" x14ac:dyDescent="0.2">
      <c r="A1153" s="5">
        <v>1092</v>
      </c>
      <c r="B1153" s="138">
        <f>'Expenditures 15-22'!K115</f>
        <v>653643</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1724875</v>
      </c>
      <c r="D1221" s="2" t="str">
        <f t="shared" si="18"/>
        <v>Error?</v>
      </c>
    </row>
    <row r="1222" spans="1:4" x14ac:dyDescent="0.2">
      <c r="A1222" s="10">
        <v>1161</v>
      </c>
      <c r="D1222" s="2" t="str">
        <f t="shared" si="18"/>
        <v>OK</v>
      </c>
    </row>
    <row r="1223" spans="1:4" x14ac:dyDescent="0.2">
      <c r="A1223" s="5">
        <v>1162</v>
      </c>
      <c r="B1223" s="138">
        <f>'Expenditures 15-22'!C127</f>
        <v>1724875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1724875</v>
      </c>
      <c r="C1225" s="2" t="s">
        <v>572</v>
      </c>
      <c r="D1225" s="2" t="str">
        <f t="shared" si="18"/>
        <v>Error?</v>
      </c>
    </row>
    <row r="1226" spans="1:4" x14ac:dyDescent="0.2">
      <c r="A1226" s="5">
        <v>1165</v>
      </c>
      <c r="B1226" s="138">
        <f>'Expenditures 15-22'!C151</f>
        <v>1724875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268823</v>
      </c>
      <c r="D1229" s="2" t="str">
        <f t="shared" si="18"/>
        <v>Error?</v>
      </c>
    </row>
    <row r="1230" spans="1:4" x14ac:dyDescent="0.2">
      <c r="A1230" s="10">
        <v>1169</v>
      </c>
      <c r="D1230" s="2" t="str">
        <f t="shared" si="18"/>
        <v>OK</v>
      </c>
    </row>
    <row r="1231" spans="1:4" x14ac:dyDescent="0.2">
      <c r="A1231" s="5">
        <v>1170</v>
      </c>
      <c r="B1231" s="138">
        <f>'Expenditures 15-22'!D127</f>
        <v>268823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268823</v>
      </c>
      <c r="C1233" s="2" t="s">
        <v>572</v>
      </c>
      <c r="D1233" s="2" t="str">
        <f t="shared" si="18"/>
        <v>Error?</v>
      </c>
    </row>
    <row r="1234" spans="1:4" x14ac:dyDescent="0.2">
      <c r="A1234" s="5">
        <v>1173</v>
      </c>
      <c r="B1234" s="138">
        <f>'Expenditures 15-22'!D151</f>
        <v>268823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648283</v>
      </c>
      <c r="D1237" s="2" t="str">
        <f t="shared" si="18"/>
        <v>Error?</v>
      </c>
    </row>
    <row r="1238" spans="1:4" x14ac:dyDescent="0.2">
      <c r="A1238" s="10">
        <v>1177</v>
      </c>
      <c r="D1238" s="2" t="str">
        <f t="shared" si="18"/>
        <v>OK</v>
      </c>
    </row>
    <row r="1239" spans="1:4" x14ac:dyDescent="0.2">
      <c r="A1239" s="5">
        <v>1178</v>
      </c>
      <c r="B1239" s="138">
        <f>'Expenditures 15-22'!E127</f>
        <v>648283</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648283</v>
      </c>
      <c r="C1241" s="2" t="s">
        <v>572</v>
      </c>
      <c r="D1241" s="2" t="str">
        <f t="shared" si="18"/>
        <v>Error?</v>
      </c>
    </row>
    <row r="1242" spans="1:4" x14ac:dyDescent="0.2">
      <c r="A1242" s="5">
        <v>1181</v>
      </c>
      <c r="B1242" s="138">
        <f>'Expenditures 15-22'!E151</f>
        <v>648283</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1211252</v>
      </c>
      <c r="D1245" s="2" t="str">
        <f t="shared" si="18"/>
        <v>Error?</v>
      </c>
    </row>
    <row r="1246" spans="1:4" x14ac:dyDescent="0.2">
      <c r="A1246" s="10">
        <v>1185</v>
      </c>
      <c r="D1246" s="2" t="str">
        <f t="shared" si="18"/>
        <v>OK</v>
      </c>
    </row>
    <row r="1247" spans="1:4" x14ac:dyDescent="0.2">
      <c r="A1247" s="5">
        <v>1186</v>
      </c>
      <c r="B1247" s="138">
        <f>'Expenditures 15-22'!F127</f>
        <v>1211252</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1211252</v>
      </c>
      <c r="C1249" s="2" t="s">
        <v>572</v>
      </c>
      <c r="D1249" s="2" t="str">
        <f t="shared" si="18"/>
        <v>Error?</v>
      </c>
    </row>
    <row r="1250" spans="1:4" x14ac:dyDescent="0.2">
      <c r="A1250" s="5">
        <v>1189</v>
      </c>
      <c r="B1250" s="138">
        <f>'Expenditures 15-22'!F151</f>
        <v>1211252</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1483071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1483071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1483071</v>
      </c>
      <c r="C1258" s="2" t="s">
        <v>572</v>
      </c>
      <c r="D1258" s="2" t="str">
        <f t="shared" si="18"/>
        <v>Error?</v>
      </c>
    </row>
    <row r="1259" spans="1:4" x14ac:dyDescent="0.2">
      <c r="A1259" s="5">
        <v>1198</v>
      </c>
      <c r="B1259" s="138">
        <f>'Expenditures 15-22'!G151</f>
        <v>1483071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6243</v>
      </c>
      <c r="D1262" s="2" t="str">
        <f t="shared" si="18"/>
        <v>Error?</v>
      </c>
    </row>
    <row r="1263" spans="1:4" x14ac:dyDescent="0.2">
      <c r="A1263" s="10">
        <v>1202</v>
      </c>
      <c r="D1263" s="2" t="str">
        <f t="shared" si="18"/>
        <v>OK</v>
      </c>
    </row>
    <row r="1264" spans="1:4" x14ac:dyDescent="0.2">
      <c r="A1264" s="5">
        <v>1203</v>
      </c>
      <c r="B1264" s="138">
        <f>'Expenditures 15-22'!H127</f>
        <v>6243</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6243</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6243</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5380164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5380164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5380164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5380164</v>
      </c>
      <c r="C1288" s="2" t="s">
        <v>572</v>
      </c>
      <c r="D1288" s="2" t="str">
        <f t="shared" si="19"/>
        <v>Error?</v>
      </c>
    </row>
    <row r="1289" spans="1:4" x14ac:dyDescent="0.2">
      <c r="A1289" s="5">
        <v>1228</v>
      </c>
      <c r="B1289" s="138">
        <f>'Expenditures 15-22'!K152</f>
        <v>-1247269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1855640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3355000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5210640</v>
      </c>
      <c r="C1317" s="2" t="s">
        <v>572</v>
      </c>
      <c r="D1317" s="2" t="str">
        <f t="shared" si="19"/>
        <v>Error?</v>
      </c>
    </row>
    <row r="1318" spans="1:4" x14ac:dyDescent="0.2">
      <c r="A1318" s="5">
        <v>1257</v>
      </c>
      <c r="B1318" s="138">
        <f>'Expenditures 15-22'!H174</f>
        <v>5210640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1855640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3355000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5210640</v>
      </c>
      <c r="C1331" s="2" t="s">
        <v>572</v>
      </c>
      <c r="D1331" s="2" t="str">
        <f t="shared" si="19"/>
        <v>Error?</v>
      </c>
    </row>
    <row r="1332" spans="1:4" x14ac:dyDescent="0.2">
      <c r="A1332" s="5">
        <v>1271</v>
      </c>
      <c r="B1332" s="138">
        <f>'Expenditures 15-22'!K174</f>
        <v>5210640</v>
      </c>
      <c r="C1332" s="2" t="s">
        <v>572</v>
      </c>
      <c r="D1332" s="2" t="str">
        <f t="shared" si="19"/>
        <v>Error?</v>
      </c>
    </row>
    <row r="1333" spans="1:4" x14ac:dyDescent="0.2">
      <c r="A1333" s="5">
        <v>1272</v>
      </c>
      <c r="B1333" s="138">
        <f>'Expenditures 15-22'!K175</f>
        <v>-360871</v>
      </c>
      <c r="C1333" s="2" t="s">
        <v>572</v>
      </c>
      <c r="D1333" s="2" t="str">
        <f t="shared" si="19"/>
        <v>Error?</v>
      </c>
    </row>
    <row r="1334" spans="1:4" x14ac:dyDescent="0.2">
      <c r="A1334" s="10">
        <v>1273</v>
      </c>
      <c r="D1334" s="2" t="str">
        <f t="shared" si="19"/>
        <v>OK</v>
      </c>
    </row>
    <row r="1335" spans="1:4" x14ac:dyDescent="0.2">
      <c r="A1335" s="5">
        <v>1274</v>
      </c>
      <c r="B1335" s="138">
        <f>'Expenditures 15-22'!C182</f>
        <v>1326865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1326865</v>
      </c>
      <c r="C1339" s="2" t="s">
        <v>572</v>
      </c>
      <c r="D1339" s="2" t="str">
        <f t="shared" si="19"/>
        <v>Error?</v>
      </c>
    </row>
    <row r="1340" spans="1:4" x14ac:dyDescent="0.2">
      <c r="A1340" s="5">
        <v>1279</v>
      </c>
      <c r="B1340" s="138">
        <f>'Expenditures 15-22'!C210</f>
        <v>1326865</v>
      </c>
      <c r="C1340" s="2" t="s">
        <v>572</v>
      </c>
      <c r="D1340" s="2" t="str">
        <f t="shared" si="19"/>
        <v>Error?</v>
      </c>
    </row>
    <row r="1341" spans="1:4" x14ac:dyDescent="0.2">
      <c r="A1341" s="5">
        <v>1280</v>
      </c>
      <c r="B1341" s="138">
        <f>'Expenditures 15-22'!D182</f>
        <v>150930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150930</v>
      </c>
      <c r="C1345" s="2" t="s">
        <v>572</v>
      </c>
      <c r="D1345" s="2" t="str">
        <f t="shared" si="20"/>
        <v>Error?</v>
      </c>
    </row>
    <row r="1346" spans="1:4" x14ac:dyDescent="0.2">
      <c r="A1346" s="5">
        <v>1285</v>
      </c>
      <c r="B1346" s="138">
        <f>'Expenditures 15-22'!D210</f>
        <v>150930</v>
      </c>
      <c r="C1346" s="2" t="s">
        <v>572</v>
      </c>
      <c r="D1346" s="2" t="str">
        <f t="shared" si="20"/>
        <v>Error?</v>
      </c>
    </row>
    <row r="1347" spans="1:4" x14ac:dyDescent="0.2">
      <c r="A1347" s="5">
        <v>1286</v>
      </c>
      <c r="B1347" s="138">
        <f>'Expenditures 15-22'!E182</f>
        <v>120869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120869</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120869</v>
      </c>
      <c r="C1353" s="2" t="s">
        <v>572</v>
      </c>
      <c r="D1353" s="2" t="str">
        <f t="shared" si="20"/>
        <v>Error?</v>
      </c>
    </row>
    <row r="1354" spans="1:4" x14ac:dyDescent="0.2">
      <c r="A1354" s="5">
        <v>1293</v>
      </c>
      <c r="B1354" s="138">
        <f>'Expenditures 15-22'!F182</f>
        <v>300468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300468</v>
      </c>
      <c r="C1358" s="2" t="s">
        <v>572</v>
      </c>
      <c r="D1358" s="2" t="str">
        <f t="shared" si="20"/>
        <v>Error?</v>
      </c>
    </row>
    <row r="1359" spans="1:4" x14ac:dyDescent="0.2">
      <c r="A1359" s="5">
        <v>1298</v>
      </c>
      <c r="B1359" s="138">
        <f>'Expenditures 15-22'!F210</f>
        <v>300468</v>
      </c>
      <c r="C1359" s="2" t="s">
        <v>572</v>
      </c>
      <c r="D1359" s="2" t="str">
        <f t="shared" si="20"/>
        <v>Error?</v>
      </c>
    </row>
    <row r="1360" spans="1:4" x14ac:dyDescent="0.2">
      <c r="A1360" s="5">
        <v>1299</v>
      </c>
      <c r="B1360" s="138">
        <f>'Expenditures 15-22'!G182</f>
        <v>166605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166605</v>
      </c>
      <c r="C1364" s="2" t="s">
        <v>572</v>
      </c>
      <c r="D1364" s="2" t="str">
        <f t="shared" si="20"/>
        <v>Error?</v>
      </c>
    </row>
    <row r="1365" spans="1:4" x14ac:dyDescent="0.2">
      <c r="A1365" s="5">
        <v>1304</v>
      </c>
      <c r="B1365" s="138">
        <f>'Expenditures 15-22'!G210</f>
        <v>166605</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2065737</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2065737</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2065737</v>
      </c>
      <c r="C1388" s="2" t="s">
        <v>572</v>
      </c>
      <c r="D1388" s="2" t="str">
        <f t="shared" si="20"/>
        <v>Error?</v>
      </c>
    </row>
    <row r="1389" spans="1:4" x14ac:dyDescent="0.2">
      <c r="A1389" s="5">
        <v>1328</v>
      </c>
      <c r="B1389" s="138">
        <f>'Expenditures 15-22'!K211</f>
        <v>272383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6581</v>
      </c>
      <c r="D1406" s="2" t="str">
        <f t="shared" si="20"/>
        <v>Error?</v>
      </c>
    </row>
    <row r="1407" spans="1:4" x14ac:dyDescent="0.2">
      <c r="A1407" s="5">
        <v>1346</v>
      </c>
      <c r="B1407" s="138">
        <f>'Expenditures 15-22'!D222</f>
        <v>6729</v>
      </c>
      <c r="D1407" s="2" t="str">
        <f t="shared" ref="D1407:D1470" si="21">IF(ISBLANK(B1407),"OK",IF(A1407-B1407=0,"OK","Error?"))</f>
        <v>Error?</v>
      </c>
    </row>
    <row r="1408" spans="1:4" x14ac:dyDescent="0.2">
      <c r="A1408" s="5">
        <v>1347</v>
      </c>
      <c r="B1408" s="138">
        <f>'Expenditures 15-22'!D223</f>
        <v>22415</v>
      </c>
      <c r="D1408" s="2" t="str">
        <f t="shared" si="21"/>
        <v>Error?</v>
      </c>
    </row>
    <row r="1409" spans="1:4" x14ac:dyDescent="0.2">
      <c r="A1409" s="5">
        <v>1348</v>
      </c>
      <c r="B1409" s="138">
        <f>'Expenditures 15-22'!D224</f>
        <v>1712</v>
      </c>
      <c r="D1409" s="2" t="str">
        <f t="shared" si="21"/>
        <v>Error?</v>
      </c>
    </row>
    <row r="1410" spans="1:4" x14ac:dyDescent="0.2">
      <c r="A1410" s="5">
        <v>1349</v>
      </c>
      <c r="B1410" s="138">
        <f>'Expenditures 15-22'!D229</f>
        <v>423172</v>
      </c>
      <c r="C1410" s="2" t="s">
        <v>572</v>
      </c>
      <c r="D1410" s="2" t="str">
        <f t="shared" si="21"/>
        <v>Error?</v>
      </c>
    </row>
    <row r="1411" spans="1:4" x14ac:dyDescent="0.2">
      <c r="A1411" s="5">
        <v>1350</v>
      </c>
      <c r="B1411" s="138">
        <f>'Expenditures 15-22'!D232</f>
        <v>3464</v>
      </c>
      <c r="D1411" s="2" t="str">
        <f t="shared" si="21"/>
        <v>Error?</v>
      </c>
    </row>
    <row r="1412" spans="1:4" x14ac:dyDescent="0.2">
      <c r="A1412" s="5">
        <v>1351</v>
      </c>
      <c r="B1412" s="138">
        <f>'Expenditures 15-22'!D233</f>
        <v>13404</v>
      </c>
      <c r="D1412" s="2" t="str">
        <f t="shared" si="21"/>
        <v>Error?</v>
      </c>
    </row>
    <row r="1413" spans="1:4" x14ac:dyDescent="0.2">
      <c r="A1413" s="5">
        <v>1352</v>
      </c>
      <c r="B1413" s="138">
        <f>'Expenditures 15-22'!D234</f>
        <v>39160</v>
      </c>
      <c r="D1413" s="2" t="str">
        <f t="shared" si="21"/>
        <v>Error?</v>
      </c>
    </row>
    <row r="1414" spans="1:4" x14ac:dyDescent="0.2">
      <c r="A1414" s="5">
        <v>1353</v>
      </c>
      <c r="B1414" s="138">
        <f>'Expenditures 15-22'!D235</f>
        <v>2018</v>
      </c>
      <c r="D1414" s="2" t="str">
        <f t="shared" si="21"/>
        <v>Error?</v>
      </c>
    </row>
    <row r="1415" spans="1:4" x14ac:dyDescent="0.2">
      <c r="A1415" s="5">
        <v>1354</v>
      </c>
      <c r="B1415" s="138">
        <f>'Expenditures 15-22'!D236</f>
        <v>5612</v>
      </c>
      <c r="D1415" s="2" t="str">
        <f t="shared" si="21"/>
        <v>Error?</v>
      </c>
    </row>
    <row r="1416" spans="1:4" x14ac:dyDescent="0.2">
      <c r="A1416" s="5">
        <v>1355</v>
      </c>
      <c r="B1416" s="138">
        <f>'Expenditures 15-22'!D237</f>
        <v>52586</v>
      </c>
      <c r="D1416" s="2" t="str">
        <f t="shared" si="21"/>
        <v>Error?</v>
      </c>
    </row>
    <row r="1417" spans="1:4" x14ac:dyDescent="0.2">
      <c r="A1417" s="5">
        <v>1356</v>
      </c>
      <c r="B1417" s="138">
        <f>'Expenditures 15-22'!D238</f>
        <v>116244</v>
      </c>
      <c r="C1417" s="2" t="s">
        <v>572</v>
      </c>
      <c r="D1417" s="2" t="str">
        <f t="shared" si="21"/>
        <v>Error?</v>
      </c>
    </row>
    <row r="1418" spans="1:4" x14ac:dyDescent="0.2">
      <c r="A1418" s="5">
        <v>1357</v>
      </c>
      <c r="B1418" s="138">
        <f>'Expenditures 15-22'!D240</f>
        <v>682</v>
      </c>
      <c r="D1418" s="2" t="str">
        <f t="shared" si="21"/>
        <v>Error?</v>
      </c>
    </row>
    <row r="1419" spans="1:4" x14ac:dyDescent="0.2">
      <c r="A1419" s="5">
        <v>1358</v>
      </c>
      <c r="B1419" s="138">
        <f>'Expenditures 15-22'!D241</f>
        <v>8748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9430</v>
      </c>
      <c r="C1421" s="2" t="s">
        <v>572</v>
      </c>
      <c r="D1421" s="2" t="str">
        <f t="shared" si="21"/>
        <v>Error?</v>
      </c>
    </row>
    <row r="1422" spans="1:4" x14ac:dyDescent="0.2">
      <c r="A1422" s="5">
        <v>1361</v>
      </c>
      <c r="B1422" s="138">
        <f>'Expenditures 15-22'!D245</f>
        <v>12555</v>
      </c>
      <c r="D1422" s="2" t="str">
        <f t="shared" si="21"/>
        <v>Error?</v>
      </c>
    </row>
    <row r="1423" spans="1:4" x14ac:dyDescent="0.2">
      <c r="A1423" s="5">
        <v>1362</v>
      </c>
      <c r="B1423" s="138">
        <f>'Expenditures 15-22'!D246</f>
        <v>4676</v>
      </c>
      <c r="D1423" s="2" t="str">
        <f t="shared" si="21"/>
        <v>Error?</v>
      </c>
    </row>
    <row r="1424" spans="1:4" x14ac:dyDescent="0.2">
      <c r="A1424" s="5">
        <v>1363</v>
      </c>
      <c r="B1424" s="138">
        <f>'Expenditures 15-22'!D257</f>
        <v>27055</v>
      </c>
      <c r="C1424" s="2" t="s">
        <v>572</v>
      </c>
      <c r="D1424" s="2" t="str">
        <f t="shared" si="21"/>
        <v>Error?</v>
      </c>
    </row>
    <row r="1425" spans="1:4" x14ac:dyDescent="0.2">
      <c r="A1425" s="5">
        <v>1364</v>
      </c>
      <c r="B1425" s="138">
        <f>'Expenditures 15-22'!D259</f>
        <v>46253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46253</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48851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317204</v>
      </c>
      <c r="D1431" s="2" t="str">
        <f t="shared" si="21"/>
        <v>Error?</v>
      </c>
    </row>
    <row r="1432" spans="1:4" x14ac:dyDescent="0.2">
      <c r="A1432" s="5">
        <v>1371</v>
      </c>
      <c r="B1432" s="138">
        <f>'Expenditures 15-22'!D267</f>
        <v>215105</v>
      </c>
      <c r="D1432" s="2" t="str">
        <f t="shared" si="21"/>
        <v>Error?</v>
      </c>
    </row>
    <row r="1433" spans="1:4" x14ac:dyDescent="0.2">
      <c r="A1433" s="5">
        <v>1372</v>
      </c>
      <c r="B1433" s="138">
        <f>'Expenditures 15-22'!D268</f>
        <v>108520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689680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11763</v>
      </c>
      <c r="D1439" s="2" t="str">
        <f t="shared" si="21"/>
        <v>Error?</v>
      </c>
    </row>
    <row r="1440" spans="1:4" x14ac:dyDescent="0.2">
      <c r="A1440" s="5">
        <v>1379</v>
      </c>
      <c r="B1440" s="138">
        <f>'Expenditures 15-22'!D275</f>
        <v>5367</v>
      </c>
      <c r="D1440" s="2" t="str">
        <f t="shared" si="21"/>
        <v>Error?</v>
      </c>
    </row>
    <row r="1441" spans="1:4" x14ac:dyDescent="0.2">
      <c r="A1441" s="10">
        <v>1380</v>
      </c>
      <c r="D1441" s="2" t="str">
        <f t="shared" si="21"/>
        <v>OK</v>
      </c>
    </row>
    <row r="1442" spans="1:4" x14ac:dyDescent="0.2">
      <c r="A1442" s="5">
        <v>1381</v>
      </c>
      <c r="B1442" s="138">
        <f>'Expenditures 15-22'!D276</f>
        <v>52624</v>
      </c>
      <c r="D1442" s="2" t="str">
        <f t="shared" si="21"/>
        <v>Error?</v>
      </c>
    </row>
    <row r="1443" spans="1:4" x14ac:dyDescent="0.2">
      <c r="A1443" s="10">
        <v>1382</v>
      </c>
      <c r="D1443" s="2" t="str">
        <f t="shared" si="21"/>
        <v>OK</v>
      </c>
    </row>
    <row r="1444" spans="1:4" x14ac:dyDescent="0.2">
      <c r="A1444" s="5">
        <v>1383</v>
      </c>
      <c r="B1444" s="138">
        <f>'Expenditures 15-22'!D277</f>
        <v>69754</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958416</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1381588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6581</v>
      </c>
      <c r="C1470" s="2" t="s">
        <v>572</v>
      </c>
      <c r="D1470" s="2" t="str">
        <f t="shared" si="21"/>
        <v>Error?</v>
      </c>
    </row>
    <row r="1471" spans="1:4" x14ac:dyDescent="0.2">
      <c r="A1471" s="5">
        <v>1410</v>
      </c>
      <c r="B1471" s="138">
        <f>'Expenditures 15-22'!K222</f>
        <v>6729</v>
      </c>
      <c r="C1471" s="2" t="s">
        <v>572</v>
      </c>
      <c r="D1471" s="2" t="str">
        <f t="shared" ref="D1471:D1534" si="22">IF(ISBLANK(B1471),"OK",IF(A1471-B1471=0,"OK","Error?"))</f>
        <v>Error?</v>
      </c>
    </row>
    <row r="1472" spans="1:4" x14ac:dyDescent="0.2">
      <c r="A1472" s="5">
        <v>1411</v>
      </c>
      <c r="B1472" s="138">
        <f>'Expenditures 15-22'!K223</f>
        <v>22415</v>
      </c>
      <c r="C1472" s="2" t="s">
        <v>572</v>
      </c>
      <c r="D1472" s="2" t="str">
        <f t="shared" si="22"/>
        <v>Error?</v>
      </c>
    </row>
    <row r="1473" spans="1:4" x14ac:dyDescent="0.2">
      <c r="A1473" s="5">
        <v>1412</v>
      </c>
      <c r="B1473" s="138">
        <f>'Expenditures 15-22'!K224</f>
        <v>1712</v>
      </c>
      <c r="C1473" s="2" t="s">
        <v>572</v>
      </c>
      <c r="D1473" s="2" t="str">
        <f t="shared" si="22"/>
        <v>Error?</v>
      </c>
    </row>
    <row r="1474" spans="1:4" x14ac:dyDescent="0.2">
      <c r="A1474" s="5">
        <v>1413</v>
      </c>
      <c r="B1474" s="138">
        <f>'Expenditures 15-22'!K229</f>
        <v>423172</v>
      </c>
      <c r="C1474" s="2" t="s">
        <v>572</v>
      </c>
      <c r="D1474" s="2" t="str">
        <f t="shared" si="22"/>
        <v>Error?</v>
      </c>
    </row>
    <row r="1475" spans="1:4" x14ac:dyDescent="0.2">
      <c r="A1475" s="5">
        <v>1414</v>
      </c>
      <c r="B1475" s="138">
        <f>'Expenditures 15-22'!K232</f>
        <v>3464</v>
      </c>
      <c r="C1475" s="2" t="s">
        <v>572</v>
      </c>
      <c r="D1475" s="2" t="str">
        <f t="shared" si="22"/>
        <v>Error?</v>
      </c>
    </row>
    <row r="1476" spans="1:4" x14ac:dyDescent="0.2">
      <c r="A1476" s="5">
        <v>1415</v>
      </c>
      <c r="B1476" s="138">
        <f>'Expenditures 15-22'!K233</f>
        <v>13404</v>
      </c>
      <c r="C1476" s="2" t="s">
        <v>572</v>
      </c>
      <c r="D1476" s="2" t="str">
        <f t="shared" si="22"/>
        <v>Error?</v>
      </c>
    </row>
    <row r="1477" spans="1:4" x14ac:dyDescent="0.2">
      <c r="A1477" s="5">
        <v>1416</v>
      </c>
      <c r="B1477" s="138">
        <f>'Expenditures 15-22'!K234</f>
        <v>39160</v>
      </c>
      <c r="C1477" s="2" t="s">
        <v>572</v>
      </c>
      <c r="D1477" s="2" t="str">
        <f t="shared" si="22"/>
        <v>Error?</v>
      </c>
    </row>
    <row r="1478" spans="1:4" x14ac:dyDescent="0.2">
      <c r="A1478" s="5">
        <v>1417</v>
      </c>
      <c r="B1478" s="138">
        <f>'Expenditures 15-22'!K235</f>
        <v>2018</v>
      </c>
      <c r="C1478" s="2" t="s">
        <v>572</v>
      </c>
      <c r="D1478" s="2" t="str">
        <f t="shared" si="22"/>
        <v>Error?</v>
      </c>
    </row>
    <row r="1479" spans="1:4" x14ac:dyDescent="0.2">
      <c r="A1479" s="5">
        <v>1418</v>
      </c>
      <c r="B1479" s="138">
        <f>'Expenditures 15-22'!K236</f>
        <v>5612</v>
      </c>
      <c r="C1479" s="2" t="s">
        <v>572</v>
      </c>
      <c r="D1479" s="2" t="str">
        <f t="shared" si="22"/>
        <v>Error?</v>
      </c>
    </row>
    <row r="1480" spans="1:4" x14ac:dyDescent="0.2">
      <c r="A1480" s="5">
        <v>1419</v>
      </c>
      <c r="B1480" s="138">
        <f>'Expenditures 15-22'!K237</f>
        <v>52586</v>
      </c>
      <c r="C1480" s="2" t="s">
        <v>572</v>
      </c>
      <c r="D1480" s="2" t="str">
        <f t="shared" si="22"/>
        <v>Error?</v>
      </c>
    </row>
    <row r="1481" spans="1:4" x14ac:dyDescent="0.2">
      <c r="A1481" s="5">
        <v>1420</v>
      </c>
      <c r="B1481" s="138">
        <f>'Expenditures 15-22'!K238</f>
        <v>116244</v>
      </c>
      <c r="C1481" s="2" t="s">
        <v>572</v>
      </c>
      <c r="D1481" s="2" t="str">
        <f t="shared" si="22"/>
        <v>Error?</v>
      </c>
    </row>
    <row r="1482" spans="1:4" x14ac:dyDescent="0.2">
      <c r="A1482" s="5">
        <v>1421</v>
      </c>
      <c r="B1482" s="138">
        <f>'Expenditures 15-22'!K240</f>
        <v>682</v>
      </c>
      <c r="C1482" s="2" t="s">
        <v>572</v>
      </c>
      <c r="D1482" s="2" t="str">
        <f t="shared" si="22"/>
        <v>Error?</v>
      </c>
    </row>
    <row r="1483" spans="1:4" x14ac:dyDescent="0.2">
      <c r="A1483" s="5">
        <v>1422</v>
      </c>
      <c r="B1483" s="138">
        <f>'Expenditures 15-22'!K241</f>
        <v>8748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9430</v>
      </c>
      <c r="C1485" s="2" t="s">
        <v>572</v>
      </c>
      <c r="D1485" s="2" t="str">
        <f t="shared" si="22"/>
        <v>Error?</v>
      </c>
    </row>
    <row r="1486" spans="1:4" x14ac:dyDescent="0.2">
      <c r="A1486" s="5">
        <v>1425</v>
      </c>
      <c r="B1486" s="138">
        <f>'Expenditures 15-22'!K245</f>
        <v>12555</v>
      </c>
      <c r="C1486" s="2" t="s">
        <v>572</v>
      </c>
      <c r="D1486" s="2" t="str">
        <f t="shared" si="22"/>
        <v>Error?</v>
      </c>
    </row>
    <row r="1487" spans="1:4" x14ac:dyDescent="0.2">
      <c r="A1487" s="5">
        <v>1426</v>
      </c>
      <c r="B1487" s="138">
        <f>'Expenditures 15-22'!K246</f>
        <v>4676</v>
      </c>
      <c r="C1487" s="2" t="s">
        <v>572</v>
      </c>
      <c r="D1487" s="2" t="str">
        <f t="shared" si="22"/>
        <v>Error?</v>
      </c>
    </row>
    <row r="1488" spans="1:4" x14ac:dyDescent="0.2">
      <c r="A1488" s="5">
        <v>1427</v>
      </c>
      <c r="B1488" s="138">
        <f>'Expenditures 15-22'!K257</f>
        <v>27055</v>
      </c>
      <c r="C1488" s="2" t="s">
        <v>572</v>
      </c>
      <c r="D1488" s="2" t="str">
        <f t="shared" si="22"/>
        <v>Error?</v>
      </c>
    </row>
    <row r="1489" spans="1:4" x14ac:dyDescent="0.2">
      <c r="A1489" s="5">
        <v>1428</v>
      </c>
      <c r="B1489" s="138">
        <f>'Expenditures 15-22'!K259</f>
        <v>46253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46253</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48851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317204</v>
      </c>
      <c r="C1495" s="2" t="s">
        <v>572</v>
      </c>
      <c r="D1495" s="2" t="str">
        <f t="shared" si="22"/>
        <v>Error?</v>
      </c>
    </row>
    <row r="1496" spans="1:4" x14ac:dyDescent="0.2">
      <c r="A1496" s="5">
        <v>1435</v>
      </c>
      <c r="B1496" s="138">
        <f>'Expenditures 15-22'!K267</f>
        <v>215105</v>
      </c>
      <c r="C1496" s="2" t="s">
        <v>572</v>
      </c>
      <c r="D1496" s="2" t="str">
        <f t="shared" si="22"/>
        <v>Error?</v>
      </c>
    </row>
    <row r="1497" spans="1:4" x14ac:dyDescent="0.2">
      <c r="A1497" s="5">
        <v>1436</v>
      </c>
      <c r="B1497" s="138">
        <f>'Expenditures 15-22'!K268</f>
        <v>108520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689680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11763</v>
      </c>
      <c r="C1503" s="2" t="s">
        <v>572</v>
      </c>
      <c r="D1503" s="2" t="str">
        <f t="shared" si="22"/>
        <v>Error?</v>
      </c>
    </row>
    <row r="1504" spans="1:4" x14ac:dyDescent="0.2">
      <c r="A1504" s="5">
        <v>1443</v>
      </c>
      <c r="B1504" s="138">
        <f>'Expenditures 15-22'!K275</f>
        <v>5367</v>
      </c>
      <c r="C1504" s="2" t="s">
        <v>572</v>
      </c>
      <c r="D1504" s="2" t="str">
        <f t="shared" si="22"/>
        <v>Error?</v>
      </c>
    </row>
    <row r="1505" spans="1:4" x14ac:dyDescent="0.2">
      <c r="A1505" s="10">
        <v>1444</v>
      </c>
      <c r="D1505" s="2" t="str">
        <f t="shared" si="22"/>
        <v>OK</v>
      </c>
    </row>
    <row r="1506" spans="1:4" x14ac:dyDescent="0.2">
      <c r="A1506" s="5">
        <v>1445</v>
      </c>
      <c r="B1506" s="138">
        <f>'Expenditures 15-22'!K276</f>
        <v>52624</v>
      </c>
      <c r="C1506" s="2" t="s">
        <v>572</v>
      </c>
      <c r="D1506" s="2" t="str">
        <f t="shared" si="22"/>
        <v>Error?</v>
      </c>
    </row>
    <row r="1507" spans="1:4" x14ac:dyDescent="0.2">
      <c r="A1507" s="10">
        <v>1446</v>
      </c>
      <c r="D1507" s="2" t="str">
        <f t="shared" si="22"/>
        <v>OK</v>
      </c>
    </row>
    <row r="1508" spans="1:4" x14ac:dyDescent="0.2">
      <c r="A1508" s="5">
        <v>1447</v>
      </c>
      <c r="B1508" s="138">
        <f>'Expenditures 15-22'!K277</f>
        <v>69754</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958416</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1381588</v>
      </c>
      <c r="C1517" s="2" t="s">
        <v>572</v>
      </c>
      <c r="D1517" s="2" t="str">
        <f t="shared" si="22"/>
        <v>Error?</v>
      </c>
    </row>
    <row r="1518" spans="1:4" x14ac:dyDescent="0.2">
      <c r="A1518" s="5">
        <v>1457</v>
      </c>
      <c r="B1518" s="138">
        <f>'Expenditures 15-22'!K296</f>
        <v>167224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11614889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12268532</v>
      </c>
      <c r="C1630" s="2" t="s">
        <v>572</v>
      </c>
      <c r="D1630" s="2" t="str">
        <f t="shared" si="24"/>
        <v>Error?</v>
      </c>
    </row>
    <row r="1631" spans="1:4" x14ac:dyDescent="0.2">
      <c r="A1631" s="5">
        <v>1570</v>
      </c>
      <c r="B1631" s="138">
        <f>'Acct Summary 7-8'!D79</f>
        <v>7428337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6181068</v>
      </c>
      <c r="C1644" s="2" t="s">
        <v>572</v>
      </c>
      <c r="D1644" s="2" t="str">
        <f t="shared" si="24"/>
        <v>Error?</v>
      </c>
    </row>
    <row r="1645" spans="1:4" x14ac:dyDescent="0.2">
      <c r="A1645" s="5">
        <v>1584</v>
      </c>
      <c r="B1645" s="138">
        <f>'Acct Summary 7-8'!E79</f>
        <v>3066402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2705531</v>
      </c>
      <c r="C1658" s="2" t="s">
        <v>572</v>
      </c>
      <c r="D1658" s="2" t="str">
        <f t="shared" si="24"/>
        <v>Error?</v>
      </c>
    </row>
    <row r="1659" spans="1:4" x14ac:dyDescent="0.2">
      <c r="A1659" s="5">
        <v>1598</v>
      </c>
      <c r="B1659" s="138">
        <f>'Acct Summary 7-8'!F79</f>
        <v>2277692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2550075</v>
      </c>
      <c r="C1672" s="2" t="s">
        <v>572</v>
      </c>
      <c r="D1672" s="2" t="str">
        <f t="shared" si="25"/>
        <v>Error?</v>
      </c>
    </row>
    <row r="1673" spans="1:4" x14ac:dyDescent="0.2">
      <c r="A1673" s="5">
        <v>1612</v>
      </c>
      <c r="B1673" s="138">
        <f>'Acct Summary 7-8'!G79</f>
        <v>1129164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1296388</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19819018</v>
      </c>
      <c r="C1744" s="2" t="s">
        <v>572</v>
      </c>
      <c r="D1744" s="2" t="str">
        <f t="shared" si="26"/>
        <v>Error?</v>
      </c>
    </row>
    <row r="1745" spans="1:5" x14ac:dyDescent="0.2">
      <c r="A1745" s="5">
        <v>1684</v>
      </c>
      <c r="B1745" s="138">
        <f>'Tax Sched 23'!B5</f>
        <v>3906494</v>
      </c>
      <c r="C1745" s="2" t="s">
        <v>572</v>
      </c>
      <c r="D1745" s="2" t="str">
        <f t="shared" si="26"/>
        <v>Error?</v>
      </c>
    </row>
    <row r="1746" spans="1:5" x14ac:dyDescent="0.2">
      <c r="A1746" s="5">
        <v>1685</v>
      </c>
      <c r="B1746" s="138">
        <f>'Tax Sched 23'!B6</f>
        <v>4789078</v>
      </c>
      <c r="C1746" s="2" t="s">
        <v>572</v>
      </c>
      <c r="D1746" s="2" t="str">
        <f t="shared" si="26"/>
        <v>Error?</v>
      </c>
    </row>
    <row r="1747" spans="1:5" x14ac:dyDescent="0.2">
      <c r="A1747" s="5">
        <v>1686</v>
      </c>
      <c r="B1747" s="138">
        <f>'Tax Sched 23'!B7</f>
        <v>1335058</v>
      </c>
      <c r="C1747" s="2" t="s">
        <v>572</v>
      </c>
      <c r="D1747" s="2" t="str">
        <f t="shared" si="26"/>
        <v>Error?</v>
      </c>
    </row>
    <row r="1748" spans="1:5" x14ac:dyDescent="0.2">
      <c r="A1748" s="5">
        <v>1687</v>
      </c>
      <c r="B1748" s="138">
        <f>'Tax Sched 23'!B8</f>
        <v>699080</v>
      </c>
      <c r="C1748" s="2" t="s">
        <v>572</v>
      </c>
      <c r="D1748" s="2" t="str">
        <f t="shared" si="26"/>
        <v>Error?</v>
      </c>
    </row>
    <row r="1749" spans="1:5" x14ac:dyDescent="0.2">
      <c r="A1749" s="5">
        <v>1688</v>
      </c>
      <c r="B1749" s="138">
        <f>'Tax Sched 23'!B10</f>
        <v>109048</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142750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31756092</v>
      </c>
      <c r="C1759" s="2" t="s">
        <v>572</v>
      </c>
      <c r="D1759" s="2" t="str">
        <f t="shared" si="26"/>
        <v>Error?</v>
      </c>
    </row>
    <row r="1760" spans="1:5" x14ac:dyDescent="0.2">
      <c r="A1760" s="5">
        <v>1699</v>
      </c>
      <c r="B1760" s="138">
        <f>'Tax Sched 23'!D4</f>
        <v>9086245</v>
      </c>
      <c r="C1760" s="2" t="s">
        <v>572</v>
      </c>
      <c r="D1760" s="2" t="str">
        <f t="shared" si="26"/>
        <v>Error?</v>
      </c>
    </row>
    <row r="1761" spans="1:5" x14ac:dyDescent="0.2">
      <c r="A1761" s="5">
        <v>1700</v>
      </c>
      <c r="B1761" s="138">
        <f>'Tax Sched 23'!D5</f>
        <v>1790918</v>
      </c>
      <c r="C1761" s="2" t="s">
        <v>572</v>
      </c>
      <c r="D1761" s="2" t="str">
        <f t="shared" si="26"/>
        <v>Error?</v>
      </c>
    </row>
    <row r="1762" spans="1:5" s="8" customFormat="1" x14ac:dyDescent="0.2">
      <c r="A1762" s="5">
        <v>1701</v>
      </c>
      <c r="B1762" s="138">
        <f>'Tax Sched 23'!D6</f>
        <v>2224276</v>
      </c>
      <c r="C1762" s="2" t="s">
        <v>572</v>
      </c>
      <c r="D1762" s="2" t="str">
        <f t="shared" si="26"/>
        <v>Error?</v>
      </c>
      <c r="E1762" s="9"/>
    </row>
    <row r="1763" spans="1:5" x14ac:dyDescent="0.2">
      <c r="A1763" s="5">
        <v>1702</v>
      </c>
      <c r="B1763" s="138">
        <f>'Tax Sched 23'!D7</f>
        <v>611969</v>
      </c>
      <c r="C1763" s="2" t="s">
        <v>572</v>
      </c>
      <c r="D1763" s="2" t="str">
        <f t="shared" si="26"/>
        <v>Error?</v>
      </c>
    </row>
    <row r="1764" spans="1:5" x14ac:dyDescent="0.2">
      <c r="A1764" s="5">
        <v>1703</v>
      </c>
      <c r="B1764" s="138">
        <f>'Tax Sched 23'!D8</f>
        <v>320539</v>
      </c>
      <c r="C1764" s="2" t="s">
        <v>572</v>
      </c>
      <c r="D1764" s="2" t="str">
        <f t="shared" si="26"/>
        <v>Error?</v>
      </c>
    </row>
    <row r="1765" spans="1:5" x14ac:dyDescent="0.2">
      <c r="A1765" s="5">
        <v>1704</v>
      </c>
      <c r="B1765" s="138">
        <f>'Tax Sched 23'!D10</f>
        <v>49950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65497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14587364</v>
      </c>
      <c r="C1775" s="2" t="s">
        <v>572</v>
      </c>
      <c r="D1775" s="2" t="str">
        <f t="shared" si="26"/>
        <v>Error?</v>
      </c>
    </row>
    <row r="1776" spans="1:5" x14ac:dyDescent="0.2">
      <c r="A1776" s="5">
        <v>1715</v>
      </c>
      <c r="B1776" s="138">
        <f>'Tax Sched 23'!C4</f>
        <v>10732773</v>
      </c>
      <c r="D1776" s="2" t="str">
        <f t="shared" si="26"/>
        <v>Error?</v>
      </c>
    </row>
    <row r="1777" spans="1:4" x14ac:dyDescent="0.2">
      <c r="A1777" s="5">
        <v>1716</v>
      </c>
      <c r="B1777" s="138">
        <f>'Tax Sched 23'!C5</f>
        <v>2115576</v>
      </c>
      <c r="D1777" s="2" t="str">
        <f t="shared" si="26"/>
        <v>Error?</v>
      </c>
    </row>
    <row r="1778" spans="1:4" x14ac:dyDescent="0.2">
      <c r="A1778" s="5">
        <v>1717</v>
      </c>
      <c r="B1778" s="138">
        <f>'Tax Sched 23'!C6</f>
        <v>2564802</v>
      </c>
      <c r="D1778" s="2" t="str">
        <f t="shared" si="26"/>
        <v>Error?</v>
      </c>
    </row>
    <row r="1779" spans="1:4" x14ac:dyDescent="0.2">
      <c r="A1779" s="5">
        <v>1718</v>
      </c>
      <c r="B1779" s="138">
        <f>'Tax Sched 23'!C7</f>
        <v>723089</v>
      </c>
      <c r="D1779" s="2" t="str">
        <f t="shared" si="26"/>
        <v>Error?</v>
      </c>
    </row>
    <row r="1780" spans="1:4" x14ac:dyDescent="0.2">
      <c r="A1780" s="5">
        <v>1719</v>
      </c>
      <c r="B1780" s="138">
        <f>'Tax Sched 23'!C8</f>
        <v>378541</v>
      </c>
      <c r="D1780" s="2" t="str">
        <f t="shared" si="26"/>
        <v>Error?</v>
      </c>
    </row>
    <row r="1781" spans="1:4" x14ac:dyDescent="0.2">
      <c r="A1781" s="5">
        <v>1720</v>
      </c>
      <c r="B1781" s="138">
        <f>'Tax Sched 23'!C10</f>
        <v>59098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77253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17168728</v>
      </c>
      <c r="C1791" s="2" t="s">
        <v>572</v>
      </c>
      <c r="D1791" s="2" t="str">
        <f t="shared" ref="D1791:D1854" si="27">IF(ISBLANK(B1791),"OK",IF(A1791-B1791=0,"OK","Error?"))</f>
        <v>Error?</v>
      </c>
    </row>
    <row r="1792" spans="1:4" x14ac:dyDescent="0.2">
      <c r="A1792" s="5">
        <v>1731</v>
      </c>
      <c r="B1792" s="138">
        <f>'Tax Sched 23'!F4</f>
        <v>11222525</v>
      </c>
      <c r="C1792" s="2" t="s">
        <v>572</v>
      </c>
      <c r="D1792" s="2" t="str">
        <f t="shared" si="27"/>
        <v>Error?</v>
      </c>
    </row>
    <row r="1793" spans="1:4" x14ac:dyDescent="0.2">
      <c r="A1793" s="5">
        <v>1732</v>
      </c>
      <c r="B1793" s="138">
        <f>'Tax Sched 23'!F5</f>
        <v>2212113</v>
      </c>
      <c r="C1793" s="2" t="s">
        <v>572</v>
      </c>
      <c r="D1793" s="2" t="str">
        <f t="shared" si="27"/>
        <v>Error?</v>
      </c>
    </row>
    <row r="1794" spans="1:4" x14ac:dyDescent="0.2">
      <c r="A1794" s="5">
        <v>1733</v>
      </c>
      <c r="B1794" s="138">
        <f>'Tax Sched 23'!F6</f>
        <v>2681840</v>
      </c>
      <c r="C1794" s="2" t="s">
        <v>572</v>
      </c>
      <c r="D1794" s="2" t="str">
        <f t="shared" si="27"/>
        <v>Error?</v>
      </c>
    </row>
    <row r="1795" spans="1:4" x14ac:dyDescent="0.2">
      <c r="A1795" s="5">
        <v>1734</v>
      </c>
      <c r="B1795" s="138">
        <f>'Tax Sched 23'!F7</f>
        <v>756085</v>
      </c>
      <c r="C1795" s="2" t="s">
        <v>572</v>
      </c>
      <c r="D1795" s="2" t="str">
        <f t="shared" si="27"/>
        <v>Error?</v>
      </c>
    </row>
    <row r="1796" spans="1:4" x14ac:dyDescent="0.2">
      <c r="A1796" s="5">
        <v>1735</v>
      </c>
      <c r="B1796" s="138">
        <f>'Tax Sched 23'!F8</f>
        <v>395813</v>
      </c>
      <c r="C1796" s="2" t="s">
        <v>572</v>
      </c>
      <c r="D1796" s="2" t="str">
        <f t="shared" si="27"/>
        <v>Error?</v>
      </c>
    </row>
    <row r="1797" spans="1:4" x14ac:dyDescent="0.2">
      <c r="A1797" s="5">
        <v>1736</v>
      </c>
      <c r="B1797" s="138">
        <f>'Tax Sched 23'!F10</f>
        <v>61796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80778</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17952164</v>
      </c>
      <c r="C1807" s="2" t="s">
        <v>572</v>
      </c>
      <c r="D1807" s="2" t="str">
        <f t="shared" si="27"/>
        <v>Error?</v>
      </c>
    </row>
    <row r="1808" spans="1:4" x14ac:dyDescent="0.2">
      <c r="A1808" s="5">
        <v>1747</v>
      </c>
      <c r="B1808" s="138">
        <f>'Tax Sched 23'!E4</f>
        <v>21955298</v>
      </c>
      <c r="D1808" s="2" t="str">
        <f t="shared" si="27"/>
        <v>Error?</v>
      </c>
    </row>
    <row r="1809" spans="1:4" x14ac:dyDescent="0.2">
      <c r="A1809" s="5">
        <v>1748</v>
      </c>
      <c r="B1809" s="138">
        <f>'Tax Sched 23'!E5</f>
        <v>4327689</v>
      </c>
      <c r="D1809" s="2" t="str">
        <f t="shared" si="27"/>
        <v>Error?</v>
      </c>
    </row>
    <row r="1810" spans="1:4" x14ac:dyDescent="0.2">
      <c r="A1810" s="5">
        <v>1749</v>
      </c>
      <c r="B1810" s="138">
        <f>'Tax Sched 23'!E6</f>
        <v>5246642</v>
      </c>
      <c r="D1810" s="2" t="str">
        <f t="shared" si="27"/>
        <v>Error?</v>
      </c>
    </row>
    <row r="1811" spans="1:4" x14ac:dyDescent="0.2">
      <c r="A1811" s="5">
        <v>1750</v>
      </c>
      <c r="B1811" s="138">
        <f>'Tax Sched 23'!E7</f>
        <v>1479174</v>
      </c>
      <c r="D1811" s="2" t="str">
        <f t="shared" si="27"/>
        <v>Error?</v>
      </c>
    </row>
    <row r="1812" spans="1:4" x14ac:dyDescent="0.2">
      <c r="A1812" s="5">
        <v>1751</v>
      </c>
      <c r="B1812" s="138">
        <f>'Tax Sched 23'!E8</f>
        <v>774354</v>
      </c>
      <c r="D1812" s="2" t="str">
        <f t="shared" si="27"/>
        <v>Error?</v>
      </c>
    </row>
    <row r="1813" spans="1:4" x14ac:dyDescent="0.2">
      <c r="A1813" s="5">
        <v>1752</v>
      </c>
      <c r="B1813" s="138">
        <f>'Tax Sched 23'!E10</f>
        <v>120894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158031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35120892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48990000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142750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142750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142750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4426429</v>
      </c>
      <c r="D2008" s="2" t="str">
        <f t="shared" si="30"/>
        <v>Error?</v>
      </c>
    </row>
    <row r="2009" spans="1:4" x14ac:dyDescent="0.2">
      <c r="A2009" s="5">
        <v>1948</v>
      </c>
      <c r="B2009" s="138">
        <f>'Cap Outlay Deprec 26'!C8</f>
        <v>111304746</v>
      </c>
      <c r="D2009" s="2" t="str">
        <f t="shared" si="30"/>
        <v>Error?</v>
      </c>
    </row>
    <row r="2010" spans="1:4" x14ac:dyDescent="0.2">
      <c r="A2010" s="5">
        <v>1949</v>
      </c>
      <c r="B2010" s="138">
        <f>'Cap Outlay Deprec 26'!C10</f>
        <v>8341565</v>
      </c>
      <c r="D2010" s="2" t="str">
        <f t="shared" si="30"/>
        <v>Error?</v>
      </c>
    </row>
    <row r="2011" spans="1:4" x14ac:dyDescent="0.2">
      <c r="A2011" s="5">
        <v>1950</v>
      </c>
      <c r="B2011" s="138">
        <f>'Cap Outlay Deprec 26'!C12</f>
        <v>10995394</v>
      </c>
      <c r="D2011" s="2" t="str">
        <f t="shared" si="30"/>
        <v>Error?</v>
      </c>
    </row>
    <row r="2012" spans="1:4" x14ac:dyDescent="0.2">
      <c r="A2012" s="5">
        <v>1951</v>
      </c>
      <c r="B2012" s="138">
        <f>'Cap Outlay Deprec 26'!C13</f>
        <v>4070917</v>
      </c>
      <c r="D2012" s="2" t="str">
        <f t="shared" si="30"/>
        <v>Error?</v>
      </c>
    </row>
    <row r="2013" spans="1:4" x14ac:dyDescent="0.2">
      <c r="A2013" s="5">
        <v>1952</v>
      </c>
      <c r="B2013" s="138">
        <f>'Cap Outlay Deprec 26'!C16</f>
        <v>139207330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227486</v>
      </c>
      <c r="D2015" s="2" t="str">
        <f t="shared" si="30"/>
        <v>Error?</v>
      </c>
    </row>
    <row r="2016" spans="1:4" x14ac:dyDescent="0.2">
      <c r="A2016" s="5">
        <v>1955</v>
      </c>
      <c r="B2016" s="138">
        <f>'Cap Outlay Deprec 26'!D10</f>
        <v>1124383</v>
      </c>
      <c r="D2016" s="2" t="str">
        <f t="shared" si="30"/>
        <v>Error?</v>
      </c>
    </row>
    <row r="2017" spans="1:4" x14ac:dyDescent="0.2">
      <c r="A2017" s="5">
        <v>1956</v>
      </c>
      <c r="B2017" s="138">
        <f>'Cap Outlay Deprec 26'!D12</f>
        <v>25877</v>
      </c>
      <c r="D2017" s="2" t="str">
        <f t="shared" si="30"/>
        <v>Error?</v>
      </c>
    </row>
    <row r="2018" spans="1:4" x14ac:dyDescent="0.2">
      <c r="A2018" s="5">
        <v>1957</v>
      </c>
      <c r="B2018" s="138">
        <f>'Cap Outlay Deprec 26'!D13</f>
        <v>294785</v>
      </c>
      <c r="D2018" s="2" t="str">
        <f t="shared" si="30"/>
        <v>Error?</v>
      </c>
    </row>
    <row r="2019" spans="1:4" x14ac:dyDescent="0.2">
      <c r="A2019" s="5">
        <v>1958</v>
      </c>
      <c r="B2019" s="138">
        <f>'Cap Outlay Deprec 26'!D16</f>
        <v>1703313</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60424</v>
      </c>
      <c r="D2024" s="2" t="str">
        <f t="shared" si="30"/>
        <v>Error?</v>
      </c>
    </row>
    <row r="2025" spans="1:4" x14ac:dyDescent="0.2">
      <c r="A2025" s="5">
        <v>1964</v>
      </c>
      <c r="B2025" s="138">
        <f>'Cap Outlay Deprec 26'!E16</f>
        <v>128703</v>
      </c>
      <c r="C2025" s="2" t="s">
        <v>572</v>
      </c>
      <c r="D2025" s="2" t="str">
        <f t="shared" si="30"/>
        <v>Error?</v>
      </c>
    </row>
    <row r="2026" spans="1:4" x14ac:dyDescent="0.2">
      <c r="A2026" s="5">
        <v>1965</v>
      </c>
      <c r="B2026" s="138">
        <f>'Cap Outlay Deprec 26'!F5</f>
        <v>4426429</v>
      </c>
      <c r="C2026" s="2" t="s">
        <v>572</v>
      </c>
      <c r="D2026" s="2" t="str">
        <f t="shared" si="30"/>
        <v>Error?</v>
      </c>
    </row>
    <row r="2027" spans="1:4" x14ac:dyDescent="0.2">
      <c r="A2027" s="5">
        <v>1966</v>
      </c>
      <c r="B2027" s="138">
        <f>'Cap Outlay Deprec 26'!F8</f>
        <v>111532232</v>
      </c>
      <c r="C2027" s="2" t="s">
        <v>572</v>
      </c>
      <c r="D2027" s="2" t="str">
        <f t="shared" si="30"/>
        <v>Error?</v>
      </c>
    </row>
    <row r="2028" spans="1:4" x14ac:dyDescent="0.2">
      <c r="A2028" s="5">
        <v>1967</v>
      </c>
      <c r="B2028" s="138">
        <f>'Cap Outlay Deprec 26'!F10</f>
        <v>9465948</v>
      </c>
      <c r="C2028" s="2" t="s">
        <v>572</v>
      </c>
      <c r="D2028" s="2" t="str">
        <f t="shared" si="30"/>
        <v>Error?</v>
      </c>
    </row>
    <row r="2029" spans="1:4" x14ac:dyDescent="0.2">
      <c r="A2029" s="5">
        <v>1968</v>
      </c>
      <c r="B2029" s="138">
        <f>'Cap Outlay Deprec 26'!F12</f>
        <v>11021271</v>
      </c>
      <c r="C2029" s="2" t="s">
        <v>572</v>
      </c>
      <c r="D2029" s="2" t="str">
        <f t="shared" si="30"/>
        <v>Error?</v>
      </c>
    </row>
    <row r="2030" spans="1:4" x14ac:dyDescent="0.2">
      <c r="A2030" s="5">
        <v>1969</v>
      </c>
      <c r="B2030" s="138">
        <f>'Cap Outlay Deprec 26'!F13</f>
        <v>4305278</v>
      </c>
      <c r="C2030" s="2" t="s">
        <v>572</v>
      </c>
      <c r="D2030" s="2" t="str">
        <f t="shared" si="30"/>
        <v>Error?</v>
      </c>
    </row>
    <row r="2031" spans="1:4" x14ac:dyDescent="0.2">
      <c r="A2031" s="5">
        <v>1970</v>
      </c>
      <c r="B2031" s="138">
        <f>'Cap Outlay Deprec 26'!F16</f>
        <v>140781940</v>
      </c>
      <c r="C2031" s="2" t="s">
        <v>572</v>
      </c>
      <c r="D2031" s="2" t="str">
        <f t="shared" si="30"/>
        <v>Error?</v>
      </c>
    </row>
    <row r="2032" spans="1:4" x14ac:dyDescent="0.2">
      <c r="A2032" s="10">
        <v>1971</v>
      </c>
      <c r="D2032" s="2" t="str">
        <f t="shared" si="30"/>
        <v>OK</v>
      </c>
    </row>
    <row r="2033" spans="1:4" x14ac:dyDescent="0.2">
      <c r="A2033" s="5">
        <v>1972</v>
      </c>
      <c r="B2033" s="138">
        <f>'Cap Outlay Deprec 26'!H8</f>
        <v>5631714</v>
      </c>
      <c r="D2033" s="2" t="str">
        <f t="shared" si="30"/>
        <v>Error?</v>
      </c>
    </row>
    <row r="2034" spans="1:4" x14ac:dyDescent="0.2">
      <c r="A2034" s="5">
        <v>1973</v>
      </c>
      <c r="B2034" s="138">
        <f>'Cap Outlay Deprec 26'!H10</f>
        <v>814706</v>
      </c>
      <c r="D2034" s="2" t="str">
        <f t="shared" si="30"/>
        <v>Error?</v>
      </c>
    </row>
    <row r="2035" spans="1:4" x14ac:dyDescent="0.2">
      <c r="A2035" s="5">
        <v>1974</v>
      </c>
      <c r="B2035" s="138">
        <f>'Cap Outlay Deprec 26'!H12</f>
        <v>3631106</v>
      </c>
      <c r="D2035" s="2" t="str">
        <f t="shared" si="30"/>
        <v>Error?</v>
      </c>
    </row>
    <row r="2036" spans="1:4" x14ac:dyDescent="0.2">
      <c r="A2036" s="5">
        <v>1975</v>
      </c>
      <c r="B2036" s="138">
        <f>'Cap Outlay Deprec 26'!H13</f>
        <v>903342</v>
      </c>
      <c r="D2036" s="2" t="str">
        <f t="shared" si="30"/>
        <v>Error?</v>
      </c>
    </row>
    <row r="2037" spans="1:4" x14ac:dyDescent="0.2">
      <c r="A2037" s="5">
        <v>1976</v>
      </c>
      <c r="B2037" s="138">
        <f>'Cap Outlay Deprec 26'!H16</f>
        <v>10980868</v>
      </c>
      <c r="C2037" s="2" t="s">
        <v>572</v>
      </c>
      <c r="D2037" s="2" t="str">
        <f t="shared" si="30"/>
        <v>Error?</v>
      </c>
    </row>
    <row r="2038" spans="1:4" x14ac:dyDescent="0.2">
      <c r="A2038" s="10">
        <v>1977</v>
      </c>
      <c r="D2038" s="2" t="str">
        <f t="shared" si="30"/>
        <v>OK</v>
      </c>
    </row>
    <row r="2039" spans="1:4" x14ac:dyDescent="0.2">
      <c r="A2039" s="5">
        <v>1978</v>
      </c>
      <c r="B2039" s="138">
        <f>'Cap Outlay Deprec 26'!I8</f>
        <v>1055219</v>
      </c>
      <c r="D2039" s="2" t="str">
        <f t="shared" si="30"/>
        <v>Error?</v>
      </c>
    </row>
    <row r="2040" spans="1:4" x14ac:dyDescent="0.2">
      <c r="A2040" s="5">
        <v>1979</v>
      </c>
      <c r="B2040" s="138">
        <f>'Cap Outlay Deprec 26'!I10</f>
        <v>220483</v>
      </c>
      <c r="D2040" s="2" t="str">
        <f t="shared" si="30"/>
        <v>Error?</v>
      </c>
    </row>
    <row r="2041" spans="1:4" x14ac:dyDescent="0.2">
      <c r="A2041" s="5">
        <v>1980</v>
      </c>
      <c r="B2041" s="138">
        <f>'Cap Outlay Deprec 26'!I12</f>
        <v>613971</v>
      </c>
      <c r="D2041" s="2" t="str">
        <f t="shared" si="30"/>
        <v>Error?</v>
      </c>
    </row>
    <row r="2042" spans="1:4" x14ac:dyDescent="0.2">
      <c r="A2042" s="5">
        <v>1981</v>
      </c>
      <c r="B2042" s="138">
        <f>'Cap Outlay Deprec 26'!I13</f>
        <v>108481</v>
      </c>
      <c r="D2042" s="2" t="str">
        <f t="shared" si="30"/>
        <v>Error?</v>
      </c>
    </row>
    <row r="2043" spans="1:4" x14ac:dyDescent="0.2">
      <c r="A2043" s="5">
        <v>1982</v>
      </c>
      <c r="B2043" s="138">
        <f>'Cap Outlay Deprec 26'!I16</f>
        <v>1998154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60424</v>
      </c>
      <c r="D2048" s="2" t="str">
        <f t="shared" si="31"/>
        <v>Error?</v>
      </c>
    </row>
    <row r="2049" spans="1:4" x14ac:dyDescent="0.2">
      <c r="A2049" s="5">
        <v>1988</v>
      </c>
      <c r="B2049" s="138">
        <f>'Cap Outlay Deprec 26'!J16</f>
        <v>60424</v>
      </c>
      <c r="C2049" s="2" t="s">
        <v>572</v>
      </c>
      <c r="D2049" s="2" t="str">
        <f t="shared" si="31"/>
        <v>Error?</v>
      </c>
    </row>
    <row r="2050" spans="1:4" x14ac:dyDescent="0.2">
      <c r="A2050" s="10">
        <v>1989</v>
      </c>
      <c r="D2050" s="2" t="str">
        <f t="shared" si="31"/>
        <v>OK</v>
      </c>
    </row>
    <row r="2051" spans="1:4" x14ac:dyDescent="0.2">
      <c r="A2051" s="5">
        <v>1990</v>
      </c>
      <c r="B2051" s="138">
        <f>'Cap Outlay Deprec 26'!K8</f>
        <v>6686933</v>
      </c>
      <c r="C2051" s="2" t="s">
        <v>572</v>
      </c>
      <c r="D2051" s="2" t="str">
        <f t="shared" si="31"/>
        <v>Error?</v>
      </c>
    </row>
    <row r="2052" spans="1:4" x14ac:dyDescent="0.2">
      <c r="A2052" s="5">
        <v>1991</v>
      </c>
      <c r="B2052" s="138">
        <f>'Cap Outlay Deprec 26'!K10</f>
        <v>1035189</v>
      </c>
      <c r="C2052" s="2" t="s">
        <v>572</v>
      </c>
      <c r="D2052" s="2" t="str">
        <f t="shared" si="31"/>
        <v>Error?</v>
      </c>
    </row>
    <row r="2053" spans="1:4" x14ac:dyDescent="0.2">
      <c r="A2053" s="5">
        <v>1992</v>
      </c>
      <c r="B2053" s="138">
        <f>'Cap Outlay Deprec 26'!K12</f>
        <v>4245077</v>
      </c>
      <c r="C2053" s="2" t="s">
        <v>572</v>
      </c>
      <c r="D2053" s="2" t="str">
        <f t="shared" si="31"/>
        <v>Error?</v>
      </c>
    </row>
    <row r="2054" spans="1:4" x14ac:dyDescent="0.2">
      <c r="A2054" s="5">
        <v>1993</v>
      </c>
      <c r="B2054" s="138">
        <f>'Cap Outlay Deprec 26'!K13</f>
        <v>951399</v>
      </c>
      <c r="C2054" s="2" t="s">
        <v>572</v>
      </c>
      <c r="D2054" s="2" t="str">
        <f t="shared" si="31"/>
        <v>Error?</v>
      </c>
    </row>
    <row r="2055" spans="1:4" x14ac:dyDescent="0.2">
      <c r="A2055" s="5">
        <v>1994</v>
      </c>
      <c r="B2055" s="138">
        <f>'Cap Outlay Deprec 26'!K16</f>
        <v>12918598</v>
      </c>
      <c r="C2055" s="2" t="s">
        <v>572</v>
      </c>
      <c r="D2055" s="2" t="str">
        <f t="shared" si="31"/>
        <v>Error?</v>
      </c>
    </row>
    <row r="2056" spans="1:4" x14ac:dyDescent="0.2">
      <c r="A2056" s="5">
        <v>1995</v>
      </c>
      <c r="B2056" s="138">
        <f>'Cap Outlay Deprec 26'!L5</f>
        <v>4426429</v>
      </c>
      <c r="C2056" s="2" t="s">
        <v>572</v>
      </c>
      <c r="D2056" s="2" t="str">
        <f t="shared" si="31"/>
        <v>Error?</v>
      </c>
    </row>
    <row r="2057" spans="1:4" x14ac:dyDescent="0.2">
      <c r="A2057" s="5">
        <v>1996</v>
      </c>
      <c r="B2057" s="138">
        <f>'Cap Outlay Deprec 26'!L8</f>
        <v>104845299</v>
      </c>
      <c r="C2057" s="2" t="s">
        <v>572</v>
      </c>
      <c r="D2057" s="2" t="str">
        <f t="shared" si="31"/>
        <v>Error?</v>
      </c>
    </row>
    <row r="2058" spans="1:4" x14ac:dyDescent="0.2">
      <c r="A2058" s="5">
        <v>1997</v>
      </c>
      <c r="B2058" s="138">
        <f>'Cap Outlay Deprec 26'!L10</f>
        <v>8430759</v>
      </c>
      <c r="C2058" s="2" t="s">
        <v>572</v>
      </c>
      <c r="D2058" s="2" t="str">
        <f t="shared" si="31"/>
        <v>Error?</v>
      </c>
    </row>
    <row r="2059" spans="1:4" x14ac:dyDescent="0.2">
      <c r="A2059" s="5">
        <v>1998</v>
      </c>
      <c r="B2059" s="138">
        <f>'Cap Outlay Deprec 26'!L12</f>
        <v>6776194</v>
      </c>
      <c r="C2059" s="2" t="s">
        <v>572</v>
      </c>
      <c r="D2059" s="2" t="str">
        <f t="shared" si="31"/>
        <v>Error?</v>
      </c>
    </row>
    <row r="2060" spans="1:4" x14ac:dyDescent="0.2">
      <c r="A2060" s="5">
        <v>1999</v>
      </c>
      <c r="B2060" s="138">
        <f>'Cap Outlay Deprec 26'!L13</f>
        <v>3353879</v>
      </c>
      <c r="C2060" s="2" t="s">
        <v>572</v>
      </c>
      <c r="D2060" s="2" t="str">
        <f t="shared" si="31"/>
        <v>Error?</v>
      </c>
    </row>
    <row r="2061" spans="1:4" x14ac:dyDescent="0.2">
      <c r="A2061" s="5">
        <v>2000</v>
      </c>
      <c r="B2061" s="138">
        <f>'Cap Outlay Deprec 26'!L16</f>
        <v>127863342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20350</v>
      </c>
      <c r="C2088" s="2" t="s">
        <v>572</v>
      </c>
      <c r="D2088" s="2" t="str">
        <f t="shared" si="31"/>
        <v>Error?</v>
      </c>
    </row>
    <row r="2089" spans="1:4" x14ac:dyDescent="0.2">
      <c r="A2089" s="5">
        <v>2028</v>
      </c>
      <c r="B2089" s="138">
        <f>'Expenditures 15-22'!K92</f>
        <v>412154</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1849467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571667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23235247</v>
      </c>
      <c r="C2551" s="2" t="s">
        <v>572</v>
      </c>
      <c r="D2551" s="2" t="str">
        <f t="shared" si="38"/>
        <v>Error?</v>
      </c>
    </row>
    <row r="2552" spans="1:4" x14ac:dyDescent="0.2">
      <c r="A2552" s="10">
        <v>2491</v>
      </c>
      <c r="D2552" s="2" t="str">
        <f t="shared" si="38"/>
        <v>OK</v>
      </c>
    </row>
    <row r="2553" spans="1:4" x14ac:dyDescent="0.2">
      <c r="A2553" s="5">
        <v>2492</v>
      </c>
      <c r="B2553" s="138">
        <f>'Acct Summary 7-8'!C6</f>
        <v>8815066</v>
      </c>
      <c r="C2553" s="2" t="s">
        <v>572</v>
      </c>
      <c r="D2553" s="2" t="str">
        <f t="shared" si="38"/>
        <v>Error?</v>
      </c>
    </row>
    <row r="2554" spans="1:4" x14ac:dyDescent="0.2">
      <c r="A2554" s="5">
        <v>2493</v>
      </c>
      <c r="B2554" s="138">
        <f>'Acct Summary 7-8'!C7</f>
        <v>2399229</v>
      </c>
      <c r="C2554" s="2" t="s">
        <v>572</v>
      </c>
      <c r="D2554" s="2" t="str">
        <f t="shared" si="38"/>
        <v>Error?</v>
      </c>
    </row>
    <row r="2555" spans="1:4" x14ac:dyDescent="0.2">
      <c r="A2555" s="5">
        <v>2494</v>
      </c>
      <c r="B2555" s="138">
        <f>'Acct Summary 7-8'!C8</f>
        <v>34449542</v>
      </c>
      <c r="C2555" s="2" t="s">
        <v>572</v>
      </c>
      <c r="D2555" s="2" t="str">
        <f t="shared" si="38"/>
        <v>Error?</v>
      </c>
    </row>
    <row r="2556" spans="1:4" x14ac:dyDescent="0.2">
      <c r="A2556" s="5">
        <v>2495</v>
      </c>
      <c r="B2556" s="138">
        <f>'Acct Summary 7-8'!C12</f>
        <v>22889319</v>
      </c>
      <c r="C2556" s="2" t="s">
        <v>572</v>
      </c>
      <c r="D2556" s="2" t="str">
        <f t="shared" si="38"/>
        <v>Error?</v>
      </c>
    </row>
    <row r="2557" spans="1:4" x14ac:dyDescent="0.2">
      <c r="A2557" s="5">
        <v>2496</v>
      </c>
      <c r="B2557" s="138">
        <f>'Acct Summary 7-8'!C13</f>
        <v>10464089</v>
      </c>
      <c r="C2557" s="2" t="s">
        <v>572</v>
      </c>
      <c r="D2557" s="2" t="str">
        <f t="shared" si="38"/>
        <v>Error?</v>
      </c>
    </row>
    <row r="2558" spans="1:4" x14ac:dyDescent="0.2">
      <c r="A2558" s="5">
        <v>2497</v>
      </c>
      <c r="B2558" s="138">
        <f>'Acct Summary 7-8'!C14</f>
        <v>9987</v>
      </c>
      <c r="C2558" s="2" t="s">
        <v>572</v>
      </c>
      <c r="D2558" s="2" t="str">
        <f t="shared" si="38"/>
        <v>Error?</v>
      </c>
    </row>
    <row r="2559" spans="1:4" x14ac:dyDescent="0.2">
      <c r="A2559" s="5">
        <v>2498</v>
      </c>
      <c r="B2559" s="138">
        <f>'Acct Summary 7-8'!C15</f>
        <v>432504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33795899</v>
      </c>
      <c r="C2561" s="2" t="s">
        <v>572</v>
      </c>
      <c r="D2561" s="2" t="str">
        <f t="shared" si="39"/>
        <v>Error?</v>
      </c>
    </row>
    <row r="2562" spans="1:4" x14ac:dyDescent="0.2">
      <c r="A2562" s="5">
        <v>2501</v>
      </c>
      <c r="B2562" s="138">
        <f>'Acct Summary 7-8'!C20</f>
        <v>653643</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4132895</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4132895</v>
      </c>
      <c r="C2568" s="2" t="s">
        <v>572</v>
      </c>
      <c r="D2568" s="2" t="str">
        <f t="shared" si="39"/>
        <v>Error?</v>
      </c>
    </row>
    <row r="2569" spans="1:4" x14ac:dyDescent="0.2">
      <c r="A2569" s="5">
        <v>2508</v>
      </c>
      <c r="B2569" s="138">
        <f>'Acct Summary 7-8'!D13</f>
        <v>5380164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5380164</v>
      </c>
      <c r="C2573" s="2" t="s">
        <v>572</v>
      </c>
      <c r="D2573" s="2" t="str">
        <f t="shared" si="39"/>
        <v>Error?</v>
      </c>
    </row>
    <row r="2574" spans="1:4" x14ac:dyDescent="0.2">
      <c r="A2574" s="5">
        <v>2513</v>
      </c>
      <c r="B2574" s="138">
        <f>'Acct Summary 7-8'!D20</f>
        <v>-1247269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1577402</v>
      </c>
      <c r="C2591" s="2" t="s">
        <v>572</v>
      </c>
      <c r="D2591" s="2" t="str">
        <f t="shared" si="39"/>
        <v>Error?</v>
      </c>
    </row>
    <row r="2592" spans="1:4" x14ac:dyDescent="0.2">
      <c r="A2592" s="10">
        <v>2531</v>
      </c>
      <c r="D2592" s="2" t="str">
        <f t="shared" si="39"/>
        <v>OK</v>
      </c>
    </row>
    <row r="2593" spans="1:4" x14ac:dyDescent="0.2">
      <c r="A2593" s="5">
        <v>2532</v>
      </c>
      <c r="B2593" s="138">
        <f>'Acct Summary 7-8'!F6</f>
        <v>760308</v>
      </c>
      <c r="C2593" s="2" t="s">
        <v>572</v>
      </c>
      <c r="D2593" s="2" t="str">
        <f t="shared" si="39"/>
        <v>Error?</v>
      </c>
    </row>
    <row r="2594" spans="1:4" x14ac:dyDescent="0.2">
      <c r="A2594" s="5">
        <v>2533</v>
      </c>
      <c r="B2594" s="138">
        <f>'Acct Summary 7-8'!F7</f>
        <v>410</v>
      </c>
      <c r="C2594" s="2" t="s">
        <v>572</v>
      </c>
      <c r="D2594" s="2" t="str">
        <f t="shared" si="39"/>
        <v>Error?</v>
      </c>
    </row>
    <row r="2595" spans="1:4" x14ac:dyDescent="0.2">
      <c r="A2595" s="5">
        <v>2534</v>
      </c>
      <c r="B2595" s="138">
        <f>'Acct Summary 7-8'!F8</f>
        <v>2338120</v>
      </c>
      <c r="C2595" s="2" t="s">
        <v>572</v>
      </c>
      <c r="D2595" s="2" t="str">
        <f t="shared" si="39"/>
        <v>Error?</v>
      </c>
    </row>
    <row r="2596" spans="1:4" x14ac:dyDescent="0.2">
      <c r="A2596" s="5">
        <v>2535</v>
      </c>
      <c r="B2596" s="138">
        <f>'Acct Summary 7-8'!F13</f>
        <v>2065737</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2065737</v>
      </c>
      <c r="C2600" s="2" t="s">
        <v>572</v>
      </c>
      <c r="D2600" s="2" t="str">
        <f t="shared" si="39"/>
        <v>Error?</v>
      </c>
    </row>
    <row r="2601" spans="1:4" x14ac:dyDescent="0.2">
      <c r="A2601" s="5">
        <v>2540</v>
      </c>
      <c r="B2601" s="138">
        <f>'Acct Summary 7-8'!F20</f>
        <v>272383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1548812</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1548812</v>
      </c>
      <c r="C2606" s="2" t="s">
        <v>572</v>
      </c>
      <c r="D2606" s="2" t="str">
        <f t="shared" si="39"/>
        <v>Error?</v>
      </c>
    </row>
    <row r="2607" spans="1:4" x14ac:dyDescent="0.2">
      <c r="A2607" s="5">
        <v>2546</v>
      </c>
      <c r="B2607" s="138">
        <f>'Acct Summary 7-8'!G12</f>
        <v>423172</v>
      </c>
      <c r="C2607" s="2" t="s">
        <v>572</v>
      </c>
      <c r="D2607" s="2" t="str">
        <f t="shared" si="39"/>
        <v>Error?</v>
      </c>
    </row>
    <row r="2608" spans="1:4" x14ac:dyDescent="0.2">
      <c r="A2608" s="5">
        <v>2547</v>
      </c>
      <c r="B2608" s="138">
        <f>'Acct Summary 7-8'!G13</f>
        <v>958416</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1381588</v>
      </c>
      <c r="C2612" s="2" t="s">
        <v>572</v>
      </c>
      <c r="D2612" s="2" t="str">
        <f t="shared" si="39"/>
        <v>Error?</v>
      </c>
    </row>
    <row r="2613" spans="1:4" x14ac:dyDescent="0.2">
      <c r="A2613" s="5">
        <v>2552</v>
      </c>
      <c r="B2613" s="138">
        <f>'Acct Summary 7-8'!G20</f>
        <v>167224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4791657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4849769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5210640</v>
      </c>
      <c r="C2634" s="2" t="s">
        <v>572</v>
      </c>
      <c r="D2634" s="2" t="str">
        <f t="shared" si="40"/>
        <v>Error?</v>
      </c>
    </row>
    <row r="2635" spans="1:4" x14ac:dyDescent="0.2">
      <c r="A2635" s="5">
        <v>2574</v>
      </c>
      <c r="B2635" s="138">
        <f>'Acct Summary 7-8'!E17</f>
        <v>5210640</v>
      </c>
      <c r="C2635" s="2" t="s">
        <v>572</v>
      </c>
      <c r="D2635" s="2" t="str">
        <f t="shared" si="40"/>
        <v>Error?</v>
      </c>
    </row>
    <row r="2636" spans="1:4" x14ac:dyDescent="0.2">
      <c r="A2636" s="5">
        <v>2575</v>
      </c>
      <c r="B2636" s="138">
        <f>'Acct Summary 7-8'!E20</f>
        <v>-360871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299379</v>
      </c>
      <c r="D2718" s="2" t="str">
        <f t="shared" si="41"/>
        <v>Error?</v>
      </c>
    </row>
    <row r="2719" spans="1:4" x14ac:dyDescent="0.2">
      <c r="A2719" s="5">
        <v>2658</v>
      </c>
      <c r="B2719" s="138">
        <f>'Expenditures 15-22'!D51</f>
        <v>68149</v>
      </c>
      <c r="D2719" s="2" t="str">
        <f t="shared" si="41"/>
        <v>Error?</v>
      </c>
    </row>
    <row r="2720" spans="1:4" x14ac:dyDescent="0.2">
      <c r="A2720" s="5">
        <v>2659</v>
      </c>
      <c r="B2720" s="138">
        <f>'Expenditures 15-22'!E51</f>
        <v>4356</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371884</v>
      </c>
      <c r="C2724" s="2" t="s">
        <v>572</v>
      </c>
      <c r="D2724" s="2" t="str">
        <f t="shared" si="41"/>
        <v>Error?</v>
      </c>
    </row>
    <row r="2725" spans="1:4" x14ac:dyDescent="0.2">
      <c r="A2725" s="5">
        <v>2664</v>
      </c>
      <c r="B2725" s="138">
        <f>'Expenditures 15-22'!D247</f>
        <v>9824</v>
      </c>
      <c r="D2725" s="2" t="str">
        <f t="shared" si="41"/>
        <v>Error?</v>
      </c>
    </row>
    <row r="2726" spans="1:4" x14ac:dyDescent="0.2">
      <c r="A2726" s="5">
        <v>2665</v>
      </c>
      <c r="B2726" s="138">
        <f>'Expenditures 15-22'!K247</f>
        <v>9824</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20350</v>
      </c>
      <c r="C2789" s="2" t="s">
        <v>572</v>
      </c>
      <c r="D2789" s="2" t="str">
        <f t="shared" si="42"/>
        <v>Error?</v>
      </c>
    </row>
    <row r="2790" spans="1:4" x14ac:dyDescent="0.2">
      <c r="A2790" s="5">
        <v>2729</v>
      </c>
      <c r="B2790" s="138">
        <f>'Expenditures 15-22'!E102</f>
        <v>20350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30782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2393308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700922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2393308</v>
      </c>
      <c r="D2912" s="2" t="str">
        <f t="shared" si="44"/>
        <v>Error?</v>
      </c>
    </row>
    <row r="2913" spans="1:4" x14ac:dyDescent="0.2">
      <c r="A2913" s="5">
        <v>2852</v>
      </c>
      <c r="B2913" s="138">
        <f>'Assets-Liab 5-6'!I41</f>
        <v>2393308</v>
      </c>
      <c r="C2913" s="2" t="s">
        <v>572</v>
      </c>
      <c r="D2913" s="2" t="str">
        <f t="shared" si="44"/>
        <v>Error?</v>
      </c>
    </row>
    <row r="2914" spans="1:4" x14ac:dyDescent="0.2">
      <c r="A2914" s="5">
        <v>2853</v>
      </c>
      <c r="B2914" s="138">
        <f>'Assets-Liab 5-6'!L33</f>
        <v>700922</v>
      </c>
      <c r="D2914" s="2" t="str">
        <f t="shared" si="44"/>
        <v>Error?</v>
      </c>
    </row>
    <row r="2915" spans="1:4" x14ac:dyDescent="0.2">
      <c r="A2915" s="10">
        <v>2854</v>
      </c>
      <c r="D2915" s="2" t="str">
        <f t="shared" si="44"/>
        <v>OK</v>
      </c>
    </row>
    <row r="2916" spans="1:4" x14ac:dyDescent="0.2">
      <c r="A2916" s="5">
        <v>2855</v>
      </c>
      <c r="B2916" s="138">
        <f>'Assets-Liab 5-6'!L34</f>
        <v>700922</v>
      </c>
      <c r="C2916" s="2" t="s">
        <v>572</v>
      </c>
      <c r="D2916" s="2" t="str">
        <f t="shared" si="44"/>
        <v>Error?</v>
      </c>
    </row>
    <row r="2917" spans="1:4" x14ac:dyDescent="0.2">
      <c r="A2917" s="5">
        <v>2856</v>
      </c>
      <c r="B2917" s="138">
        <f>'Assets-Liab 5-6'!L41</f>
        <v>700922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17510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2840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17510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2840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131091</v>
      </c>
      <c r="C3225" s="2" t="s">
        <v>572</v>
      </c>
      <c r="D3225" s="2" t="str">
        <f t="shared" si="49"/>
        <v>Error?</v>
      </c>
    </row>
    <row r="3226" spans="1:4" x14ac:dyDescent="0.2">
      <c r="A3226" s="5">
        <v>3165</v>
      </c>
      <c r="B3226" s="138">
        <f>'Acct Summary 7-8'!I8</f>
        <v>131091</v>
      </c>
      <c r="C3226" s="2" t="s">
        <v>572</v>
      </c>
      <c r="D3226" s="2" t="str">
        <f t="shared" si="49"/>
        <v>Error?</v>
      </c>
    </row>
    <row r="3227" spans="1:4" x14ac:dyDescent="0.2">
      <c r="A3227" s="5">
        <v>3166</v>
      </c>
      <c r="B3227" s="138">
        <f>'Acct Summary 7-8'!I20</f>
        <v>131091</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653643</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-1247269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272383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167224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-360871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131091</v>
      </c>
      <c r="C3320" s="2" t="s">
        <v>572</v>
      </c>
      <c r="D3320" s="2" t="str">
        <f t="shared" si="50"/>
        <v>Error?</v>
      </c>
    </row>
    <row r="3321" spans="1:4" x14ac:dyDescent="0.2">
      <c r="A3321" s="5">
        <v>3260</v>
      </c>
      <c r="B3321" s="138">
        <f>'Acct Summary 7-8'!I79</f>
        <v>2262217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2393308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2593884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691319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20577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18790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3324570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196257</v>
      </c>
      <c r="D3387" s="2" t="str">
        <f t="shared" si="51"/>
        <v>Error?</v>
      </c>
    </row>
    <row r="3388" spans="1:4" x14ac:dyDescent="0.2">
      <c r="A3388" s="5">
        <v>3327</v>
      </c>
      <c r="B3388" s="138">
        <f>'Expenditures 15-22'!D217</f>
        <v>181190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196257</v>
      </c>
      <c r="C3390" s="2" t="s">
        <v>572</v>
      </c>
      <c r="D3390" s="2" t="str">
        <f t="shared" si="51"/>
        <v>Error?</v>
      </c>
    </row>
    <row r="3391" spans="1:4" x14ac:dyDescent="0.2">
      <c r="A3391" s="5">
        <v>3330</v>
      </c>
      <c r="B3391" s="138">
        <f>'Expenditures 15-22'!K217</f>
        <v>181190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2176727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6218205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2705531</v>
      </c>
      <c r="D3417" s="2" t="str">
        <f t="shared" si="52"/>
        <v>Error?</v>
      </c>
    </row>
    <row r="3418" spans="1:4" x14ac:dyDescent="0.2">
      <c r="A3418" s="10">
        <v>3357</v>
      </c>
      <c r="D3418" s="2" t="str">
        <f t="shared" si="52"/>
        <v>OK</v>
      </c>
    </row>
    <row r="3419" spans="1:4" x14ac:dyDescent="0.2">
      <c r="A3419" s="5">
        <v>3358</v>
      </c>
      <c r="B3419" s="138">
        <f>'Assets-Liab 5-6'!F4</f>
        <v>2553294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1299831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2393308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700922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812816</v>
      </c>
      <c r="C3446" s="2" t="s">
        <v>572</v>
      </c>
      <c r="D3446" s="2" t="str">
        <f t="shared" si="52"/>
        <v>Error?</v>
      </c>
    </row>
    <row r="3447" spans="1:4" x14ac:dyDescent="0.2">
      <c r="A3447" s="5">
        <v>3386</v>
      </c>
      <c r="B3447" s="138">
        <f>'Tax Sched 23'!D16</f>
        <v>372473</v>
      </c>
      <c r="C3447" s="2" t="s">
        <v>572</v>
      </c>
      <c r="D3447" s="2" t="str">
        <f t="shared" si="52"/>
        <v>Error?</v>
      </c>
    </row>
    <row r="3448" spans="1:4" x14ac:dyDescent="0.2">
      <c r="A3448" s="5">
        <v>3387</v>
      </c>
      <c r="B3448" s="138">
        <f>'Tax Sched 23'!C16</f>
        <v>440343</v>
      </c>
      <c r="D3448" s="2" t="str">
        <f t="shared" si="52"/>
        <v>Error?</v>
      </c>
    </row>
    <row r="3449" spans="1:4" x14ac:dyDescent="0.2">
      <c r="A3449" s="5">
        <v>3388</v>
      </c>
      <c r="B3449" s="138">
        <f>'Tax Sched 23'!F16</f>
        <v>460436</v>
      </c>
      <c r="C3449" s="2" t="s">
        <v>572</v>
      </c>
      <c r="D3449" s="2" t="str">
        <f t="shared" si="52"/>
        <v>Error?</v>
      </c>
    </row>
    <row r="3450" spans="1:4" x14ac:dyDescent="0.2">
      <c r="A3450" s="5">
        <v>3389</v>
      </c>
      <c r="B3450" s="138">
        <f>'Tax Sched 23'!E16</f>
        <v>900779</v>
      </c>
      <c r="D3450" s="2" t="str">
        <f t="shared" si="52"/>
        <v>Error?</v>
      </c>
    </row>
    <row r="3451" spans="1:4" x14ac:dyDescent="0.2">
      <c r="A3451" s="5">
        <v>3390</v>
      </c>
      <c r="B3451" s="138">
        <f>'Cap Outlay Deprec 26'!C15</f>
        <v>68279</v>
      </c>
      <c r="D3451" s="2" t="str">
        <f t="shared" si="52"/>
        <v>Error?</v>
      </c>
    </row>
    <row r="3452" spans="1:4" x14ac:dyDescent="0.2">
      <c r="A3452" s="5">
        <v>3391</v>
      </c>
      <c r="B3452" s="138">
        <f>'Cap Outlay Deprec 26'!D15</f>
        <v>30782</v>
      </c>
      <c r="D3452" s="2" t="str">
        <f t="shared" si="52"/>
        <v>Error?</v>
      </c>
    </row>
    <row r="3453" spans="1:4" x14ac:dyDescent="0.2">
      <c r="A3453" s="5">
        <v>3392</v>
      </c>
      <c r="B3453" s="138">
        <f>'Cap Outlay Deprec 26'!E15</f>
        <v>68279</v>
      </c>
      <c r="D3453" s="2" t="str">
        <f t="shared" si="52"/>
        <v>Error?</v>
      </c>
    </row>
    <row r="3454" spans="1:4" x14ac:dyDescent="0.2">
      <c r="A3454" s="5">
        <v>3393</v>
      </c>
      <c r="B3454" s="138">
        <f>'Cap Outlay Deprec 26'!F15</f>
        <v>30782</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30782</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839154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839154</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839154</v>
      </c>
      <c r="D3567" s="2" t="str">
        <f t="shared" si="54"/>
        <v>Error?</v>
      </c>
    </row>
    <row r="3568" spans="1:4" x14ac:dyDescent="0.2">
      <c r="A3568" s="5">
        <v>3507</v>
      </c>
      <c r="B3568" s="138">
        <f>'Assets-Liab 5-6'!K41</f>
        <v>839154</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107588</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107588</v>
      </c>
      <c r="C3575" s="2" t="s">
        <v>572</v>
      </c>
      <c r="D3575" s="2" t="str">
        <f t="shared" si="54"/>
        <v>Error?</v>
      </c>
    </row>
    <row r="3576" spans="1:4" x14ac:dyDescent="0.2">
      <c r="A3576" s="5">
        <v>3515</v>
      </c>
      <c r="B3576" s="138">
        <f>'Acct Summary 7-8'!K20</f>
        <v>-107588</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-107588</v>
      </c>
      <c r="C3588" s="2" t="s">
        <v>572</v>
      </c>
      <c r="D3588" s="2" t="str">
        <f t="shared" si="55"/>
        <v>Error?</v>
      </c>
    </row>
    <row r="3589" spans="1:4" x14ac:dyDescent="0.2">
      <c r="A3589" s="5">
        <v>3528</v>
      </c>
      <c r="B3589" s="138">
        <f>'Acct Summary 7-8'!K79</f>
        <v>946742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839154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107588</v>
      </c>
      <c r="D3646" s="2" t="str">
        <f t="shared" si="55"/>
        <v>Error?</v>
      </c>
    </row>
    <row r="3647" spans="1:4" x14ac:dyDescent="0.2">
      <c r="A3647" s="5">
        <v>3586</v>
      </c>
      <c r="B3647" s="138">
        <f>'Expenditures 15-22'!G350</f>
        <v>107588</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107588</v>
      </c>
      <c r="C3649" s="2" t="s">
        <v>572</v>
      </c>
      <c r="D3649" s="2" t="str">
        <f t="shared" si="56"/>
        <v>Error?</v>
      </c>
    </row>
    <row r="3650" spans="1:4" x14ac:dyDescent="0.2">
      <c r="A3650" s="5">
        <v>3589</v>
      </c>
      <c r="B3650" s="138">
        <f>'Expenditures 15-22'!G367</f>
        <v>107588</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107588</v>
      </c>
      <c r="C3669" s="2" t="s">
        <v>572</v>
      </c>
      <c r="D3669" s="2" t="str">
        <f t="shared" si="56"/>
        <v>Error?</v>
      </c>
    </row>
    <row r="3670" spans="1:4" x14ac:dyDescent="0.2">
      <c r="A3670" s="5">
        <v>3609</v>
      </c>
      <c r="B3670" s="138">
        <f>'Expenditures 15-22'!K350</f>
        <v>107588</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107588</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107588</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-107588</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142750</v>
      </c>
      <c r="C3725" s="2" t="s">
        <v>572</v>
      </c>
      <c r="D3725" s="2" t="str">
        <f t="shared" si="57"/>
        <v>Error?</v>
      </c>
    </row>
    <row r="3726" spans="1:4" x14ac:dyDescent="0.2">
      <c r="A3726" s="5">
        <v>3665</v>
      </c>
      <c r="B3726" s="138">
        <f>'Tax Sched 23'!D13</f>
        <v>65497</v>
      </c>
      <c r="C3726" s="2" t="s">
        <v>572</v>
      </c>
      <c r="D3726" s="2" t="str">
        <f t="shared" si="57"/>
        <v>Error?</v>
      </c>
    </row>
    <row r="3727" spans="1:4" x14ac:dyDescent="0.2">
      <c r="A3727" s="5">
        <v>3666</v>
      </c>
      <c r="B3727" s="138">
        <f>'Tax Sched 23'!C13</f>
        <v>77253</v>
      </c>
      <c r="D3727" s="2" t="str">
        <f t="shared" si="57"/>
        <v>Error?</v>
      </c>
    </row>
    <row r="3728" spans="1:4" x14ac:dyDescent="0.2">
      <c r="A3728" s="5">
        <v>3667</v>
      </c>
      <c r="B3728" s="138">
        <f>'Tax Sched 23'!F13</f>
        <v>80778</v>
      </c>
      <c r="C3728" s="2" t="s">
        <v>572</v>
      </c>
      <c r="D3728" s="2" t="str">
        <f t="shared" si="57"/>
        <v>Error?</v>
      </c>
    </row>
    <row r="3729" spans="1:4" x14ac:dyDescent="0.2">
      <c r="A3729" s="5">
        <v>3668</v>
      </c>
      <c r="B3729" s="138">
        <f>'Tax Sched 23'!E13</f>
        <v>158031</v>
      </c>
      <c r="D3729" s="2" t="str">
        <f t="shared" si="57"/>
        <v>Error?</v>
      </c>
    </row>
    <row r="3730" spans="1:4" x14ac:dyDescent="0.2">
      <c r="A3730" s="5">
        <v>3669</v>
      </c>
      <c r="B3730" s="138">
        <f>'ICR Computation 30'!E10</f>
        <v>453552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2193567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36643109</v>
      </c>
      <c r="C4122" s="2" t="s">
        <v>572</v>
      </c>
      <c r="D4122" s="2" t="str">
        <f t="shared" si="63"/>
        <v>Error?</v>
      </c>
    </row>
    <row r="4123" spans="1:4" x14ac:dyDescent="0.2">
      <c r="A4123" s="5">
        <v>4062</v>
      </c>
      <c r="B4123" s="138">
        <f>'Acct Summary 7-8'!D10</f>
        <v>4132895</v>
      </c>
      <c r="C4123" s="2" t="s">
        <v>572</v>
      </c>
      <c r="D4123" s="2" t="str">
        <f t="shared" si="63"/>
        <v>Error?</v>
      </c>
    </row>
    <row r="4124" spans="1:4" x14ac:dyDescent="0.2">
      <c r="A4124" s="5">
        <v>4063</v>
      </c>
      <c r="B4124" s="138">
        <f>'Acct Summary 7-8'!E10</f>
        <v>4849769</v>
      </c>
      <c r="C4124" s="2" t="s">
        <v>572</v>
      </c>
      <c r="D4124" s="2" t="str">
        <f t="shared" si="63"/>
        <v>Error?</v>
      </c>
    </row>
    <row r="4125" spans="1:4" x14ac:dyDescent="0.2">
      <c r="A4125" s="5">
        <v>4064</v>
      </c>
      <c r="B4125" s="138">
        <f>'Acct Summary 7-8'!F10</f>
        <v>2338120</v>
      </c>
      <c r="C4125" s="2" t="s">
        <v>572</v>
      </c>
      <c r="D4125" s="2" t="str">
        <f t="shared" si="63"/>
        <v>Error?</v>
      </c>
    </row>
    <row r="4126" spans="1:4" x14ac:dyDescent="0.2">
      <c r="A4126" s="5">
        <v>4065</v>
      </c>
      <c r="B4126" s="138">
        <f>'Acct Summary 7-8'!G10</f>
        <v>1548812</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131091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2193567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35989466</v>
      </c>
      <c r="C4136" s="2" t="s">
        <v>572</v>
      </c>
      <c r="D4136" s="2" t="str">
        <f t="shared" si="63"/>
        <v>Error?</v>
      </c>
    </row>
    <row r="4137" spans="1:4" x14ac:dyDescent="0.2">
      <c r="A4137" s="5">
        <v>4076</v>
      </c>
      <c r="B4137" s="138">
        <f>'Acct Summary 7-8'!D19</f>
        <v>5380164</v>
      </c>
      <c r="C4137" s="2" t="s">
        <v>572</v>
      </c>
      <c r="D4137" s="2" t="str">
        <f t="shared" si="63"/>
        <v>Error?</v>
      </c>
    </row>
    <row r="4138" spans="1:4" x14ac:dyDescent="0.2">
      <c r="A4138" s="5">
        <v>4077</v>
      </c>
      <c r="B4138" s="138">
        <f>'Acct Summary 7-8'!E19</f>
        <v>5210640</v>
      </c>
      <c r="C4138" s="2" t="s">
        <v>572</v>
      </c>
      <c r="D4138" s="2" t="str">
        <f t="shared" si="63"/>
        <v>Error?</v>
      </c>
    </row>
    <row r="4139" spans="1:4" x14ac:dyDescent="0.2">
      <c r="A4139" s="5">
        <v>4078</v>
      </c>
      <c r="B4139" s="138">
        <f>'Acct Summary 7-8'!F19</f>
        <v>2065737</v>
      </c>
      <c r="C4139" s="2" t="s">
        <v>572</v>
      </c>
      <c r="D4139" s="2" t="str">
        <f t="shared" si="63"/>
        <v>Error?</v>
      </c>
    </row>
    <row r="4140" spans="1:4" x14ac:dyDescent="0.2">
      <c r="A4140" s="5">
        <v>4079</v>
      </c>
      <c r="B4140" s="138">
        <f>'Acct Summary 7-8'!G19</f>
        <v>1381588</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107588</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45635000</v>
      </c>
      <c r="C4171" s="2" t="s">
        <v>572</v>
      </c>
      <c r="D4171" s="2" t="str">
        <f t="shared" si="64"/>
        <v>Error?</v>
      </c>
    </row>
    <row r="4172" spans="1:4" x14ac:dyDescent="0.2">
      <c r="A4172" s="5">
        <v>4111</v>
      </c>
      <c r="B4172" s="138">
        <f>'Short-Term Long-Term Debt 24'!J49</f>
        <v>42929469</v>
      </c>
      <c r="C4172" s="2" t="s">
        <v>572</v>
      </c>
      <c r="D4172" s="2" t="str">
        <f t="shared" si="64"/>
        <v>Error?</v>
      </c>
    </row>
    <row r="4173" spans="1:4" x14ac:dyDescent="0.2">
      <c r="A4173" s="5">
        <v>4112</v>
      </c>
      <c r="B4173" s="138">
        <f>'Short-Term Long-Term Debt 24'!H49</f>
        <v>3355000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2778.6000000000004</v>
      </c>
      <c r="C4265" s="2" t="s">
        <v>572</v>
      </c>
      <c r="D4265" s="2" t="str">
        <f t="shared" si="65"/>
        <v>Error?</v>
      </c>
      <c r="E4265" s="128"/>
    </row>
    <row r="4266" spans="1:5" x14ac:dyDescent="0.2">
      <c r="A4266" s="12">
        <v>4205</v>
      </c>
      <c r="B4266" s="138">
        <f>('FP Info 3'!F10)*100000</f>
        <v>547.70000000000005</v>
      </c>
      <c r="C4266" s="2" t="s">
        <v>572</v>
      </c>
      <c r="D4266" s="2" t="str">
        <f t="shared" si="65"/>
        <v>Error?</v>
      </c>
      <c r="E4266" s="128"/>
    </row>
    <row r="4267" spans="1:5" x14ac:dyDescent="0.2">
      <c r="A4267" s="12">
        <v>4206</v>
      </c>
      <c r="B4267" s="138">
        <f>('FP Info 3'!H10)*100000</f>
        <v>187.2</v>
      </c>
      <c r="C4267" s="2" t="s">
        <v>572</v>
      </c>
      <c r="D4267" s="2" t="str">
        <f t="shared" si="65"/>
        <v>Error?</v>
      </c>
      <c r="E4267" s="128"/>
    </row>
    <row r="4268" spans="1:5" x14ac:dyDescent="0.2">
      <c r="A4268" s="12">
        <v>4207</v>
      </c>
      <c r="B4268" s="138">
        <f>('FP Info 3'!J10)*100000</f>
        <v>3513.9999999999995</v>
      </c>
      <c r="C4268" s="2" t="s">
        <v>572</v>
      </c>
      <c r="D4268" s="2" t="str">
        <f t="shared" si="65"/>
        <v>Error?</v>
      </c>
    </row>
    <row r="4269" spans="1:5" x14ac:dyDescent="0.2">
      <c r="A4269" s="12">
        <v>4208</v>
      </c>
      <c r="B4269" s="138">
        <f>'FP Info 3'!J16</f>
        <v>23392983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6573</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60121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88868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6573</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104571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58112</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15.3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58112</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11228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63955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790156855</v>
      </c>
      <c r="D4995" s="2" t="str">
        <f t="shared" si="77"/>
        <v>Error?</v>
      </c>
    </row>
    <row r="4996" spans="1:4" x14ac:dyDescent="0.2">
      <c r="A4996" s="12">
        <v>4935</v>
      </c>
      <c r="B4996" s="138">
        <f>'FP Info 3'!H31</f>
        <v>109041645.99000001</v>
      </c>
      <c r="D4996" s="2" t="str">
        <f t="shared" si="77"/>
        <v>Error?</v>
      </c>
    </row>
    <row r="4997" spans="1:4" x14ac:dyDescent="0.2">
      <c r="A4997" s="12">
        <v>4936</v>
      </c>
      <c r="B4997" s="138">
        <f>'FP Info 3'!H37</f>
        <v>45635000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142750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19819018</v>
      </c>
      <c r="D5061" s="2" t="str">
        <f t="shared" si="78"/>
        <v>Error?</v>
      </c>
    </row>
    <row r="5062" spans="1:4" x14ac:dyDescent="0.2">
      <c r="A5062" s="10">
        <v>5001</v>
      </c>
      <c r="D5062" s="2" t="str">
        <f t="shared" si="78"/>
        <v>OK</v>
      </c>
    </row>
    <row r="5063" spans="1:4" x14ac:dyDescent="0.2">
      <c r="A5063" s="5">
        <v>5002</v>
      </c>
      <c r="B5063" s="138">
        <f>'Revenues 9-14'!C7</f>
        <v>142750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20104518</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18350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18350</v>
      </c>
      <c r="C5087" s="2" t="s">
        <v>572</v>
      </c>
      <c r="D5087" s="2" t="str">
        <f t="shared" si="78"/>
        <v>Error?</v>
      </c>
    </row>
    <row r="5088" spans="1:4" x14ac:dyDescent="0.2">
      <c r="A5088" s="5">
        <v>5027</v>
      </c>
      <c r="B5088" s="138">
        <f>'Revenues 9-14'!C65</f>
        <v>223260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223260</v>
      </c>
      <c r="C5090" s="2" t="s">
        <v>572</v>
      </c>
      <c r="D5090" s="2" t="str">
        <f t="shared" si="78"/>
        <v>Error?</v>
      </c>
    </row>
    <row r="5091" spans="1:4" x14ac:dyDescent="0.2">
      <c r="A5091" s="5">
        <v>5030</v>
      </c>
      <c r="B5091" s="138">
        <f>'Revenues 9-14'!C70</f>
        <v>51901</v>
      </c>
      <c r="D5091" s="2" t="str">
        <f t="shared" si="78"/>
        <v>Error?</v>
      </c>
    </row>
    <row r="5092" spans="1:4" x14ac:dyDescent="0.2">
      <c r="A5092" s="5">
        <v>5031</v>
      </c>
      <c r="B5092" s="138">
        <f>'Revenues 9-14'!C71</f>
        <v>995967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35931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1660423</v>
      </c>
      <c r="C5096" s="2" t="s">
        <v>572</v>
      </c>
      <c r="D5096" s="2" t="str">
        <f t="shared" si="78"/>
        <v>Error?</v>
      </c>
    </row>
    <row r="5097" spans="1:4" x14ac:dyDescent="0.2">
      <c r="A5097" s="5">
        <v>5036</v>
      </c>
      <c r="B5097" s="138">
        <f>'Revenues 9-14'!C77</f>
        <v>91029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184665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99517</v>
      </c>
      <c r="D5101" s="2" t="str">
        <f t="shared" si="78"/>
        <v>Error?</v>
      </c>
    </row>
    <row r="5102" spans="1:4" x14ac:dyDescent="0.2">
      <c r="A5102" s="5">
        <v>5041</v>
      </c>
      <c r="B5102" s="138">
        <f>'Revenues 9-14'!C82</f>
        <v>375211</v>
      </c>
      <c r="C5102" s="2" t="s">
        <v>572</v>
      </c>
      <c r="D5102" s="2" t="str">
        <f t="shared" si="78"/>
        <v>Error?</v>
      </c>
    </row>
    <row r="5103" spans="1:4" x14ac:dyDescent="0.2">
      <c r="A5103" s="5">
        <v>5042</v>
      </c>
      <c r="B5103" s="138">
        <f>'Revenues 9-14'!C84</f>
        <v>555902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16983</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572885</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36214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60449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98792</v>
      </c>
      <c r="D5119" s="2" t="str">
        <f t="shared" ref="D5119:D5182" si="79">IF(ISBLANK(B5119),"OK",IF(A5119-B5119=0,"OK","Error?"))</f>
        <v>Error?</v>
      </c>
    </row>
    <row r="5120" spans="1:4" x14ac:dyDescent="0.2">
      <c r="A5120" s="5">
        <v>5059</v>
      </c>
      <c r="B5120" s="138">
        <f>'Revenues 9-14'!C108</f>
        <v>280600</v>
      </c>
      <c r="C5120" s="2" t="s">
        <v>572</v>
      </c>
      <c r="D5120" s="2" t="str">
        <f t="shared" si="79"/>
        <v>Error?</v>
      </c>
    </row>
    <row r="5121" spans="1:4" x14ac:dyDescent="0.2">
      <c r="A5121" s="5">
        <v>5060</v>
      </c>
      <c r="B5121" s="138">
        <f>'Revenues 9-14'!C109</f>
        <v>23235247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7704225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7704225</v>
      </c>
      <c r="C5132" s="2" t="s">
        <v>572</v>
      </c>
      <c r="D5132" s="2" t="str">
        <f t="shared" si="79"/>
        <v>Error?</v>
      </c>
    </row>
    <row r="5133" spans="1:4" x14ac:dyDescent="0.2">
      <c r="A5133" s="5">
        <v>5072</v>
      </c>
      <c r="B5133" s="138">
        <f>'Revenues 9-14'!C125</f>
        <v>505046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128423</v>
      </c>
      <c r="D5137" s="2" t="str">
        <f t="shared" si="79"/>
        <v>Error?</v>
      </c>
    </row>
    <row r="5138" spans="1:4" x14ac:dyDescent="0.2">
      <c r="A5138" s="10">
        <v>5077</v>
      </c>
      <c r="D5138" s="2" t="str">
        <f t="shared" si="79"/>
        <v>OK</v>
      </c>
    </row>
    <row r="5139" spans="1:4" x14ac:dyDescent="0.2">
      <c r="A5139" s="5">
        <v>5078</v>
      </c>
      <c r="B5139" s="138">
        <f>'Revenues 9-14'!C129</f>
        <v>14754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648223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6629</v>
      </c>
      <c r="D5167" s="2" t="str">
        <f t="shared" si="79"/>
        <v>Error?</v>
      </c>
    </row>
    <row r="5168" spans="1:4" x14ac:dyDescent="0.2">
      <c r="A5168" s="5">
        <v>5107</v>
      </c>
      <c r="B5168" s="138">
        <f>'Revenues 9-14'!C148</f>
        <v>64980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379781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1110841</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8815066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388014</v>
      </c>
      <c r="D5239" s="2" t="str">
        <f t="shared" si="80"/>
        <v>Error?</v>
      </c>
    </row>
    <row r="5240" spans="1:4" x14ac:dyDescent="0.2">
      <c r="A5240" s="5">
        <v>5179</v>
      </c>
      <c r="B5240" s="138">
        <f>'Revenues 9-14'!C192</f>
        <v>1540</v>
      </c>
      <c r="D5240" s="2" t="str">
        <f t="shared" si="80"/>
        <v>Error?</v>
      </c>
    </row>
    <row r="5241" spans="1:4" x14ac:dyDescent="0.2">
      <c r="A5241" s="5">
        <v>5180</v>
      </c>
      <c r="B5241" s="138">
        <f>'Revenues 9-14'!C193</f>
        <v>63998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453552</v>
      </c>
      <c r="C5246" s="2" t="s">
        <v>572</v>
      </c>
      <c r="D5246" s="2" t="str">
        <f t="shared" si="80"/>
        <v>Error?</v>
      </c>
    </row>
    <row r="5247" spans="1:4" x14ac:dyDescent="0.2">
      <c r="A5247" s="5">
        <v>5186</v>
      </c>
      <c r="B5247" s="138">
        <f>'Revenues 9-14'!C200</f>
        <v>442741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442741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29854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807606</v>
      </c>
      <c r="D5278" s="2" t="str">
        <f t="shared" si="81"/>
        <v>Error?</v>
      </c>
    </row>
    <row r="5279" spans="1:4" x14ac:dyDescent="0.2">
      <c r="A5279" s="5">
        <v>5218</v>
      </c>
      <c r="B5279" s="138">
        <f>'Revenues 9-14'!C214</f>
        <v>341388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1178848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2399229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2399229</v>
      </c>
      <c r="C5326" s="2" t="s">
        <v>572</v>
      </c>
      <c r="D5326" s="2" t="str">
        <f t="shared" si="82"/>
        <v>Error?</v>
      </c>
    </row>
    <row r="5327" spans="1:5" x14ac:dyDescent="0.2">
      <c r="A5327" s="5">
        <v>5266</v>
      </c>
      <c r="B5327" s="138">
        <f>'Revenues 9-14'!C268</f>
        <v>34449542</v>
      </c>
      <c r="C5327" s="2" t="s">
        <v>572</v>
      </c>
      <c r="D5327" s="2" t="str">
        <f t="shared" si="82"/>
        <v>Error?</v>
      </c>
    </row>
    <row r="5328" spans="1:5" x14ac:dyDescent="0.2">
      <c r="A5328" s="5">
        <v>5267</v>
      </c>
      <c r="B5328" s="138">
        <f>'Revenues 9-14'!D5</f>
        <v>3906494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3906494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75733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75733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144406</v>
      </c>
      <c r="D5349" s="2" t="str">
        <f t="shared" si="82"/>
        <v>Error?</v>
      </c>
    </row>
    <row r="5350" spans="1:4" x14ac:dyDescent="0.2">
      <c r="A5350" s="5">
        <v>5289</v>
      </c>
      <c r="B5350" s="138">
        <f>'Revenues 9-14'!D96</f>
        <v>3354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244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2664</v>
      </c>
      <c r="D5354" s="2" t="str">
        <f t="shared" si="82"/>
        <v>Error?</v>
      </c>
    </row>
    <row r="5355" spans="1:4" x14ac:dyDescent="0.2">
      <c r="A5355" s="5">
        <v>5294</v>
      </c>
      <c r="B5355" s="138">
        <f>'Revenues 9-14'!D108</f>
        <v>150668</v>
      </c>
      <c r="C5355" s="2" t="s">
        <v>572</v>
      </c>
      <c r="D5355" s="2" t="str">
        <f t="shared" si="82"/>
        <v>Error?</v>
      </c>
    </row>
    <row r="5356" spans="1:4" x14ac:dyDescent="0.2">
      <c r="A5356" s="5">
        <v>5295</v>
      </c>
      <c r="B5356" s="138">
        <f>'Revenues 9-14'!D109</f>
        <v>4132895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4132895</v>
      </c>
      <c r="C5508" s="2" t="s">
        <v>572</v>
      </c>
      <c r="D5508" s="2" t="str">
        <f t="shared" si="85"/>
        <v>Error?</v>
      </c>
    </row>
    <row r="5509" spans="1:4" x14ac:dyDescent="0.2">
      <c r="A5509" s="5">
        <v>5448</v>
      </c>
      <c r="B5509" s="138">
        <f>'Revenues 9-14'!E5</f>
        <v>4789078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4789078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2579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2579</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4791657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4849769</v>
      </c>
      <c r="C5552" s="2" t="s">
        <v>572</v>
      </c>
      <c r="D5552" s="2" t="str">
        <f t="shared" si="85"/>
        <v>Error?</v>
      </c>
    </row>
    <row r="5553" spans="1:4" x14ac:dyDescent="0.2">
      <c r="A5553" s="5">
        <v>5492</v>
      </c>
      <c r="B5553" s="138">
        <f>'Revenues 9-14'!F5</f>
        <v>1335058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1335058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198086</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198086</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714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714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2385</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41159</v>
      </c>
      <c r="D5586" s="2" t="str">
        <f t="shared" si="86"/>
        <v>Error?</v>
      </c>
    </row>
    <row r="5587" spans="1:4" x14ac:dyDescent="0.2">
      <c r="A5587" s="5">
        <v>5526</v>
      </c>
      <c r="B5587" s="138">
        <f>'Revenues 9-14'!F108</f>
        <v>43544</v>
      </c>
      <c r="C5587" s="2" t="s">
        <v>572</v>
      </c>
      <c r="D5587" s="2" t="str">
        <f t="shared" si="86"/>
        <v>Error?</v>
      </c>
    </row>
    <row r="5588" spans="1:4" x14ac:dyDescent="0.2">
      <c r="A5588" s="5">
        <v>5527</v>
      </c>
      <c r="B5588" s="138">
        <f>'Revenues 9-14'!F109</f>
        <v>1577402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555732</v>
      </c>
      <c r="D5615" s="2" t="str">
        <f t="shared" si="86"/>
        <v>Error?</v>
      </c>
    </row>
    <row r="5616" spans="1:4" x14ac:dyDescent="0.2">
      <c r="A5616" s="10">
        <v>5555</v>
      </c>
      <c r="D5616" s="2" t="str">
        <f t="shared" si="86"/>
        <v>OK</v>
      </c>
    </row>
    <row r="5617" spans="1:5" x14ac:dyDescent="0.2">
      <c r="A5617" s="5">
        <v>5556</v>
      </c>
      <c r="B5617" s="138">
        <f>'Revenues 9-14'!F153</f>
        <v>152001</v>
      </c>
      <c r="D5617" s="2" t="str">
        <f t="shared" si="86"/>
        <v>Error?</v>
      </c>
    </row>
    <row r="5618" spans="1:5" x14ac:dyDescent="0.2">
      <c r="A5618" s="5">
        <v>5557</v>
      </c>
      <c r="B5618" s="138">
        <f>'Revenues 9-14'!F155</f>
        <v>707733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52575</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760308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760308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410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410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410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410</v>
      </c>
      <c r="C5719" s="2" t="s">
        <v>572</v>
      </c>
      <c r="D5719" s="2" t="str">
        <f t="shared" si="88"/>
        <v>Error?</v>
      </c>
    </row>
    <row r="5720" spans="1:4" x14ac:dyDescent="0.2">
      <c r="A5720" s="5">
        <v>5659</v>
      </c>
      <c r="B5720" s="138">
        <f>'Revenues 9-14'!F268</f>
        <v>2338120</v>
      </c>
      <c r="C5720" s="2" t="s">
        <v>572</v>
      </c>
      <c r="D5720" s="2" t="str">
        <f t="shared" si="88"/>
        <v>Error?</v>
      </c>
    </row>
    <row r="5721" spans="1:4" x14ac:dyDescent="0.2">
      <c r="A5721" s="5">
        <v>5660</v>
      </c>
      <c r="B5721" s="138">
        <f>'Revenues 9-14'!G5</f>
        <v>699080</v>
      </c>
      <c r="D5721" s="2" t="str">
        <f t="shared" si="88"/>
        <v>Error?</v>
      </c>
    </row>
    <row r="5722" spans="1:4" x14ac:dyDescent="0.2">
      <c r="A5722" s="5">
        <v>5661</v>
      </c>
      <c r="B5722" s="138">
        <f>'Revenues 9-14'!G7</f>
        <v>0</v>
      </c>
      <c r="D5722" s="2" t="str">
        <f t="shared" si="88"/>
        <v>Error?</v>
      </c>
    </row>
    <row r="5723" spans="1:4" x14ac:dyDescent="0.2">
      <c r="A5723" s="5">
        <v>5662</v>
      </c>
      <c r="B5723" s="138">
        <f>'Revenues 9-14'!G8</f>
        <v>812816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1511896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36107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36107</v>
      </c>
      <c r="C5730" s="2" t="s">
        <v>572</v>
      </c>
      <c r="D5730" s="2" t="str">
        <f t="shared" si="88"/>
        <v>Error?</v>
      </c>
    </row>
    <row r="5731" spans="1:4" x14ac:dyDescent="0.2">
      <c r="A5731" s="5">
        <v>5670</v>
      </c>
      <c r="B5731" s="138">
        <f>'Revenues 9-14'!G65</f>
        <v>809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809</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1548812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109048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109048</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22043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22043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131091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1548812</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131091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576624</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105911</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4339.6000000000004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653643</v>
      </c>
      <c r="D6267" s="2" t="str">
        <f t="shared" si="96"/>
        <v>Error?</v>
      </c>
      <c r="E6267" s="2" t="s">
        <v>190</v>
      </c>
    </row>
    <row r="6268" spans="1:5" x14ac:dyDescent="0.2">
      <c r="A6268">
        <v>6207</v>
      </c>
      <c r="B6268" s="138">
        <f>'Acct Summary 7-8'!D82</f>
        <v>-1247269</v>
      </c>
      <c r="D6268" s="2" t="str">
        <f t="shared" si="96"/>
        <v>Error?</v>
      </c>
      <c r="E6268" s="2" t="s">
        <v>190</v>
      </c>
    </row>
    <row r="6269" spans="1:5" x14ac:dyDescent="0.2">
      <c r="A6269">
        <v>6208</v>
      </c>
      <c r="B6269" s="138">
        <f>'Acct Summary 7-8'!E82</f>
        <v>-360871</v>
      </c>
      <c r="D6269" s="2" t="str">
        <f t="shared" si="96"/>
        <v>Error?</v>
      </c>
      <c r="E6269" s="2" t="s">
        <v>190</v>
      </c>
    </row>
    <row r="6270" spans="1:5" x14ac:dyDescent="0.2">
      <c r="A6270">
        <v>6209</v>
      </c>
      <c r="B6270" s="138">
        <f>'Acct Summary 7-8'!F82</f>
        <v>272383</v>
      </c>
      <c r="D6270" s="2" t="str">
        <f t="shared" si="96"/>
        <v>Error?</v>
      </c>
      <c r="E6270" s="2" t="s">
        <v>190</v>
      </c>
    </row>
    <row r="6271" spans="1:5" x14ac:dyDescent="0.2">
      <c r="A6271">
        <v>6210</v>
      </c>
      <c r="B6271" s="138">
        <f>'Acct Summary 7-8'!G82</f>
        <v>167224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131091</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-107588</v>
      </c>
      <c r="D6275" s="2" t="str">
        <f t="shared" si="97"/>
        <v>Error?</v>
      </c>
      <c r="E6275" s="2" t="s">
        <v>190</v>
      </c>
    </row>
    <row r="6276" spans="1:5" x14ac:dyDescent="0.2">
      <c r="A6276">
        <v>6215</v>
      </c>
      <c r="B6276" s="138">
        <f>'Acct Summary 7-8'!C83</f>
        <v>5.3278012397897319E-2</v>
      </c>
      <c r="D6276" s="2" t="str">
        <f t="shared" si="97"/>
        <v>Error?</v>
      </c>
      <c r="E6276" s="2" t="s">
        <v>190</v>
      </c>
    </row>
    <row r="6277" spans="1:5" x14ac:dyDescent="0.2">
      <c r="A6277">
        <v>6216</v>
      </c>
      <c r="B6277" s="138">
        <f>'Acct Summary 7-8'!D83</f>
        <v>-0.20178859058013923</v>
      </c>
      <c r="D6277" s="2" t="str">
        <f t="shared" si="97"/>
        <v>Error?</v>
      </c>
      <c r="E6277" s="2" t="s">
        <v>190</v>
      </c>
    </row>
    <row r="6278" spans="1:5" x14ac:dyDescent="0.2">
      <c r="A6278">
        <v>6217</v>
      </c>
      <c r="B6278" s="138">
        <f>'Acct Summary 7-8'!E83</f>
        <v>-0.13338268901742395</v>
      </c>
      <c r="D6278" s="2" t="str">
        <f t="shared" si="97"/>
        <v>Error?</v>
      </c>
      <c r="E6278" s="2" t="s">
        <v>190</v>
      </c>
    </row>
    <row r="6279" spans="1:5" x14ac:dyDescent="0.2">
      <c r="A6279">
        <v>6218</v>
      </c>
      <c r="B6279" s="138">
        <f>'Acct Summary 7-8'!F83</f>
        <v>0.10681372116506377</v>
      </c>
      <c r="D6279" s="2" t="str">
        <f t="shared" si="97"/>
        <v>Error?</v>
      </c>
      <c r="E6279" s="2" t="s">
        <v>190</v>
      </c>
    </row>
    <row r="6280" spans="1:5" x14ac:dyDescent="0.2">
      <c r="A6280">
        <v>6219</v>
      </c>
      <c r="B6280" s="138">
        <f>'Acct Summary 7-8'!G83</f>
        <v>0.12899224614852961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5.4773978108960487E-2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-0.12821007824547104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85145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254225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58112</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58112</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5537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348597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64469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799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3862</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205046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1525064</v>
      </c>
      <c r="D6880" s="2" t="str">
        <f t="shared" si="106"/>
        <v>Error?</v>
      </c>
    </row>
    <row r="6881" spans="1:4" x14ac:dyDescent="0.2">
      <c r="A6881">
        <v>6820</v>
      </c>
      <c r="B6881" s="138">
        <f>'Expenditures 15-22'!K22</f>
        <v>1525064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10198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550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2391</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2941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617994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617994</v>
      </c>
      <c r="D6940" s="2" t="str">
        <f t="shared" si="107"/>
        <v>Error?</v>
      </c>
    </row>
    <row r="6941" spans="1:4" x14ac:dyDescent="0.2">
      <c r="A6941">
        <v>6880</v>
      </c>
      <c r="B6941" s="138">
        <f>'Expenditures 15-22'!L52</f>
        <v>618072</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2905</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2905</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3760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3760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135236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135236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144842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107320</v>
      </c>
      <c r="D6983" s="2" t="str">
        <f t="shared" si="108"/>
        <v>Error?</v>
      </c>
    </row>
    <row r="6984" spans="1:4" x14ac:dyDescent="0.2">
      <c r="A6984">
        <v>6923</v>
      </c>
      <c r="B6984" s="138">
        <f>'Expenditures 15-22'!K86</f>
        <v>107320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294989</v>
      </c>
      <c r="D6987" s="2" t="str">
        <f t="shared" si="108"/>
        <v>Error?</v>
      </c>
    </row>
    <row r="6988" spans="1:4" x14ac:dyDescent="0.2">
      <c r="A6988">
        <v>6927</v>
      </c>
      <c r="B6988" s="138">
        <f>'Expenditures 15-22'!K88</f>
        <v>294989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9845</v>
      </c>
      <c r="D6993" s="2" t="str">
        <f t="shared" si="108"/>
        <v>Error?</v>
      </c>
    </row>
    <row r="6994" spans="1:4" x14ac:dyDescent="0.2">
      <c r="A6994">
        <v>6933</v>
      </c>
      <c r="B6994" s="138">
        <f>'Expenditures 15-22'!K91</f>
        <v>9845</v>
      </c>
      <c r="D6994" s="2" t="str">
        <f t="shared" si="108"/>
        <v>Error?</v>
      </c>
    </row>
    <row r="6995" spans="1:4" x14ac:dyDescent="0.2">
      <c r="A6995">
        <v>6934</v>
      </c>
      <c r="B6995" s="138">
        <f>'Expenditures 15-22'!H92</f>
        <v>412154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155040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37617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37617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37617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37617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815</v>
      </c>
      <c r="D7073" s="2" t="str">
        <f t="shared" si="109"/>
        <v>Error?</v>
      </c>
    </row>
    <row r="7074" spans="1:4" x14ac:dyDescent="0.2">
      <c r="A7074">
        <v>7013</v>
      </c>
      <c r="B7074" s="138">
        <f>'Expenditures 15-22'!K216</f>
        <v>815</v>
      </c>
      <c r="D7074" s="2" t="str">
        <f t="shared" si="109"/>
        <v>Error?</v>
      </c>
    </row>
    <row r="7075" spans="1:4" x14ac:dyDescent="0.2">
      <c r="A7075">
        <v>7014</v>
      </c>
      <c r="B7075" s="138">
        <f>'Expenditures 15-22'!D218</f>
        <v>5086</v>
      </c>
      <c r="D7075" s="2" t="str">
        <f t="shared" si="109"/>
        <v>Error?</v>
      </c>
    </row>
    <row r="7076" spans="1:4" x14ac:dyDescent="0.2">
      <c r="A7076">
        <v>7015</v>
      </c>
      <c r="B7076" s="138">
        <f>'Expenditures 15-22'!K218</f>
        <v>5086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2387</v>
      </c>
      <c r="D7079" s="2" t="str">
        <f t="shared" si="109"/>
        <v>Error?</v>
      </c>
    </row>
    <row r="7080" spans="1:4" x14ac:dyDescent="0.2">
      <c r="A7080">
        <v>7019</v>
      </c>
      <c r="B7080" s="138">
        <f>'Expenditures 15-22'!K226</f>
        <v>2387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77805</v>
      </c>
      <c r="D7246" s="2" t="str">
        <f t="shared" si="112"/>
        <v>Error?</v>
      </c>
    </row>
    <row r="7247" spans="1:4" x14ac:dyDescent="0.2">
      <c r="A7247">
        <f t="shared" si="113"/>
        <v>7186</v>
      </c>
      <c r="B7247" s="138">
        <f>'Expenditures 15-22'!E7</f>
        <v>3318</v>
      </c>
      <c r="D7247" s="2" t="str">
        <f t="shared" si="112"/>
        <v>Error?</v>
      </c>
    </row>
    <row r="7248" spans="1:4" x14ac:dyDescent="0.2">
      <c r="A7248">
        <f t="shared" si="113"/>
        <v>7187</v>
      </c>
      <c r="B7248" s="138">
        <f>'Expenditures 15-22'!F7</f>
        <v>13249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57585</v>
      </c>
      <c r="D7251" s="2" t="str">
        <f t="shared" si="112"/>
        <v>Error?</v>
      </c>
    </row>
    <row r="7252" spans="1:4" x14ac:dyDescent="0.2">
      <c r="A7252">
        <f t="shared" si="113"/>
        <v>7191</v>
      </c>
      <c r="B7252" s="138">
        <f>'Expenditures 15-22'!D9</f>
        <v>6884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166018</v>
      </c>
      <c r="D7263" s="2" t="str">
        <f t="shared" si="112"/>
        <v>Error?</v>
      </c>
    </row>
    <row r="7264" spans="1:4" x14ac:dyDescent="0.2">
      <c r="A7264">
        <f t="shared" si="113"/>
        <v>7203</v>
      </c>
      <c r="B7264" s="138">
        <f>'Expenditures 15-22'!D17</f>
        <v>35739</v>
      </c>
      <c r="D7264" s="2" t="str">
        <f t="shared" si="112"/>
        <v>Error?</v>
      </c>
    </row>
    <row r="7265" spans="1:5" x14ac:dyDescent="0.2">
      <c r="A7265">
        <f t="shared" si="113"/>
        <v>7204</v>
      </c>
      <c r="B7265" s="138">
        <f>'Expenditures 15-22'!E17</f>
        <v>3169</v>
      </c>
      <c r="D7265" s="2" t="str">
        <f t="shared" si="112"/>
        <v>Error?</v>
      </c>
    </row>
    <row r="7266" spans="1:5" x14ac:dyDescent="0.2">
      <c r="A7266">
        <f t="shared" si="113"/>
        <v>7205</v>
      </c>
      <c r="B7266" s="138">
        <f>'Expenditures 15-22'!F17</f>
        <v>120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192657</v>
      </c>
      <c r="D7624" s="2" t="str">
        <f t="shared" si="124"/>
        <v>Error?</v>
      </c>
      <c r="E7624" s="2" t="s">
        <v>19</v>
      </c>
    </row>
    <row r="7625" spans="1:5" x14ac:dyDescent="0.2">
      <c r="A7625">
        <f t="shared" si="123"/>
        <v>7564</v>
      </c>
      <c r="B7625" s="138">
        <f>'Cap Outlay Deprec 26'!I17</f>
        <v>19265.7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2017419.7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85145</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64980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150125</v>
      </c>
      <c r="D7719" s="2" t="str">
        <f t="shared" si="126"/>
        <v>Error?</v>
      </c>
      <c r="E7719" s="2" t="s">
        <v>826</v>
      </c>
    </row>
    <row r="7720" spans="1:6" x14ac:dyDescent="0.2">
      <c r="A7720">
        <v>7659</v>
      </c>
      <c r="B7720" s="138">
        <f>'Rest Tax Levies-Tort Im 25'!H14</f>
        <v>142750</v>
      </c>
      <c r="D7720" s="2" t="str">
        <f t="shared" si="126"/>
        <v>Error?</v>
      </c>
      <c r="E7720" s="2" t="s">
        <v>826</v>
      </c>
    </row>
    <row r="7721" spans="1:6" x14ac:dyDescent="0.2">
      <c r="A7721">
        <v>7660</v>
      </c>
      <c r="B7721" s="138">
        <f>'Rest Tax Levies-Tort Im 25'!K14</f>
        <v>150125</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58112</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59521</v>
      </c>
      <c r="D7797" s="2" t="str">
        <f t="shared" si="127"/>
        <v>Error?</v>
      </c>
      <c r="E7797" s="4" t="s">
        <v>1899</v>
      </c>
    </row>
    <row r="7798" spans="1:5" x14ac:dyDescent="0.2">
      <c r="A7798">
        <v>7737</v>
      </c>
      <c r="B7798" s="138">
        <f>'Contracts Paid in CY 29'!F141</f>
        <v>59521</v>
      </c>
      <c r="D7798" s="2" t="str">
        <f t="shared" si="127"/>
        <v>Error?</v>
      </c>
      <c r="E7798" s="4" t="s">
        <v>1899</v>
      </c>
    </row>
    <row r="7799" spans="1:5" x14ac:dyDescent="0.2">
      <c r="A7799">
        <v>7738</v>
      </c>
      <c r="B7799" s="138">
        <f>'Contracts Paid in CY 29'!G141</f>
        <v>0</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5" t="s">
        <v>1190</v>
      </c>
      <c r="B2" s="2405"/>
      <c r="C2" s="2405"/>
      <c r="D2" s="2405"/>
      <c r="E2" s="2405"/>
      <c r="F2" s="2405"/>
      <c r="G2" s="2405"/>
      <c r="H2" s="2405"/>
      <c r="I2" s="2405"/>
      <c r="J2" s="2405"/>
      <c r="K2" s="2405"/>
      <c r="L2" s="2405"/>
    </row>
    <row r="3" spans="1:29" ht="13.5" customHeight="1" x14ac:dyDescent="0.2">
      <c r="A3" s="2391" t="s">
        <v>1189</v>
      </c>
      <c r="B3" s="2391"/>
      <c r="C3" s="2391"/>
      <c r="D3" s="2391"/>
      <c r="E3" s="2391"/>
      <c r="F3" s="2391"/>
      <c r="G3" s="2391"/>
      <c r="H3" s="2391"/>
      <c r="I3" s="2391"/>
      <c r="J3" s="2391"/>
      <c r="K3" s="2391"/>
      <c r="L3" s="2391"/>
    </row>
    <row r="4" spans="1:29" ht="13.5" customHeight="1" x14ac:dyDescent="0.2">
      <c r="A4" s="2405" t="s">
        <v>1983</v>
      </c>
      <c r="B4" s="2422"/>
      <c r="C4" s="2422"/>
      <c r="D4" s="2422"/>
      <c r="E4" s="2422"/>
      <c r="F4" s="2422"/>
      <c r="G4" s="2422"/>
      <c r="H4" s="2422"/>
      <c r="I4" s="2422"/>
      <c r="J4" s="2422"/>
      <c r="K4" s="2422"/>
      <c r="L4" s="242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85" t="str">
        <f>COVER!A17</f>
        <v>Ball Chatham CUSD 5</v>
      </c>
      <c r="B7" s="2386"/>
      <c r="C7" s="2386"/>
      <c r="D7" s="2423"/>
      <c r="E7" s="2424">
        <f>COVER!A13</f>
        <v>51084005026</v>
      </c>
      <c r="F7" s="2425"/>
      <c r="G7" s="2392" t="str">
        <f>COVER!T23</f>
        <v>066-005100</v>
      </c>
      <c r="H7" s="2393"/>
      <c r="I7" s="2393"/>
      <c r="J7" s="2393"/>
      <c r="K7" s="2393"/>
      <c r="L7" s="2394"/>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395"/>
      <c r="B9" s="2396"/>
      <c r="C9" s="2396"/>
      <c r="D9" s="2396"/>
      <c r="E9" s="2396"/>
      <c r="F9" s="2397"/>
      <c r="G9" s="2398" t="str">
        <f>COVER!T13</f>
        <v>Mack &amp; Associates, P.C.</v>
      </c>
      <c r="H9" s="2399"/>
      <c r="I9" s="2399"/>
      <c r="J9" s="2399"/>
      <c r="K9" s="2399"/>
      <c r="L9" s="2400"/>
    </row>
    <row r="10" spans="1:29" ht="13.5" customHeight="1" x14ac:dyDescent="0.2">
      <c r="A10" s="2382" t="str">
        <f>COVER!A38</f>
        <v>Dr. Douglas Wood</v>
      </c>
      <c r="B10" s="2383"/>
      <c r="C10" s="2383"/>
      <c r="D10" s="2383"/>
      <c r="E10" s="2383"/>
      <c r="F10" s="2384"/>
      <c r="G10" s="2398" t="str">
        <f>COVER!T17</f>
        <v>116 E. Washington St., Suite One</v>
      </c>
      <c r="H10" s="2411"/>
      <c r="I10" s="2411"/>
      <c r="J10" s="2411"/>
      <c r="K10" s="2411"/>
      <c r="L10" s="2412"/>
    </row>
    <row r="11" spans="1:29" ht="13.5" customHeight="1" x14ac:dyDescent="0.2">
      <c r="A11" s="1184" t="s">
        <v>1518</v>
      </c>
      <c r="B11" s="1185"/>
      <c r="C11" s="1186"/>
      <c r="D11" s="1191"/>
      <c r="E11" s="1186"/>
      <c r="F11" s="1190"/>
      <c r="G11" s="2398" t="str">
        <f>COVER!T19</f>
        <v>Morris</v>
      </c>
      <c r="H11" s="2411"/>
      <c r="I11" s="2411"/>
      <c r="J11" s="2411"/>
      <c r="K11" s="2411"/>
      <c r="L11" s="2412"/>
    </row>
    <row r="12" spans="1:29" ht="13.5" customHeight="1" x14ac:dyDescent="0.2">
      <c r="A12" s="2416" t="s">
        <v>1517</v>
      </c>
      <c r="B12" s="2417"/>
      <c r="C12" s="2417"/>
      <c r="D12" s="2417"/>
      <c r="E12" s="2417"/>
      <c r="F12" s="2418"/>
      <c r="G12" s="2413"/>
      <c r="H12" s="2414"/>
      <c r="I12" s="2414"/>
      <c r="J12" s="2414"/>
      <c r="K12" s="2414"/>
      <c r="L12" s="2415"/>
    </row>
    <row r="13" spans="1:29" ht="13.5" customHeight="1" x14ac:dyDescent="0.2">
      <c r="A13" s="2398"/>
      <c r="B13" s="2411"/>
      <c r="C13" s="2411"/>
      <c r="D13" s="2411"/>
      <c r="E13" s="2411"/>
      <c r="F13" s="2412"/>
      <c r="G13" s="2406" t="s">
        <v>1519</v>
      </c>
      <c r="H13" s="2407"/>
      <c r="I13" s="2419" t="str">
        <f>COVER!T25</f>
        <v>tmack@mackcpas.com</v>
      </c>
      <c r="J13" s="2420"/>
      <c r="K13" s="2420"/>
      <c r="L13" s="2421"/>
    </row>
    <row r="14" spans="1:29" ht="13.5" customHeight="1" x14ac:dyDescent="0.2">
      <c r="A14" s="2398" t="str">
        <f>COVER!A19</f>
        <v>201 W Mulberry</v>
      </c>
      <c r="B14" s="2411"/>
      <c r="C14" s="2411"/>
      <c r="D14" s="2411"/>
      <c r="E14" s="2411"/>
      <c r="F14" s="2412"/>
      <c r="G14" s="1195" t="s">
        <v>1184</v>
      </c>
      <c r="H14" s="1193"/>
      <c r="I14" s="1193"/>
      <c r="J14" s="1193"/>
      <c r="K14" s="1193"/>
      <c r="L14" s="1194"/>
    </row>
    <row r="15" spans="1:29" ht="13.5" customHeight="1" x14ac:dyDescent="0.2">
      <c r="A15" s="2398" t="str">
        <f>COVER!A21</f>
        <v>Chatham</v>
      </c>
      <c r="B15" s="2411"/>
      <c r="C15" s="2411"/>
      <c r="D15" s="2411"/>
      <c r="E15" s="2411"/>
      <c r="F15" s="2412"/>
      <c r="G15" s="2408" t="str">
        <f>COVER!T15</f>
        <v>Tawnya Mack, CPA</v>
      </c>
      <c r="H15" s="2409"/>
      <c r="I15" s="2409"/>
      <c r="J15" s="2409"/>
      <c r="K15" s="2409"/>
      <c r="L15" s="2410"/>
    </row>
    <row r="16" spans="1:29" ht="12.2" customHeight="1" x14ac:dyDescent="0.2">
      <c r="A16" s="2388">
        <f>COVER!A25</f>
        <v>62629</v>
      </c>
      <c r="B16" s="2389"/>
      <c r="C16" s="2389"/>
      <c r="D16" s="2389"/>
      <c r="E16" s="2389"/>
      <c r="F16" s="2390"/>
      <c r="G16" s="2401"/>
      <c r="H16" s="2402"/>
      <c r="I16" s="2402"/>
      <c r="J16" s="2402"/>
      <c r="K16" s="2402"/>
      <c r="L16" s="2403"/>
    </row>
    <row r="17" spans="1:13" ht="12.2" customHeight="1" x14ac:dyDescent="0.2">
      <c r="A17" s="2404"/>
      <c r="B17" s="2389"/>
      <c r="C17" s="2389"/>
      <c r="D17" s="2389"/>
      <c r="E17" s="2389"/>
      <c r="F17" s="2390"/>
      <c r="G17" s="1195" t="s">
        <v>1183</v>
      </c>
      <c r="H17" s="1193"/>
      <c r="I17" s="1193"/>
      <c r="J17" s="1193"/>
      <c r="K17" s="1197" t="s">
        <v>1182</v>
      </c>
      <c r="L17" s="1190"/>
      <c r="M17" s="1183"/>
    </row>
    <row r="18" spans="1:13" ht="12.2" customHeight="1" x14ac:dyDescent="0.2">
      <c r="A18" s="2382"/>
      <c r="B18" s="2383"/>
      <c r="C18" s="2383"/>
      <c r="D18" s="2383"/>
      <c r="E18" s="2383"/>
      <c r="F18" s="2384"/>
      <c r="G18" s="2385" t="str">
        <f>COVER!T21</f>
        <v>815-942-3306</v>
      </c>
      <c r="H18" s="2386"/>
      <c r="I18" s="2386"/>
      <c r="J18" s="2386"/>
      <c r="K18" s="2385" t="str">
        <f>COVER!X21</f>
        <v>815-942-9430</v>
      </c>
      <c r="L18" s="238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2069</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2069</v>
      </c>
      <c r="C26" s="1202" t="s">
        <v>1698</v>
      </c>
    </row>
    <row r="27" spans="1:13" s="1198" customFormat="1" ht="9" customHeight="1" x14ac:dyDescent="0.2">
      <c r="B27" s="1203"/>
      <c r="C27" s="1202"/>
    </row>
    <row r="28" spans="1:13" s="1198" customFormat="1" ht="12.2" customHeight="1" x14ac:dyDescent="0.2">
      <c r="A28" s="1205"/>
      <c r="B28" s="1201" t="s">
        <v>2069</v>
      </c>
      <c r="C28" s="1202" t="s">
        <v>1699</v>
      </c>
    </row>
    <row r="29" spans="1:13" s="1198" customFormat="1" ht="9" customHeight="1" x14ac:dyDescent="0.2">
      <c r="A29" s="1205"/>
      <c r="B29" s="1203"/>
      <c r="C29" s="1202"/>
    </row>
    <row r="30" spans="1:13" s="1198" customFormat="1" ht="12.2" customHeight="1" x14ac:dyDescent="0.2">
      <c r="B30" s="1201" t="s">
        <v>2069</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2069</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2069</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2069</v>
      </c>
      <c r="C38" s="1202" t="s">
        <v>1565</v>
      </c>
    </row>
    <row r="39" spans="1:8" ht="9" customHeight="1" x14ac:dyDescent="0.2">
      <c r="B39" s="1203"/>
      <c r="C39" s="1206"/>
    </row>
    <row r="40" spans="1:8" s="1198" customFormat="1" ht="13.5" customHeight="1" x14ac:dyDescent="0.2">
      <c r="B40" s="1201" t="s">
        <v>2069</v>
      </c>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t="s">
        <v>2069</v>
      </c>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Ball Chatham CUSD 5</v>
      </c>
      <c r="B1" s="2422"/>
      <c r="C1" s="2422"/>
      <c r="D1" s="2422"/>
    </row>
    <row r="2" spans="1:11" s="1212" customFormat="1" ht="12.75" x14ac:dyDescent="0.2">
      <c r="A2" s="2427">
        <f>'Single Audit Cover'!E7</f>
        <v>51084005026</v>
      </c>
      <c r="B2" s="2428"/>
      <c r="C2" s="2428"/>
      <c r="D2" s="2428"/>
    </row>
    <row r="3" spans="1:11" s="1212" customFormat="1" ht="12.75" x14ac:dyDescent="0.2">
      <c r="A3" s="2426" t="s">
        <v>1512</v>
      </c>
      <c r="B3" s="2422"/>
      <c r="C3" s="2422"/>
      <c r="D3" s="2422"/>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13" zoomScale="110" zoomScaleNormal="110" zoomScaleSheetLayoutView="100" workbookViewId="0">
      <selection activeCell="D43" sqref="D4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Ball Chatham CUSD 5</v>
      </c>
      <c r="B1" s="2430"/>
      <c r="C1" s="2430"/>
      <c r="D1" s="2430"/>
      <c r="E1" s="2430"/>
    </row>
    <row r="2" spans="1:5" x14ac:dyDescent="0.2">
      <c r="A2" s="2431">
        <f>'Single Audit Cover'!E7</f>
        <v>51084005026</v>
      </c>
      <c r="B2" s="2431"/>
      <c r="C2" s="2431"/>
      <c r="D2" s="2431"/>
      <c r="E2" s="2431"/>
    </row>
    <row r="3" spans="1:5" ht="4.5" customHeight="1" x14ac:dyDescent="0.2"/>
    <row r="4" spans="1:5" x14ac:dyDescent="0.2">
      <c r="A4" s="2430" t="s">
        <v>1244</v>
      </c>
      <c r="B4" s="2430"/>
      <c r="C4" s="2430"/>
      <c r="D4" s="2430"/>
      <c r="E4" s="2430"/>
    </row>
    <row r="5" spans="1:5" x14ac:dyDescent="0.2">
      <c r="A5" s="2433" t="str">
        <f>'Single Audit Cover'!A4</f>
        <v>Year Ending June 30, 2019</v>
      </c>
      <c r="B5" s="2433"/>
      <c r="C5" s="2433"/>
      <c r="D5" s="2433"/>
      <c r="E5" s="2433"/>
    </row>
    <row r="6" spans="1:5" x14ac:dyDescent="0.2">
      <c r="A6" s="2430" t="s">
        <v>1243</v>
      </c>
      <c r="B6" s="2430"/>
      <c r="C6" s="2430"/>
      <c r="D6" s="2430"/>
      <c r="E6" s="2430"/>
    </row>
    <row r="8" spans="1:5" x14ac:dyDescent="0.2">
      <c r="A8" s="1257" t="s">
        <v>1242</v>
      </c>
    </row>
    <row r="10" spans="1:5" x14ac:dyDescent="0.2">
      <c r="A10" s="1258" t="s">
        <v>1241</v>
      </c>
      <c r="B10" s="1259" t="s">
        <v>1240</v>
      </c>
      <c r="C10" s="1259"/>
      <c r="D10" s="1260">
        <f>SUM('Acct Summary 7-8'!C7:K7)</f>
        <v>2457751</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105911</v>
      </c>
    </row>
    <row r="15" spans="1:5" x14ac:dyDescent="0.2">
      <c r="A15" s="1258"/>
      <c r="B15" s="1259"/>
      <c r="C15" s="1259"/>
    </row>
    <row r="16" spans="1:5" x14ac:dyDescent="0.2">
      <c r="A16" s="1258" t="s">
        <v>1839</v>
      </c>
      <c r="B16" s="1259"/>
      <c r="C16" s="1259"/>
    </row>
    <row r="17" spans="1:4" x14ac:dyDescent="0.2">
      <c r="A17" s="1258" t="s">
        <v>2055</v>
      </c>
      <c r="B17" s="1259" t="s">
        <v>1235</v>
      </c>
      <c r="C17" s="1259"/>
      <c r="D17" s="1261">
        <f>-SUM('Revenues 9-14'!C264:D264,'Revenues 9-14'!F264:G264)</f>
        <v>-88868</v>
      </c>
    </row>
    <row r="19" spans="1:4" ht="13.5" thickBot="1" x14ac:dyDescent="0.25">
      <c r="A19" s="1262" t="s">
        <v>1234</v>
      </c>
      <c r="D19" s="1263">
        <f>SUM(D10:D17)</f>
        <v>2474794</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1232</v>
      </c>
      <c r="D32" s="1260">
        <f>SUM(D19:D30)</f>
        <v>2474794</v>
      </c>
    </row>
    <row r="33" spans="1:4" x14ac:dyDescent="0.2">
      <c r="D33" s="1266"/>
    </row>
    <row r="34" spans="1:4" x14ac:dyDescent="0.2">
      <c r="A34" s="317" t="s">
        <v>1231</v>
      </c>
    </row>
    <row r="35" spans="1:4" x14ac:dyDescent="0.2">
      <c r="A35" s="317" t="s">
        <v>1230</v>
      </c>
      <c r="B35" s="1255" t="s">
        <v>1229</v>
      </c>
      <c r="D35" s="1267">
        <v>2416681</v>
      </c>
    </row>
    <row r="37" spans="1:4" x14ac:dyDescent="0.2">
      <c r="A37" s="1257" t="s">
        <v>1228</v>
      </c>
    </row>
    <row r="39" spans="1:4" ht="13.35" customHeight="1" x14ac:dyDescent="0.2">
      <c r="A39" s="1264" t="s">
        <v>1227</v>
      </c>
    </row>
    <row r="40" spans="1:4" x14ac:dyDescent="0.2">
      <c r="A40" s="2429" t="s">
        <v>2189</v>
      </c>
      <c r="B40" s="2429"/>
      <c r="D40" s="1265">
        <v>58113</v>
      </c>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1226</v>
      </c>
      <c r="C47" s="1269"/>
      <c r="D47" s="1270">
        <f>SUM(D35:D45)</f>
        <v>2474794</v>
      </c>
    </row>
    <row r="49" spans="2:4" x14ac:dyDescent="0.2">
      <c r="B49" s="1269" t="s">
        <v>1225</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topLeftCell="A4" zoomScaleNormal="100" workbookViewId="0">
      <selection activeCell="F26" sqref="F2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1" t="str">
        <f>'Single Audit Cover'!A7</f>
        <v>Ball Chatham CUSD 5</v>
      </c>
      <c r="C1" s="2434"/>
      <c r="D1" s="2434"/>
      <c r="E1" s="2434"/>
      <c r="F1" s="2434"/>
      <c r="G1" s="2434"/>
      <c r="H1" s="2434"/>
      <c r="I1" s="2434"/>
      <c r="J1" s="2434"/>
      <c r="K1" s="2434"/>
      <c r="L1" s="2434"/>
      <c r="M1" s="2434"/>
    </row>
    <row r="2" spans="2:14" ht="15" x14ac:dyDescent="0.2">
      <c r="B2" s="2435">
        <f>'Single Audit Cover'!E7</f>
        <v>51084005026</v>
      </c>
      <c r="C2" s="2435"/>
      <c r="D2" s="2435"/>
      <c r="E2" s="2435"/>
      <c r="F2" s="2435"/>
      <c r="G2" s="2435"/>
      <c r="H2" s="2435"/>
      <c r="I2" s="2435"/>
      <c r="J2" s="2435"/>
      <c r="K2" s="2435"/>
      <c r="L2" s="2435"/>
      <c r="M2" s="2435"/>
      <c r="N2" s="1299"/>
    </row>
    <row r="3" spans="2:14" ht="15" x14ac:dyDescent="0.2">
      <c r="B3" s="2436" t="s">
        <v>1218</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2115</v>
      </c>
      <c r="C11" s="1335"/>
      <c r="D11" s="1336"/>
      <c r="E11" s="1337"/>
      <c r="F11" s="1337"/>
      <c r="G11" s="1337"/>
      <c r="H11" s="1337"/>
      <c r="I11" s="1337"/>
      <c r="J11" s="1337"/>
      <c r="K11" s="1337"/>
      <c r="L11" s="1337">
        <f>+G11+I11+K11</f>
        <v>0</v>
      </c>
      <c r="M11" s="1337"/>
    </row>
    <row r="12" spans="2:14" ht="20.100000000000001" customHeight="1" x14ac:dyDescent="0.2">
      <c r="B12" s="1334" t="s">
        <v>2116</v>
      </c>
      <c r="C12" s="1338"/>
      <c r="D12" s="1339"/>
      <c r="E12" s="1340"/>
      <c r="F12" s="1340"/>
      <c r="G12" s="1340"/>
      <c r="H12" s="1340"/>
      <c r="I12" s="1340"/>
      <c r="J12" s="1340"/>
      <c r="K12" s="1340"/>
      <c r="L12" s="1337">
        <f t="shared" ref="L12:L27" si="0">+G12+I12+K12</f>
        <v>0</v>
      </c>
      <c r="M12" s="1340"/>
    </row>
    <row r="13" spans="2:14" ht="20.100000000000001" customHeight="1" x14ac:dyDescent="0.2">
      <c r="B13" s="1334" t="s">
        <v>2118</v>
      </c>
      <c r="C13" s="1338" t="s">
        <v>2117</v>
      </c>
      <c r="D13" s="1339" t="s">
        <v>2119</v>
      </c>
      <c r="E13" s="1340">
        <v>226481</v>
      </c>
      <c r="F13" s="1340">
        <v>155370</v>
      </c>
      <c r="G13" s="1340">
        <v>372844</v>
      </c>
      <c r="H13" s="1340"/>
      <c r="I13" s="1340">
        <v>9007</v>
      </c>
      <c r="J13" s="1340"/>
      <c r="K13" s="1340"/>
      <c r="L13" s="1337">
        <f t="shared" si="0"/>
        <v>381851</v>
      </c>
      <c r="M13" s="1340">
        <v>410086</v>
      </c>
    </row>
    <row r="14" spans="2:14" ht="20.100000000000001" customHeight="1" x14ac:dyDescent="0.2">
      <c r="B14" s="1334" t="s">
        <v>2167</v>
      </c>
      <c r="C14" s="1338" t="s">
        <v>2117</v>
      </c>
      <c r="D14" s="1339" t="s">
        <v>2172</v>
      </c>
      <c r="E14" s="1340"/>
      <c r="F14" s="1340">
        <v>287371</v>
      </c>
      <c r="G14" s="1340"/>
      <c r="H14" s="1340"/>
      <c r="I14" s="1340">
        <v>388378</v>
      </c>
      <c r="J14" s="1340"/>
      <c r="K14" s="1340">
        <v>20690</v>
      </c>
      <c r="L14" s="1337">
        <f t="shared" si="0"/>
        <v>409068</v>
      </c>
      <c r="M14" s="1340">
        <v>442120</v>
      </c>
    </row>
    <row r="15" spans="2:14" ht="20.100000000000001" customHeight="1" x14ac:dyDescent="0.2">
      <c r="B15" s="1334" t="s">
        <v>2120</v>
      </c>
      <c r="C15" s="1338"/>
      <c r="D15" s="1339"/>
      <c r="E15" s="1340">
        <f>SUM(E13:E14)</f>
        <v>226481</v>
      </c>
      <c r="F15" s="1340">
        <f>SUM(F13:F14)</f>
        <v>442741</v>
      </c>
      <c r="G15" s="1340">
        <f>SUM(G13:G14)</f>
        <v>372844</v>
      </c>
      <c r="H15" s="1340"/>
      <c r="I15" s="1340">
        <f>SUM(I13:I14)</f>
        <v>397385</v>
      </c>
      <c r="J15" s="1340"/>
      <c r="K15" s="1340">
        <f>SUM(K13:K14)</f>
        <v>20690</v>
      </c>
      <c r="L15" s="1337">
        <f t="shared" si="0"/>
        <v>790919</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2122</v>
      </c>
      <c r="C17" s="1338" t="s">
        <v>2121</v>
      </c>
      <c r="D17" s="1339" t="s">
        <v>2123</v>
      </c>
      <c r="E17" s="1340">
        <v>37648</v>
      </c>
      <c r="F17" s="1340">
        <v>31105</v>
      </c>
      <c r="G17" s="1340">
        <v>62397</v>
      </c>
      <c r="H17" s="1340"/>
      <c r="I17" s="1340">
        <v>6356</v>
      </c>
      <c r="J17" s="1340"/>
      <c r="K17" s="1340"/>
      <c r="L17" s="1337">
        <f t="shared" si="0"/>
        <v>68753</v>
      </c>
      <c r="M17" s="1340">
        <v>121204</v>
      </c>
    </row>
    <row r="18" spans="2:14" ht="20.100000000000001" customHeight="1" x14ac:dyDescent="0.2">
      <c r="B18" s="1334" t="s">
        <v>2168</v>
      </c>
      <c r="C18" s="1338" t="s">
        <v>2121</v>
      </c>
      <c r="D18" s="1339" t="s">
        <v>2173</v>
      </c>
      <c r="E18" s="1340"/>
      <c r="F18" s="1340">
        <v>73466</v>
      </c>
      <c r="G18" s="1340"/>
      <c r="H18" s="1340"/>
      <c r="I18" s="1340">
        <v>87817</v>
      </c>
      <c r="J18" s="1340"/>
      <c r="K18" s="1340">
        <v>35891</v>
      </c>
      <c r="L18" s="1337">
        <f t="shared" si="0"/>
        <v>123708</v>
      </c>
      <c r="M18" s="1340">
        <v>146490</v>
      </c>
    </row>
    <row r="19" spans="2:14" ht="20.100000000000001" customHeight="1" x14ac:dyDescent="0.2">
      <c r="B19" s="1334" t="s">
        <v>2124</v>
      </c>
      <c r="C19" s="1338"/>
      <c r="D19" s="1339"/>
      <c r="E19" s="1340">
        <f>SUM(E17:E18)</f>
        <v>37648</v>
      </c>
      <c r="F19" s="1340">
        <f>SUM(F17:F18)</f>
        <v>104571</v>
      </c>
      <c r="G19" s="1340">
        <f>SUM(G17:G18)</f>
        <v>62397</v>
      </c>
      <c r="H19" s="1340"/>
      <c r="I19" s="1340">
        <f>SUM(I17:I18)</f>
        <v>94173</v>
      </c>
      <c r="J19" s="1340"/>
      <c r="K19" s="1340">
        <f>SUM(K17:K18)</f>
        <v>35891</v>
      </c>
      <c r="L19" s="1337">
        <f t="shared" si="0"/>
        <v>192461</v>
      </c>
      <c r="M19" s="1340"/>
    </row>
    <row r="20" spans="2:14" ht="20.100000000000001" customHeight="1" x14ac:dyDescent="0.2">
      <c r="B20" s="1334" t="s">
        <v>2175</v>
      </c>
      <c r="C20" s="1338">
        <v>84.424000000000007</v>
      </c>
      <c r="D20" s="1339" t="s">
        <v>2176</v>
      </c>
      <c r="E20" s="1340"/>
      <c r="F20" s="1340">
        <v>6573</v>
      </c>
      <c r="G20" s="1340"/>
      <c r="H20" s="1340"/>
      <c r="I20" s="1340">
        <v>6573</v>
      </c>
      <c r="J20" s="1340"/>
      <c r="K20" s="1340"/>
      <c r="L20" s="1337">
        <f t="shared" si="0"/>
        <v>6573</v>
      </c>
      <c r="M20" s="1340">
        <v>7733</v>
      </c>
    </row>
    <row r="21" spans="2:14" ht="20.100000000000001" customHeight="1" x14ac:dyDescent="0.2">
      <c r="B21" s="1334" t="s">
        <v>2125</v>
      </c>
      <c r="C21" s="1338"/>
      <c r="D21" s="1339"/>
      <c r="E21" s="1340"/>
      <c r="F21" s="1340"/>
      <c r="G21" s="1340"/>
      <c r="H21" s="1340"/>
      <c r="I21" s="1340"/>
      <c r="J21" s="1340"/>
      <c r="K21" s="1340"/>
      <c r="L21" s="1337">
        <f t="shared" si="0"/>
        <v>0</v>
      </c>
      <c r="M21" s="1340"/>
    </row>
    <row r="22" spans="2:14" ht="20.100000000000001" customHeight="1" x14ac:dyDescent="0.2">
      <c r="B22" s="1334" t="s">
        <v>2127</v>
      </c>
      <c r="C22" s="1338" t="s">
        <v>2126</v>
      </c>
      <c r="D22" s="1339" t="s">
        <v>2128</v>
      </c>
      <c r="E22" s="1340">
        <v>671650</v>
      </c>
      <c r="F22" s="1340">
        <v>199081</v>
      </c>
      <c r="G22" s="1340">
        <v>870394</v>
      </c>
      <c r="H22" s="1340"/>
      <c r="I22" s="1340">
        <v>337</v>
      </c>
      <c r="J22" s="1340"/>
      <c r="K22" s="1340"/>
      <c r="L22" s="1337">
        <f t="shared" si="0"/>
        <v>870731</v>
      </c>
      <c r="M22" s="1340">
        <v>930518</v>
      </c>
    </row>
    <row r="23" spans="2:14" ht="20.100000000000001" customHeight="1" x14ac:dyDescent="0.2">
      <c r="B23" s="1334" t="s">
        <v>2169</v>
      </c>
      <c r="C23" s="1338" t="s">
        <v>2126</v>
      </c>
      <c r="D23" s="1339" t="s">
        <v>2174</v>
      </c>
      <c r="E23" s="1340"/>
      <c r="F23" s="1340">
        <v>608935</v>
      </c>
      <c r="G23" s="1340"/>
      <c r="H23" s="1340"/>
      <c r="I23" s="1340">
        <v>842559</v>
      </c>
      <c r="J23" s="1340"/>
      <c r="K23" s="1340">
        <v>23600</v>
      </c>
      <c r="L23" s="1337">
        <f t="shared" si="0"/>
        <v>866159</v>
      </c>
      <c r="M23" s="1340">
        <v>926217</v>
      </c>
    </row>
    <row r="24" spans="2:14" ht="20.100000000000001" customHeight="1" x14ac:dyDescent="0.2">
      <c r="B24" s="1334" t="s">
        <v>2130</v>
      </c>
      <c r="C24" s="1338" t="s">
        <v>2126</v>
      </c>
      <c r="D24" s="1339" t="s">
        <v>2131</v>
      </c>
      <c r="E24" s="1340">
        <v>240559</v>
      </c>
      <c r="F24" s="1340">
        <v>142544</v>
      </c>
      <c r="G24" s="1340">
        <v>265386</v>
      </c>
      <c r="H24" s="1340"/>
      <c r="I24" s="1340">
        <v>117717</v>
      </c>
      <c r="J24" s="1340"/>
      <c r="K24" s="1340"/>
      <c r="L24" s="1337">
        <f t="shared" si="0"/>
        <v>383103</v>
      </c>
      <c r="M24" s="1340" t="s">
        <v>2129</v>
      </c>
    </row>
    <row r="25" spans="2:14" ht="20.100000000000001" customHeight="1" x14ac:dyDescent="0.2">
      <c r="B25" s="1334" t="s">
        <v>2170</v>
      </c>
      <c r="C25" s="1338">
        <v>84.027000000000001</v>
      </c>
      <c r="D25" s="1339" t="s">
        <v>2171</v>
      </c>
      <c r="E25" s="1340"/>
      <c r="F25" s="1340">
        <v>198844</v>
      </c>
      <c r="G25" s="1340"/>
      <c r="H25" s="1340"/>
      <c r="I25" s="1340">
        <v>198844</v>
      </c>
      <c r="J25" s="1340"/>
      <c r="K25" s="1340"/>
      <c r="L25" s="1337">
        <f t="shared" si="0"/>
        <v>198844</v>
      </c>
      <c r="M25" s="1340" t="s">
        <v>2129</v>
      </c>
    </row>
    <row r="26" spans="2:14" ht="20.100000000000001" customHeight="1" x14ac:dyDescent="0.2">
      <c r="B26" s="1334" t="s">
        <v>2132</v>
      </c>
      <c r="C26" s="1338"/>
      <c r="D26" s="1339"/>
      <c r="E26" s="1340">
        <f>SUM(E22:E25)</f>
        <v>912209</v>
      </c>
      <c r="F26" s="1340">
        <f>SUM(F22:F25)</f>
        <v>1149404</v>
      </c>
      <c r="G26" s="1340">
        <f>SUM(G22:G25)</f>
        <v>1135780</v>
      </c>
      <c r="H26" s="1340"/>
      <c r="I26" s="1340">
        <f>SUM(I22:I25)</f>
        <v>1159457</v>
      </c>
      <c r="J26" s="1340"/>
      <c r="K26" s="1340">
        <f>SUM(K22:K25)</f>
        <v>23600</v>
      </c>
      <c r="L26" s="1337">
        <f t="shared" si="0"/>
        <v>2318837</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B1:N152"/>
  <sheetViews>
    <sheetView showGridLines="0" topLeftCell="A4" zoomScaleNormal="100" workbookViewId="0">
      <selection activeCell="M21" sqref="M2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1" t="str">
        <f>'Single Audit Cover'!A7</f>
        <v>Ball Chatham CUSD 5</v>
      </c>
      <c r="C1" s="2434"/>
      <c r="D1" s="2434"/>
      <c r="E1" s="2434"/>
      <c r="F1" s="2434"/>
      <c r="G1" s="2434"/>
      <c r="H1" s="2434"/>
      <c r="I1" s="2434"/>
      <c r="J1" s="2434"/>
      <c r="K1" s="2434"/>
      <c r="L1" s="2434"/>
      <c r="M1" s="2434"/>
    </row>
    <row r="2" spans="2:14" ht="15" x14ac:dyDescent="0.2">
      <c r="B2" s="2435">
        <f>'Single Audit Cover'!E7</f>
        <v>51084005026</v>
      </c>
      <c r="C2" s="2435"/>
      <c r="D2" s="2435"/>
      <c r="E2" s="2435"/>
      <c r="F2" s="2435"/>
      <c r="G2" s="2435"/>
      <c r="H2" s="2435"/>
      <c r="I2" s="2435"/>
      <c r="J2" s="2435"/>
      <c r="K2" s="2435"/>
      <c r="L2" s="2435"/>
      <c r="M2" s="2435"/>
      <c r="N2" s="1299"/>
    </row>
    <row r="3" spans="2:14" ht="15" x14ac:dyDescent="0.2">
      <c r="B3" s="2436" t="s">
        <v>1218</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2133</v>
      </c>
      <c r="C11" s="1335"/>
      <c r="D11" s="1336"/>
      <c r="E11" s="1337"/>
      <c r="F11" s="1337"/>
      <c r="G11" s="1337"/>
      <c r="H11" s="1337"/>
      <c r="I11" s="1337"/>
      <c r="J11" s="1337"/>
      <c r="K11" s="1337"/>
      <c r="L11" s="1337">
        <f>+G11+I11+K11</f>
        <v>0</v>
      </c>
      <c r="M11" s="1337"/>
    </row>
    <row r="12" spans="2:14" ht="20.100000000000001" customHeight="1" x14ac:dyDescent="0.2">
      <c r="B12" s="1334" t="s">
        <v>2134</v>
      </c>
      <c r="C12" s="1338"/>
      <c r="D12" s="1339"/>
      <c r="E12" s="1340"/>
      <c r="F12" s="1340"/>
      <c r="G12" s="1340"/>
      <c r="H12" s="1340"/>
      <c r="I12" s="1340"/>
      <c r="J12" s="1340"/>
      <c r="K12" s="1340"/>
      <c r="L12" s="1337">
        <f t="shared" ref="L12:L27" si="0">+G12+I12+K12</f>
        <v>0</v>
      </c>
      <c r="M12" s="1340"/>
    </row>
    <row r="13" spans="2:14" ht="20.100000000000001" customHeight="1" x14ac:dyDescent="0.2">
      <c r="B13" s="1334" t="s">
        <v>2135</v>
      </c>
      <c r="C13" s="1338"/>
      <c r="D13" s="1339"/>
      <c r="E13" s="1340"/>
      <c r="F13" s="1340"/>
      <c r="G13" s="1340"/>
      <c r="H13" s="1340"/>
      <c r="I13" s="1340"/>
      <c r="J13" s="1340"/>
      <c r="K13" s="1340"/>
      <c r="L13" s="1337">
        <f t="shared" si="0"/>
        <v>0</v>
      </c>
      <c r="M13" s="1340"/>
    </row>
    <row r="14" spans="2:14" ht="20.100000000000001" customHeight="1" x14ac:dyDescent="0.2">
      <c r="B14" s="1334" t="s">
        <v>2137</v>
      </c>
      <c r="C14" s="1338" t="s">
        <v>2136</v>
      </c>
      <c r="D14" s="1339" t="s">
        <v>2138</v>
      </c>
      <c r="E14" s="1340">
        <v>17733</v>
      </c>
      <c r="F14" s="1340">
        <v>5220</v>
      </c>
      <c r="G14" s="1340">
        <v>22953</v>
      </c>
      <c r="H14" s="1340"/>
      <c r="I14" s="1340"/>
      <c r="J14" s="1340"/>
      <c r="K14" s="1340"/>
      <c r="L14" s="1337">
        <f t="shared" si="0"/>
        <v>22953</v>
      </c>
      <c r="M14" s="1340">
        <v>36252</v>
      </c>
    </row>
    <row r="15" spans="2:14" ht="20.100000000000001" customHeight="1" x14ac:dyDescent="0.2">
      <c r="B15" s="1334" t="s">
        <v>2177</v>
      </c>
      <c r="C15" s="1338" t="s">
        <v>2136</v>
      </c>
      <c r="D15" s="1339" t="s">
        <v>2179</v>
      </c>
      <c r="E15" s="1340"/>
      <c r="F15" s="1340">
        <v>24634</v>
      </c>
      <c r="G15" s="1340"/>
      <c r="H15" s="1340"/>
      <c r="I15" s="1340">
        <v>34372</v>
      </c>
      <c r="J15" s="1340"/>
      <c r="K15" s="1340"/>
      <c r="L15" s="1337">
        <f t="shared" si="0"/>
        <v>34372</v>
      </c>
      <c r="M15" s="1340">
        <v>41676</v>
      </c>
    </row>
    <row r="16" spans="2:14" ht="20.100000000000001" customHeight="1" x14ac:dyDescent="0.2">
      <c r="B16" s="1334" t="s">
        <v>2139</v>
      </c>
      <c r="C16" s="1338"/>
      <c r="D16" s="1339"/>
      <c r="E16" s="1340">
        <f>SUM(E14:E15)</f>
        <v>17733</v>
      </c>
      <c r="F16" s="1340">
        <f>SUM(F14:F15)</f>
        <v>29854</v>
      </c>
      <c r="G16" s="1340">
        <f>SUM(G14:G15)</f>
        <v>22953</v>
      </c>
      <c r="H16" s="1340"/>
      <c r="I16" s="1340">
        <f>SUM(I14:I15)</f>
        <v>34372</v>
      </c>
      <c r="J16" s="1340"/>
      <c r="K16" s="1340"/>
      <c r="L16" s="1337">
        <f t="shared" si="0"/>
        <v>57325</v>
      </c>
      <c r="M16" s="1340"/>
    </row>
    <row r="17" spans="2:14" ht="20.100000000000001" customHeight="1" x14ac:dyDescent="0.2">
      <c r="B17" s="1334" t="s">
        <v>2140</v>
      </c>
      <c r="C17" s="1338"/>
      <c r="D17" s="1339"/>
      <c r="E17" s="1340">
        <f>E16+' SEFA'!E26</f>
        <v>929942</v>
      </c>
      <c r="F17" s="1340">
        <f>F16+' SEFA'!F26</f>
        <v>1179258</v>
      </c>
      <c r="G17" s="1340">
        <f>G16+' SEFA'!G26</f>
        <v>1158733</v>
      </c>
      <c r="H17" s="1340"/>
      <c r="I17" s="1340">
        <f>I16+' SEFA'!I26</f>
        <v>1193829</v>
      </c>
      <c r="J17" s="1340"/>
      <c r="K17" s="1340"/>
      <c r="L17" s="1337">
        <f t="shared" si="0"/>
        <v>2352562</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2142</v>
      </c>
      <c r="C19" s="1338"/>
      <c r="D19" s="1339"/>
      <c r="E19" s="1340">
        <f>E17+' SEFA'!E20+' SEFA'!E19+' SEFA'!E15</f>
        <v>1194071</v>
      </c>
      <c r="F19" s="1340">
        <f>F17+' SEFA'!F20+' SEFA'!F19+' SEFA'!F15</f>
        <v>1733143</v>
      </c>
      <c r="G19" s="1340">
        <f>G17+' SEFA'!G20+' SEFA'!G19+' SEFA'!G15</f>
        <v>1593974</v>
      </c>
      <c r="H19" s="1340"/>
      <c r="I19" s="1340">
        <f>I17+' SEFA'!I20+' SEFA'!I19+' SEFA'!I15</f>
        <v>1691960</v>
      </c>
      <c r="J19" s="1340"/>
      <c r="K19" s="1340"/>
      <c r="L19" s="1337">
        <f t="shared" si="0"/>
        <v>3285934</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2143</v>
      </c>
      <c r="C21" s="1338"/>
      <c r="D21" s="1339"/>
      <c r="E21" s="1340"/>
      <c r="F21" s="1340"/>
      <c r="G21" s="1340"/>
      <c r="H21" s="1340"/>
      <c r="I21" s="1340"/>
      <c r="J21" s="1340"/>
      <c r="K21" s="1340"/>
      <c r="L21" s="1337">
        <f t="shared" si="0"/>
        <v>0</v>
      </c>
      <c r="M21" s="1340"/>
    </row>
    <row r="22" spans="2:14" ht="20.100000000000001" customHeight="1" x14ac:dyDescent="0.2">
      <c r="B22" s="1334" t="s">
        <v>2144</v>
      </c>
      <c r="C22" s="1338">
        <v>84.126000000000005</v>
      </c>
      <c r="D22" s="1339" t="s">
        <v>2178</v>
      </c>
      <c r="E22" s="1340"/>
      <c r="F22" s="1340">
        <v>63955</v>
      </c>
      <c r="G22" s="1340"/>
      <c r="H22" s="1340"/>
      <c r="I22" s="1340">
        <v>66364</v>
      </c>
      <c r="J22" s="1340"/>
      <c r="K22" s="1340"/>
      <c r="L22" s="1337">
        <f t="shared" si="0"/>
        <v>66364</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2141</v>
      </c>
      <c r="C24" s="1338"/>
      <c r="D24" s="1339"/>
      <c r="E24" s="1340">
        <f>E22+E19</f>
        <v>1194071</v>
      </c>
      <c r="F24" s="1340">
        <f>F22+F19</f>
        <v>1797098</v>
      </c>
      <c r="G24" s="1340">
        <f>G22+G19</f>
        <v>1593974</v>
      </c>
      <c r="H24" s="1340"/>
      <c r="I24" s="1340">
        <f>I22+I19</f>
        <v>1758324</v>
      </c>
      <c r="J24" s="1340"/>
      <c r="K24" s="1340">
        <f>' SEFA'!K26+' SEFA'!K19+' SEFA'!K15</f>
        <v>80181</v>
      </c>
      <c r="L24" s="1337">
        <f t="shared" si="0"/>
        <v>3432479</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B1:N152"/>
  <sheetViews>
    <sheetView showGridLines="0" zoomScaleNormal="100" workbookViewId="0">
      <selection activeCell="J27" sqref="J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1" t="str">
        <f>'Single Audit Cover'!A7</f>
        <v>Ball Chatham CUSD 5</v>
      </c>
      <c r="C1" s="2434"/>
      <c r="D1" s="2434"/>
      <c r="E1" s="2434"/>
      <c r="F1" s="2434"/>
      <c r="G1" s="2434"/>
      <c r="H1" s="2434"/>
      <c r="I1" s="2434"/>
      <c r="J1" s="2434"/>
      <c r="K1" s="2434"/>
      <c r="L1" s="2434"/>
      <c r="M1" s="2434"/>
    </row>
    <row r="2" spans="2:14" ht="15" x14ac:dyDescent="0.2">
      <c r="B2" s="2435">
        <f>'Single Audit Cover'!E7</f>
        <v>51084005026</v>
      </c>
      <c r="C2" s="2435"/>
      <c r="D2" s="2435"/>
      <c r="E2" s="2435"/>
      <c r="F2" s="2435"/>
      <c r="G2" s="2435"/>
      <c r="H2" s="2435"/>
      <c r="I2" s="2435"/>
      <c r="J2" s="2435"/>
      <c r="K2" s="2435"/>
      <c r="L2" s="2435"/>
      <c r="M2" s="2435"/>
      <c r="N2" s="1299"/>
    </row>
    <row r="3" spans="2:14" ht="15" x14ac:dyDescent="0.2">
      <c r="B3" s="2436" t="s">
        <v>1218</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2145</v>
      </c>
      <c r="C11" s="1335"/>
      <c r="D11" s="1336"/>
      <c r="E11" s="1337"/>
      <c r="F11" s="1337"/>
      <c r="G11" s="1337"/>
      <c r="H11" s="1337"/>
      <c r="I11" s="1337"/>
      <c r="J11" s="1337"/>
      <c r="K11" s="1337"/>
      <c r="L11" s="1337">
        <f>+G11+I11+K11</f>
        <v>0</v>
      </c>
      <c r="M11" s="1337"/>
    </row>
    <row r="12" spans="2:14" ht="20.100000000000001" customHeight="1" x14ac:dyDescent="0.2">
      <c r="B12" s="1334" t="s">
        <v>2160</v>
      </c>
      <c r="C12" s="1338"/>
      <c r="D12" s="1339"/>
      <c r="E12" s="1340"/>
      <c r="F12" s="1340"/>
      <c r="G12" s="1340"/>
      <c r="H12" s="1340"/>
      <c r="I12" s="1340"/>
      <c r="J12" s="1340"/>
      <c r="K12" s="1340"/>
      <c r="L12" s="1337">
        <f t="shared" ref="L12:L27" si="0">+G12+I12+K12</f>
        <v>0</v>
      </c>
      <c r="M12" s="1340"/>
    </row>
    <row r="13" spans="2:14" ht="20.100000000000001" customHeight="1" x14ac:dyDescent="0.2">
      <c r="B13" s="1334" t="s">
        <v>2146</v>
      </c>
      <c r="C13" s="1338"/>
      <c r="D13" s="1339"/>
      <c r="E13" s="1340"/>
      <c r="F13" s="1340"/>
      <c r="G13" s="1340"/>
      <c r="H13" s="1340"/>
      <c r="I13" s="1340"/>
      <c r="J13" s="1340"/>
      <c r="K13" s="1340"/>
      <c r="L13" s="1337">
        <f t="shared" si="0"/>
        <v>0</v>
      </c>
      <c r="M13" s="1340"/>
    </row>
    <row r="14" spans="2:14" ht="20.100000000000001" customHeight="1" x14ac:dyDescent="0.2">
      <c r="B14" s="1334" t="s">
        <v>2147</v>
      </c>
      <c r="C14" s="1338">
        <v>10.555</v>
      </c>
      <c r="D14" s="1339" t="s">
        <v>2183</v>
      </c>
      <c r="E14" s="1340"/>
      <c r="F14" s="1340">
        <v>64982</v>
      </c>
      <c r="G14" s="1340"/>
      <c r="H14" s="1340"/>
      <c r="I14" s="1340">
        <v>64982</v>
      </c>
      <c r="J14" s="1340"/>
      <c r="K14" s="1340"/>
      <c r="L14" s="1337">
        <f t="shared" si="0"/>
        <v>64982</v>
      </c>
      <c r="M14" s="1340" t="s">
        <v>2129</v>
      </c>
    </row>
    <row r="15" spans="2:14" ht="20.100000000000001" customHeight="1" x14ac:dyDescent="0.2">
      <c r="B15" s="1334" t="s">
        <v>2148</v>
      </c>
      <c r="C15" s="1338"/>
      <c r="D15" s="1339"/>
      <c r="E15" s="1340"/>
      <c r="F15" s="1340"/>
      <c r="G15" s="1340"/>
      <c r="H15" s="1340"/>
      <c r="I15" s="1340"/>
      <c r="J15" s="1340"/>
      <c r="K15" s="1340"/>
      <c r="L15" s="1337">
        <f t="shared" si="0"/>
        <v>0</v>
      </c>
      <c r="M15" s="1340"/>
    </row>
    <row r="16" spans="2:14" ht="20.100000000000001" customHeight="1" x14ac:dyDescent="0.2">
      <c r="B16" s="1334" t="s">
        <v>2147</v>
      </c>
      <c r="C16" s="1338">
        <v>10.555</v>
      </c>
      <c r="D16" s="1339" t="s">
        <v>2183</v>
      </c>
      <c r="E16" s="1340"/>
      <c r="F16" s="1340">
        <v>40929</v>
      </c>
      <c r="G16" s="1340"/>
      <c r="H16" s="1340"/>
      <c r="I16" s="1340">
        <v>40929</v>
      </c>
      <c r="J16" s="1340"/>
      <c r="K16" s="1340"/>
      <c r="L16" s="1337">
        <f t="shared" si="0"/>
        <v>40929</v>
      </c>
      <c r="M16" s="1340" t="s">
        <v>2129</v>
      </c>
    </row>
    <row r="17" spans="2:14" ht="20.100000000000001" customHeight="1" x14ac:dyDescent="0.2">
      <c r="B17" s="1334" t="s">
        <v>2149</v>
      </c>
      <c r="C17" s="1338">
        <v>10.555</v>
      </c>
      <c r="D17" s="1339" t="s">
        <v>2150</v>
      </c>
      <c r="E17" s="1340">
        <v>300839</v>
      </c>
      <c r="F17" s="1340">
        <v>68498</v>
      </c>
      <c r="G17" s="1340">
        <v>300839</v>
      </c>
      <c r="H17" s="1340"/>
      <c r="I17" s="1340">
        <v>68498</v>
      </c>
      <c r="J17" s="1340"/>
      <c r="K17" s="1340"/>
      <c r="L17" s="1337">
        <f t="shared" si="0"/>
        <v>369337</v>
      </c>
      <c r="M17" s="1340" t="s">
        <v>2129</v>
      </c>
    </row>
    <row r="18" spans="2:14" ht="20.100000000000001" customHeight="1" x14ac:dyDescent="0.2">
      <c r="B18" s="1334" t="s">
        <v>2180</v>
      </c>
      <c r="C18" s="1338">
        <v>10.555</v>
      </c>
      <c r="D18" s="1339" t="s">
        <v>2184</v>
      </c>
      <c r="E18" s="1340"/>
      <c r="F18" s="1340">
        <v>319516</v>
      </c>
      <c r="G18" s="1340"/>
      <c r="H18" s="1340"/>
      <c r="I18" s="1340">
        <v>319516</v>
      </c>
      <c r="J18" s="1340"/>
      <c r="K18" s="1340"/>
      <c r="L18" s="1337">
        <f t="shared" si="0"/>
        <v>319516</v>
      </c>
      <c r="M18" s="1340" t="s">
        <v>2129</v>
      </c>
    </row>
    <row r="19" spans="2:14" ht="20.100000000000001" customHeight="1" x14ac:dyDescent="0.2">
      <c r="B19" s="1334" t="s">
        <v>2151</v>
      </c>
      <c r="C19" s="1338"/>
      <c r="D19" s="1339"/>
      <c r="E19" s="1340">
        <f>SUM(E17:E18)</f>
        <v>300839</v>
      </c>
      <c r="F19" s="1340">
        <f>SUM(F14:F18)</f>
        <v>493925</v>
      </c>
      <c r="G19" s="1340">
        <f>SUM(G17:G18)</f>
        <v>300839</v>
      </c>
      <c r="H19" s="1340"/>
      <c r="I19" s="1340">
        <f>SUM(I14:I18)</f>
        <v>493925</v>
      </c>
      <c r="J19" s="1340"/>
      <c r="K19" s="1340"/>
      <c r="L19" s="1337">
        <f t="shared" si="0"/>
        <v>794764</v>
      </c>
      <c r="M19" s="1340"/>
    </row>
    <row r="20" spans="2:14" ht="20.100000000000001" customHeight="1" x14ac:dyDescent="0.2">
      <c r="B20" s="1334" t="s">
        <v>2152</v>
      </c>
      <c r="C20" s="1338">
        <v>10.555999999999999</v>
      </c>
      <c r="D20" s="1339" t="s">
        <v>2153</v>
      </c>
      <c r="E20" s="1340">
        <v>1055</v>
      </c>
      <c r="F20" s="1340">
        <v>272</v>
      </c>
      <c r="G20" s="1340">
        <v>1055</v>
      </c>
      <c r="H20" s="1340"/>
      <c r="I20" s="1340">
        <v>272</v>
      </c>
      <c r="J20" s="1340"/>
      <c r="K20" s="1340"/>
      <c r="L20" s="1337">
        <f t="shared" si="0"/>
        <v>1327</v>
      </c>
      <c r="M20" s="1340" t="s">
        <v>2129</v>
      </c>
    </row>
    <row r="21" spans="2:14" ht="20.100000000000001" customHeight="1" x14ac:dyDescent="0.2">
      <c r="B21" s="1334" t="s">
        <v>2181</v>
      </c>
      <c r="C21" s="1338">
        <v>10.555999999999999</v>
      </c>
      <c r="D21" s="1339" t="s">
        <v>2185</v>
      </c>
      <c r="E21" s="1340"/>
      <c r="F21" s="1340">
        <v>1267</v>
      </c>
      <c r="G21" s="1340"/>
      <c r="H21" s="1340"/>
      <c r="I21" s="1340">
        <v>1267</v>
      </c>
      <c r="J21" s="1340"/>
      <c r="K21" s="1340"/>
      <c r="L21" s="1337">
        <f t="shared" si="0"/>
        <v>1267</v>
      </c>
      <c r="M21" s="1340" t="s">
        <v>2129</v>
      </c>
    </row>
    <row r="22" spans="2:14" ht="20.100000000000001" customHeight="1" x14ac:dyDescent="0.2">
      <c r="B22" s="1334" t="s">
        <v>2154</v>
      </c>
      <c r="C22" s="1338"/>
      <c r="D22" s="1339"/>
      <c r="E22" s="1340">
        <f>SUM(E20:E21)</f>
        <v>1055</v>
      </c>
      <c r="F22" s="1340">
        <f>SUM(F20:F21)</f>
        <v>1539</v>
      </c>
      <c r="G22" s="1340">
        <f>SUM(G20:G21)</f>
        <v>1055</v>
      </c>
      <c r="H22" s="1340"/>
      <c r="I22" s="1340">
        <f>SUM(I20:I21)</f>
        <v>1539</v>
      </c>
      <c r="J22" s="1340"/>
      <c r="K22" s="1340"/>
      <c r="L22" s="1337">
        <f t="shared" si="0"/>
        <v>2594</v>
      </c>
      <c r="M22" s="1340"/>
    </row>
    <row r="23" spans="2:14" ht="20.100000000000001" customHeight="1" x14ac:dyDescent="0.2">
      <c r="B23" s="1334" t="s">
        <v>2155</v>
      </c>
      <c r="C23" s="1338">
        <v>10.553000000000001</v>
      </c>
      <c r="D23" s="1339" t="s">
        <v>2156</v>
      </c>
      <c r="E23" s="1340">
        <v>46296</v>
      </c>
      <c r="F23" s="1340">
        <v>9326</v>
      </c>
      <c r="G23" s="1340">
        <v>46296</v>
      </c>
      <c r="H23" s="1340"/>
      <c r="I23" s="1340">
        <v>9326</v>
      </c>
      <c r="J23" s="1340"/>
      <c r="K23" s="1340"/>
      <c r="L23" s="1337">
        <f t="shared" si="0"/>
        <v>55622</v>
      </c>
      <c r="M23" s="1340" t="s">
        <v>2129</v>
      </c>
    </row>
    <row r="24" spans="2:14" ht="20.100000000000001" customHeight="1" x14ac:dyDescent="0.2">
      <c r="B24" s="1334" t="s">
        <v>2182</v>
      </c>
      <c r="C24" s="1338">
        <v>10.553000000000001</v>
      </c>
      <c r="D24" s="1339" t="s">
        <v>2186</v>
      </c>
      <c r="E24" s="1340"/>
      <c r="F24" s="1340">
        <v>54672</v>
      </c>
      <c r="G24" s="1340"/>
      <c r="H24" s="1340"/>
      <c r="I24" s="1340">
        <v>54672</v>
      </c>
      <c r="J24" s="1340"/>
      <c r="K24" s="1340"/>
      <c r="L24" s="1337">
        <f t="shared" si="0"/>
        <v>54672</v>
      </c>
      <c r="M24" s="1340" t="s">
        <v>2129</v>
      </c>
    </row>
    <row r="25" spans="2:14" ht="20.100000000000001" customHeight="1" x14ac:dyDescent="0.2">
      <c r="B25" s="1334" t="s">
        <v>2157</v>
      </c>
      <c r="C25" s="1338"/>
      <c r="D25" s="1339"/>
      <c r="E25" s="1340">
        <f>SUM(E23:E24)</f>
        <v>46296</v>
      </c>
      <c r="F25" s="1340">
        <f>SUM(F23:F24)</f>
        <v>63998</v>
      </c>
      <c r="G25" s="1340">
        <f>SUM(G23:G24)</f>
        <v>46296</v>
      </c>
      <c r="H25" s="1340"/>
      <c r="I25" s="1340">
        <f>SUM(I23:I24)</f>
        <v>63998</v>
      </c>
      <c r="J25" s="1340"/>
      <c r="K25" s="1340"/>
      <c r="L25" s="1337">
        <f t="shared" si="0"/>
        <v>110294</v>
      </c>
      <c r="M25" s="1340"/>
    </row>
    <row r="26" spans="2:14" ht="20.100000000000001" customHeight="1" x14ac:dyDescent="0.2">
      <c r="B26" s="1334" t="s">
        <v>2158</v>
      </c>
      <c r="C26" s="1338"/>
      <c r="D26" s="1339"/>
      <c r="E26" s="1340">
        <f>SUM(E25+E22+E19)</f>
        <v>348190</v>
      </c>
      <c r="F26" s="1340">
        <f>SUM(F25+F22+F19)</f>
        <v>559462</v>
      </c>
      <c r="G26" s="1340">
        <f>SUM(G25+G22+G19)</f>
        <v>348190</v>
      </c>
      <c r="H26" s="1340"/>
      <c r="I26" s="1340">
        <f>SUM(I25+I22+I19)</f>
        <v>559462</v>
      </c>
      <c r="J26" s="1340"/>
      <c r="K26" s="1340"/>
      <c r="L26" s="1337">
        <f t="shared" si="0"/>
        <v>907652</v>
      </c>
      <c r="M26" s="1340"/>
    </row>
    <row r="27" spans="2:14" ht="20.100000000000001" customHeight="1" x14ac:dyDescent="0.2">
      <c r="B27" s="1334" t="s">
        <v>2159</v>
      </c>
      <c r="C27" s="1338"/>
      <c r="D27" s="1339"/>
      <c r="E27" s="1340">
        <f>E26</f>
        <v>348190</v>
      </c>
      <c r="F27" s="1340">
        <f>F26</f>
        <v>559462</v>
      </c>
      <c r="G27" s="1340">
        <f>G26</f>
        <v>348190</v>
      </c>
      <c r="H27" s="1340"/>
      <c r="I27" s="1340">
        <f>I26</f>
        <v>559462</v>
      </c>
      <c r="J27" s="1340"/>
      <c r="K27" s="1340"/>
      <c r="L27" s="1337">
        <f t="shared" si="0"/>
        <v>907652</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B1:N152"/>
  <sheetViews>
    <sheetView showGridLines="0" topLeftCell="A4" zoomScaleNormal="100" workbookViewId="0">
      <selection activeCell="D27" sqref="D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1" t="str">
        <f>'Single Audit Cover'!A7</f>
        <v>Ball Chatham CUSD 5</v>
      </c>
      <c r="C1" s="2434"/>
      <c r="D1" s="2434"/>
      <c r="E1" s="2434"/>
      <c r="F1" s="2434"/>
      <c r="G1" s="2434"/>
      <c r="H1" s="2434"/>
      <c r="I1" s="2434"/>
      <c r="J1" s="2434"/>
      <c r="K1" s="2434"/>
      <c r="L1" s="2434"/>
      <c r="M1" s="2434"/>
    </row>
    <row r="2" spans="2:14" ht="15" x14ac:dyDescent="0.2">
      <c r="B2" s="2435">
        <f>'Single Audit Cover'!E7</f>
        <v>51084005026</v>
      </c>
      <c r="C2" s="2435"/>
      <c r="D2" s="2435"/>
      <c r="E2" s="2435"/>
      <c r="F2" s="2435"/>
      <c r="G2" s="2435"/>
      <c r="H2" s="2435"/>
      <c r="I2" s="2435"/>
      <c r="J2" s="2435"/>
      <c r="K2" s="2435"/>
      <c r="L2" s="2435"/>
      <c r="M2" s="2435"/>
      <c r="N2" s="1299"/>
    </row>
    <row r="3" spans="2:14" ht="15" x14ac:dyDescent="0.2">
      <c r="B3" s="2436" t="s">
        <v>1218</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2161</v>
      </c>
      <c r="C11" s="1335"/>
      <c r="D11" s="1336"/>
      <c r="E11" s="1337"/>
      <c r="F11" s="1337"/>
      <c r="G11" s="1337"/>
      <c r="H11" s="1337"/>
      <c r="I11" s="1337"/>
      <c r="J11" s="1337"/>
      <c r="K11" s="1337"/>
      <c r="L11" s="1337">
        <f>+G11+I11+K11</f>
        <v>0</v>
      </c>
      <c r="M11" s="1337"/>
    </row>
    <row r="12" spans="2:14" ht="20.100000000000001" customHeight="1" x14ac:dyDescent="0.2">
      <c r="B12" s="1334" t="s">
        <v>2162</v>
      </c>
      <c r="C12" s="1338"/>
      <c r="D12" s="1339"/>
      <c r="E12" s="1340"/>
      <c r="F12" s="1340"/>
      <c r="G12" s="1340"/>
      <c r="H12" s="1340"/>
      <c r="I12" s="1340"/>
      <c r="J12" s="1340"/>
      <c r="K12" s="1340"/>
      <c r="L12" s="1337">
        <f t="shared" ref="L12:L27" si="0">+G12+I12+K12</f>
        <v>0</v>
      </c>
      <c r="M12" s="1340"/>
    </row>
    <row r="13" spans="2:14" ht="20.100000000000001" customHeight="1" x14ac:dyDescent="0.2">
      <c r="B13" s="1334" t="s">
        <v>2163</v>
      </c>
      <c r="C13" s="1338">
        <v>93.778000000000006</v>
      </c>
      <c r="D13" s="1339" t="s">
        <v>2164</v>
      </c>
      <c r="E13" s="1340">
        <v>60065</v>
      </c>
      <c r="F13" s="1340">
        <v>56</v>
      </c>
      <c r="G13" s="1340">
        <v>61671</v>
      </c>
      <c r="H13" s="1340"/>
      <c r="I13" s="1340"/>
      <c r="J13" s="1340"/>
      <c r="K13" s="1340"/>
      <c r="L13" s="1337">
        <f t="shared" si="0"/>
        <v>61671</v>
      </c>
      <c r="M13" s="1340" t="s">
        <v>2129</v>
      </c>
    </row>
    <row r="14" spans="2:14" ht="20.100000000000001" customHeight="1" x14ac:dyDescent="0.2">
      <c r="B14" s="1334" t="s">
        <v>2187</v>
      </c>
      <c r="C14" s="1338">
        <v>93.778000000000006</v>
      </c>
      <c r="D14" s="1339" t="s">
        <v>2188</v>
      </c>
      <c r="E14" s="1340"/>
      <c r="F14" s="1340">
        <v>60065</v>
      </c>
      <c r="G14" s="1340"/>
      <c r="H14" s="1340"/>
      <c r="I14" s="1340">
        <v>79930</v>
      </c>
      <c r="J14" s="1340"/>
      <c r="K14" s="1340"/>
      <c r="L14" s="1337">
        <f t="shared" si="0"/>
        <v>79930</v>
      </c>
      <c r="M14" s="1340" t="s">
        <v>2129</v>
      </c>
    </row>
    <row r="15" spans="2:14" ht="20.100000000000001" customHeight="1" x14ac:dyDescent="0.2">
      <c r="B15" s="1334" t="s">
        <v>2165</v>
      </c>
      <c r="C15" s="1338"/>
      <c r="D15" s="1339"/>
      <c r="E15" s="1340">
        <f>SUM(E13:E14)</f>
        <v>60065</v>
      </c>
      <c r="F15" s="1340">
        <f>SUM(F13:F14)</f>
        <v>60121</v>
      </c>
      <c r="G15" s="1340">
        <f>SUM(G13:G14)</f>
        <v>61671</v>
      </c>
      <c r="H15" s="1340"/>
      <c r="I15" s="1340">
        <f>SUM(I13:I14)</f>
        <v>79930</v>
      </c>
      <c r="J15" s="1340"/>
      <c r="K15" s="1340"/>
      <c r="L15" s="1337">
        <f t="shared" si="0"/>
        <v>141601</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2166</v>
      </c>
      <c r="C17" s="1338"/>
      <c r="D17" s="1339"/>
      <c r="E17" s="1340">
        <f>E15+' SEFA (3)'!E27+' SEFA (2)'!E24</f>
        <v>1602326</v>
      </c>
      <c r="F17" s="1340">
        <f>F15+' SEFA (3)'!F27+' SEFA (2)'!F24</f>
        <v>2416681</v>
      </c>
      <c r="G17" s="1340">
        <f>G15+' SEFA (3)'!G27+' SEFA (2)'!G24</f>
        <v>2003835</v>
      </c>
      <c r="H17" s="1340"/>
      <c r="I17" s="1340">
        <f>I15+' SEFA (3)'!I27+' SEFA (2)'!I24</f>
        <v>2397716</v>
      </c>
      <c r="J17" s="1340"/>
      <c r="K17" s="1340">
        <f>' SEFA (2)'!K24</f>
        <v>80181</v>
      </c>
      <c r="L17" s="1337">
        <f t="shared" si="0"/>
        <v>4481732</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G52"/>
  <sheetViews>
    <sheetView showGridLines="0" topLeftCell="A28" zoomScale="120" zoomScaleNormal="120" workbookViewId="0">
      <selection activeCell="A8" sqref="A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9" t="str">
        <f>'Single Audit Cover'!A7</f>
        <v>Ball Chatham CUSD 5</v>
      </c>
      <c r="B1" s="2439"/>
      <c r="C1" s="2439"/>
      <c r="D1" s="2439"/>
      <c r="E1" s="2439"/>
      <c r="F1" s="2439"/>
    </row>
    <row r="2" spans="1:7" ht="13.5" customHeight="1" x14ac:dyDescent="0.2">
      <c r="A2" s="2435">
        <f>'Single Audit Cover'!E7</f>
        <v>51084005026</v>
      </c>
      <c r="B2" s="2435"/>
      <c r="C2" s="2435"/>
      <c r="D2" s="2435"/>
      <c r="E2" s="2435"/>
      <c r="F2" s="2435"/>
      <c r="G2" s="1272"/>
    </row>
    <row r="3" spans="1:7" ht="15.75" customHeight="1" x14ac:dyDescent="0.2">
      <c r="A3" s="2440" t="s">
        <v>1270</v>
      </c>
      <c r="B3" s="2440"/>
      <c r="C3" s="2440"/>
      <c r="D3" s="2440"/>
      <c r="E3" s="2440"/>
      <c r="F3" s="2440"/>
    </row>
    <row r="4" spans="1:7" ht="13.5" customHeight="1" x14ac:dyDescent="0.2">
      <c r="A4" s="2441" t="str">
        <f>'Single Audit Cover'!A4</f>
        <v>Year Ending June 30, 2019</v>
      </c>
      <c r="B4" s="2441"/>
      <c r="C4" s="2441"/>
      <c r="D4" s="2441"/>
      <c r="E4" s="2441"/>
      <c r="F4" s="2441"/>
    </row>
    <row r="5" spans="1:7" ht="8.25" customHeight="1" x14ac:dyDescent="0.2">
      <c r="C5" s="317"/>
      <c r="D5" s="317"/>
    </row>
    <row r="6" spans="1:7" ht="13.5" customHeight="1" x14ac:dyDescent="0.2">
      <c r="A6" s="1273" t="s">
        <v>1727</v>
      </c>
      <c r="C6" s="317"/>
      <c r="D6" s="317"/>
    </row>
    <row r="7" spans="1:7" ht="60.95" customHeight="1" x14ac:dyDescent="0.2">
      <c r="A7" s="2438" t="s">
        <v>2198</v>
      </c>
      <c r="B7" s="2438"/>
      <c r="C7" s="2438"/>
      <c r="D7" s="2438"/>
      <c r="E7" s="2438"/>
      <c r="F7" s="2438"/>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2069</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38" t="s">
        <v>2196</v>
      </c>
      <c r="B13" s="2438"/>
      <c r="C13" s="2438"/>
      <c r="D13" s="2438"/>
      <c r="E13" s="2438"/>
      <c r="F13" s="2438"/>
    </row>
    <row r="14" spans="1:7" ht="9.75" customHeight="1" x14ac:dyDescent="0.2">
      <c r="C14" s="1257"/>
      <c r="D14" s="1257"/>
    </row>
    <row r="15" spans="1:7" ht="13.5" customHeight="1" x14ac:dyDescent="0.2">
      <c r="C15" s="1846" t="s">
        <v>1269</v>
      </c>
      <c r="D15" s="2443" t="s">
        <v>1268</v>
      </c>
      <c r="E15" s="2443"/>
      <c r="F15" s="2443"/>
    </row>
    <row r="16" spans="1:7" ht="13.5" customHeight="1" x14ac:dyDescent="0.2">
      <c r="A16" s="1279"/>
      <c r="B16" s="1273" t="s">
        <v>1267</v>
      </c>
      <c r="C16" s="1846" t="s">
        <v>1266</v>
      </c>
      <c r="D16" s="2444" t="s">
        <v>1587</v>
      </c>
      <c r="E16" s="2444"/>
      <c r="F16" s="2444"/>
    </row>
    <row r="17" spans="1:6" ht="20.45" customHeight="1" x14ac:dyDescent="0.2">
      <c r="A17" s="1280"/>
      <c r="B17" s="1281" t="s">
        <v>2190</v>
      </c>
      <c r="C17" s="1282" t="s">
        <v>2191</v>
      </c>
      <c r="D17" s="2442">
        <v>0</v>
      </c>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6" t="s">
        <v>2197</v>
      </c>
      <c r="B32" s="2446"/>
      <c r="C32" s="2446"/>
      <c r="D32" s="2446"/>
      <c r="E32" s="2446"/>
      <c r="F32" s="2446"/>
    </row>
    <row r="33" spans="1:6" ht="13.5" customHeight="1" x14ac:dyDescent="0.2">
      <c r="A33" s="328" t="s">
        <v>1433</v>
      </c>
      <c r="B33" s="328"/>
      <c r="C33" s="1285">
        <v>64982</v>
      </c>
      <c r="D33" s="1903"/>
      <c r="E33" s="1283"/>
    </row>
    <row r="34" spans="1:6" ht="13.5" customHeight="1" x14ac:dyDescent="0.2">
      <c r="A34" s="328" t="s">
        <v>1834</v>
      </c>
      <c r="B34" s="328"/>
      <c r="C34" s="1286">
        <v>40929</v>
      </c>
      <c r="D34" s="1903" t="s">
        <v>1588</v>
      </c>
      <c r="E34" s="2447">
        <f>+C33+C34</f>
        <v>105911</v>
      </c>
      <c r="F34" s="2448"/>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v>0</v>
      </c>
      <c r="D38" s="1903"/>
      <c r="E38" s="1283"/>
    </row>
    <row r="39" spans="1:6" ht="14.25" customHeight="1" x14ac:dyDescent="0.2">
      <c r="A39" s="328"/>
      <c r="B39" s="328" t="s">
        <v>1435</v>
      </c>
      <c r="C39" s="1289">
        <v>0</v>
      </c>
      <c r="D39" s="1903"/>
      <c r="E39" s="1283"/>
    </row>
    <row r="40" spans="1:6" ht="14.25" customHeight="1" x14ac:dyDescent="0.2">
      <c r="A40" s="328"/>
      <c r="B40" s="328" t="s">
        <v>1436</v>
      </c>
      <c r="C40" s="1289">
        <v>0</v>
      </c>
      <c r="D40" s="1903"/>
      <c r="E40" s="1283"/>
    </row>
    <row r="41" spans="1:6" ht="14.25" customHeight="1" x14ac:dyDescent="0.2">
      <c r="A41" s="328"/>
      <c r="B41" s="328" t="s">
        <v>1437</v>
      </c>
      <c r="C41" s="1289">
        <v>0</v>
      </c>
      <c r="D41" s="1903"/>
      <c r="E41" s="1283"/>
    </row>
    <row r="42" spans="1:6" ht="14.25" customHeight="1" x14ac:dyDescent="0.2">
      <c r="A42" s="328" t="s">
        <v>1438</v>
      </c>
      <c r="B42" s="328"/>
      <c r="C42" s="1901">
        <v>0</v>
      </c>
      <c r="D42" s="1903"/>
      <c r="E42" s="1283"/>
    </row>
    <row r="43" spans="1:6" ht="14.25" customHeight="1" x14ac:dyDescent="0.2">
      <c r="A43" s="328" t="s">
        <v>1439</v>
      </c>
      <c r="B43" s="328"/>
      <c r="C43" s="1290" t="s">
        <v>571</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9" t="s">
        <v>1589</v>
      </c>
      <c r="C49" s="2449"/>
      <c r="D49" s="2449"/>
      <c r="E49" s="1396"/>
    </row>
    <row r="50" spans="1:5" s="1297" customFormat="1" ht="3.75" customHeight="1" x14ac:dyDescent="0.2">
      <c r="A50" s="1296"/>
      <c r="B50" s="1845"/>
      <c r="C50" s="1845"/>
      <c r="D50" s="1845"/>
      <c r="E50" s="1396"/>
    </row>
    <row r="51" spans="1:5" s="1297" customFormat="1" ht="20.25" customHeight="1" x14ac:dyDescent="0.2">
      <c r="A51" s="1298">
        <v>6</v>
      </c>
      <c r="B51" s="2445" t="s">
        <v>1550</v>
      </c>
      <c r="C51" s="2445"/>
      <c r="D51" s="2445"/>
    </row>
    <row r="52" spans="1:5" ht="14.25" customHeight="1" x14ac:dyDescent="0.2">
      <c r="A52" s="1298"/>
      <c r="B52" s="2445"/>
      <c r="C52" s="2445"/>
      <c r="D52" s="244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J63"/>
  <sheetViews>
    <sheetView showGridLines="0" topLeftCell="A16" zoomScale="110" zoomScaleNormal="110" workbookViewId="0">
      <selection activeCell="N39" sqref="N39"/>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Ball Chatham CUSD 5</v>
      </c>
      <c r="C1" s="2455"/>
      <c r="D1" s="2455"/>
      <c r="E1" s="2455"/>
      <c r="F1" s="2455"/>
      <c r="G1" s="2455"/>
      <c r="H1" s="2455"/>
      <c r="I1" s="2455"/>
      <c r="J1" s="1406"/>
    </row>
    <row r="2" spans="2:10" s="317" customFormat="1" ht="12.75" customHeight="1" x14ac:dyDescent="0.2">
      <c r="B2" s="2456">
        <f>'Single Audit Cover'!E7</f>
        <v>51084005026</v>
      </c>
      <c r="C2" s="2457"/>
      <c r="D2" s="2457"/>
      <c r="E2" s="2457"/>
      <c r="F2" s="2457"/>
      <c r="G2" s="2457"/>
      <c r="H2" s="2457"/>
      <c r="I2" s="2457"/>
      <c r="J2" s="1406"/>
    </row>
    <row r="3" spans="2:10" s="317" customFormat="1" ht="12.75" customHeight="1" x14ac:dyDescent="0.2">
      <c r="B3" s="2458" t="s">
        <v>1284</v>
      </c>
      <c r="C3" s="2459"/>
      <c r="D3" s="2459"/>
      <c r="E3" s="2459"/>
      <c r="F3" s="2459"/>
      <c r="G3" s="2459"/>
      <c r="H3" s="2459"/>
      <c r="I3" s="2459"/>
      <c r="J3" s="1407"/>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8" t="s">
        <v>1283</v>
      </c>
      <c r="C7" s="2459"/>
      <c r="D7" s="2459"/>
      <c r="E7" s="2459"/>
      <c r="F7" s="2459"/>
      <c r="G7" s="2459"/>
      <c r="H7" s="2459"/>
      <c r="I7" s="2459"/>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60" t="s">
        <v>1163</v>
      </c>
      <c r="D11" s="2460"/>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2069</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2069</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2069</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2069</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2069</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1" t="s">
        <v>2192</v>
      </c>
      <c r="E29" s="2461"/>
      <c r="F29" s="2461"/>
      <c r="G29" s="2461"/>
      <c r="H29" s="2461"/>
      <c r="I29" s="2461"/>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2069</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62" t="s">
        <v>1747</v>
      </c>
      <c r="D37" s="2463"/>
      <c r="E37" s="2463"/>
      <c r="F37" s="2464"/>
      <c r="G37" s="2462" t="s">
        <v>1591</v>
      </c>
      <c r="H37" s="2463"/>
      <c r="I37" s="2464"/>
    </row>
    <row r="38" spans="2:9" ht="16.5" customHeight="1" x14ac:dyDescent="0.2">
      <c r="B38" s="1428" t="s">
        <v>2193</v>
      </c>
      <c r="C38" s="2450" t="s">
        <v>2194</v>
      </c>
      <c r="D38" s="2451"/>
      <c r="E38" s="2451"/>
      <c r="F38" s="2452"/>
      <c r="G38" s="2465">
        <v>1193829</v>
      </c>
      <c r="H38" s="2466"/>
      <c r="I38" s="2467"/>
    </row>
    <row r="39" spans="2:9" ht="16.5" customHeight="1" x14ac:dyDescent="0.2">
      <c r="B39" s="1428"/>
      <c r="C39" s="2450"/>
      <c r="D39" s="2451"/>
      <c r="E39" s="2451"/>
      <c r="F39" s="2452"/>
      <c r="G39" s="2453"/>
      <c r="H39" s="2453"/>
      <c r="I39" s="2453"/>
    </row>
    <row r="40" spans="2:9" ht="16.5" customHeight="1" x14ac:dyDescent="0.2">
      <c r="B40" s="1428"/>
      <c r="C40" s="2450"/>
      <c r="D40" s="2451"/>
      <c r="E40" s="2451"/>
      <c r="F40" s="2452"/>
      <c r="G40" s="2453"/>
      <c r="H40" s="2453"/>
      <c r="I40" s="2453"/>
    </row>
    <row r="41" spans="2:9" ht="16.5" customHeight="1" x14ac:dyDescent="0.2">
      <c r="B41" s="1428"/>
      <c r="C41" s="2450"/>
      <c r="D41" s="2451"/>
      <c r="E41" s="2451"/>
      <c r="F41" s="2452"/>
      <c r="G41" s="2453"/>
      <c r="H41" s="2453"/>
      <c r="I41" s="2453"/>
    </row>
    <row r="42" spans="2:9" ht="16.5" customHeight="1" x14ac:dyDescent="0.2">
      <c r="B42" s="1428"/>
      <c r="C42" s="2450"/>
      <c r="D42" s="2451"/>
      <c r="E42" s="2451"/>
      <c r="F42" s="2452"/>
      <c r="G42" s="2453"/>
      <c r="H42" s="2453"/>
      <c r="I42" s="2453"/>
    </row>
    <row r="43" spans="2:9" ht="16.5" customHeight="1" x14ac:dyDescent="0.2">
      <c r="B43" s="1428"/>
      <c r="C43" s="2468" t="s">
        <v>1592</v>
      </c>
      <c r="D43" s="2469"/>
      <c r="E43" s="2469"/>
      <c r="F43" s="2470"/>
      <c r="G43" s="2471">
        <f>SUM(G38:I42)</f>
        <v>1193829</v>
      </c>
      <c r="H43" s="2471"/>
      <c r="I43" s="2471"/>
    </row>
    <row r="44" spans="2:9" ht="12.75" customHeight="1" x14ac:dyDescent="0.2"/>
    <row r="45" spans="2:9" ht="12.75" customHeight="1" x14ac:dyDescent="0.2">
      <c r="B45" s="1419" t="s">
        <v>2058</v>
      </c>
      <c r="D45" s="2472">
        <v>2397716</v>
      </c>
      <c r="E45" s="2473"/>
    </row>
    <row r="46" spans="2:9" ht="5.25" customHeight="1" x14ac:dyDescent="0.2">
      <c r="B46" s="1429"/>
      <c r="D46" s="1430"/>
      <c r="E46" s="1431"/>
    </row>
    <row r="47" spans="2:9" ht="12.75" customHeight="1" x14ac:dyDescent="0.2">
      <c r="B47" s="1297" t="s">
        <v>1593</v>
      </c>
      <c r="C47" s="1297"/>
      <c r="D47" s="1432">
        <f>+G43/D45</f>
        <v>0.49790258729557629</v>
      </c>
      <c r="E47" s="1433"/>
      <c r="F47" s="1434"/>
      <c r="I47" s="1435"/>
    </row>
    <row r="48" spans="2:9" ht="9.9499999999999993" customHeight="1" x14ac:dyDescent="0.2"/>
    <row r="49" spans="1:9" x14ac:dyDescent="0.2">
      <c r="B49" s="1365" t="s">
        <v>1272</v>
      </c>
      <c r="C49" s="1279"/>
      <c r="D49" s="1279"/>
      <c r="E49" s="2474">
        <v>750000</v>
      </c>
      <c r="F49" s="2474"/>
      <c r="G49" s="2474"/>
      <c r="H49" s="322"/>
    </row>
    <row r="51" spans="1:9" ht="13.5" customHeight="1" x14ac:dyDescent="0.2">
      <c r="B51" s="1365" t="s">
        <v>1271</v>
      </c>
      <c r="C51" s="1279"/>
      <c r="E51" s="1422"/>
      <c r="F51" s="1297" t="s">
        <v>884</v>
      </c>
      <c r="G51" s="1422" t="s">
        <v>2069</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Ball Chatham CUSD 5</v>
      </c>
      <c r="C1" s="2454"/>
      <c r="D1" s="2454"/>
      <c r="E1" s="2454"/>
      <c r="F1" s="2454"/>
      <c r="G1" s="2454"/>
      <c r="H1" s="2454"/>
      <c r="I1" s="2454"/>
      <c r="J1" s="2454"/>
      <c r="K1" s="2454"/>
      <c r="L1" s="1371"/>
      <c r="M1" s="1371"/>
    </row>
    <row r="2" spans="1:13" ht="12" customHeight="1" x14ac:dyDescent="0.2">
      <c r="B2" s="2456">
        <f>'Single Audit Cover'!E7</f>
        <v>51084005026</v>
      </c>
      <c r="C2" s="2456"/>
      <c r="D2" s="2456"/>
      <c r="E2" s="2456"/>
      <c r="F2" s="2456"/>
      <c r="G2" s="2456"/>
      <c r="H2" s="2456"/>
      <c r="I2" s="2456"/>
      <c r="J2" s="2456"/>
      <c r="K2" s="2456"/>
      <c r="L2" s="1372"/>
      <c r="M2" s="1373"/>
    </row>
    <row r="3" spans="1:13" ht="10.35" customHeight="1" x14ac:dyDescent="0.2">
      <c r="B3" s="2477" t="s">
        <v>1284</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1295</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1985</v>
      </c>
      <c r="D10" s="1383" t="s">
        <v>2129</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6"/>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6"/>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5"/>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75"/>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L48"/>
  <sheetViews>
    <sheetView showGridLines="0" zoomScaleNormal="100" workbookViewId="0">
      <selection activeCell="B2" sqref="B2:K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Ball Chatham CUSD 5</v>
      </c>
      <c r="C1" s="2481"/>
      <c r="D1" s="2481"/>
      <c r="E1" s="2481"/>
      <c r="F1" s="2481"/>
      <c r="G1" s="2481"/>
      <c r="H1" s="2481"/>
      <c r="I1" s="2481"/>
      <c r="J1" s="2481"/>
      <c r="K1" s="2481"/>
      <c r="L1" s="1449"/>
    </row>
    <row r="2" spans="1:12" ht="12.75" customHeight="1" x14ac:dyDescent="0.2">
      <c r="B2" s="2482">
        <f>'Single Audit Cover'!E7</f>
        <v>51084005026</v>
      </c>
      <c r="C2" s="2482"/>
      <c r="D2" s="2482"/>
      <c r="E2" s="2482"/>
      <c r="F2" s="2482"/>
      <c r="G2" s="2482"/>
      <c r="H2" s="2482"/>
      <c r="I2" s="2482"/>
      <c r="J2" s="2482"/>
      <c r="K2" s="2482"/>
      <c r="L2" s="1450"/>
    </row>
    <row r="3" spans="1:12" ht="12.75" customHeight="1" x14ac:dyDescent="0.2">
      <c r="B3" s="2477" t="s">
        <v>1284</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1168</v>
      </c>
      <c r="C5" s="1257"/>
      <c r="L5" s="322"/>
    </row>
    <row r="6" spans="1:12" ht="30.75" customHeight="1" x14ac:dyDescent="0.2">
      <c r="A6" s="322"/>
      <c r="B6" s="2483" t="s">
        <v>1307</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1985</v>
      </c>
      <c r="D8" s="1452" t="s">
        <v>2195</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1"/>
      <c r="G12" s="2461"/>
      <c r="H12" s="2461"/>
      <c r="I12" s="2461"/>
      <c r="J12" s="2461"/>
      <c r="K12" s="246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4"/>
      <c r="E14" s="2484"/>
      <c r="F14" s="2484"/>
      <c r="H14" s="1459" t="s">
        <v>1302</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5"/>
      <c r="E16" s="2485"/>
      <c r="F16" s="2485"/>
      <c r="G16" s="2485"/>
      <c r="H16" s="2485"/>
      <c r="I16" s="2485"/>
      <c r="J16" s="2485"/>
      <c r="K16" s="2485"/>
      <c r="L16" s="322"/>
    </row>
    <row r="17" spans="2:12" ht="13.5" customHeight="1" x14ac:dyDescent="0.2">
      <c r="B17" s="1384" t="s">
        <v>1300</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B1:E73"/>
  <sheetViews>
    <sheetView showGridLines="0" zoomScale="110" zoomScaleNormal="110" workbookViewId="0">
      <selection activeCell="H5" sqref="H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Ball Chatham CUSD 5</v>
      </c>
      <c r="C1" s="2454"/>
      <c r="D1" s="2454"/>
      <c r="E1" s="1469"/>
    </row>
    <row r="2" spans="2:5" s="1279" customFormat="1" ht="12.75" customHeight="1" x14ac:dyDescent="0.2">
      <c r="B2" s="2456">
        <f>'Single Audit Cover'!E7</f>
        <v>51084005026</v>
      </c>
      <c r="C2" s="2456"/>
      <c r="D2" s="2456"/>
      <c r="E2" s="1470"/>
    </row>
    <row r="3" spans="2:5" ht="12.75" customHeight="1" x14ac:dyDescent="0.2">
      <c r="B3" s="2477" t="s">
        <v>1762</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2190</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4d435f69-8686-490b-bd6d-b153bf22ab50"/>
    <ds:schemaRef ds:uri="http://purl.org/dc/terms/"/>
    <ds:schemaRef ds:uri="http://schemas.microsoft.com/sharepoint/v3"/>
    <ds:schemaRef ds:uri="http://www.w3.org/XML/1998/namespace"/>
    <ds:schemaRef ds:uri="6ce3111e-7420-4802-b50a-75d4e9a0b980"/>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2019-09-27T16:02:26Z</cp:lastPrinted>
  <dcterms:created xsi:type="dcterms:W3CDTF">2003-10-29T19:06:34Z</dcterms:created>
  <dcterms:modified xsi:type="dcterms:W3CDTF">2019-11-05T19:37:37Z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WPCSUniqueID">
    <vt:lpwstr>e4288ef0-a89e-4506-846d-487dd2ad31df</vt:lpwstr>
  </property>
</Properties>
</file>