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E900EFE-84D5-4E52-8103-7F8A52CB18A7}" xr6:coauthVersionLast="36" xr6:coauthVersionMax="36" xr10:uidLastSave="{00000000-0000-0000-0000-000000000000}"/>
  <bookViews>
    <workbookView xWindow="2205" yWindow="2265" windowWidth="21600" windowHeight="11325" tabRatio="79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L15"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D9" i="7"/>
  <c r="B1767" i="106" s="1"/>
  <c r="D1767" i="106" s="1"/>
  <c r="B7235" i="106" l="1"/>
  <c r="D7235" i="106" s="1"/>
  <c r="H342" i="29"/>
  <c r="D6103" i="106"/>
  <c r="D17" i="7"/>
  <c r="B4104" i="106" s="1"/>
  <c r="D4104" i="106" s="1"/>
  <c r="H33" i="118"/>
  <c r="F19" i="7"/>
  <c r="B1807" i="106" s="1"/>
  <c r="D1807" i="106" s="1"/>
  <c r="F49" i="34"/>
  <c r="F44" i="34"/>
  <c r="B6289" i="106"/>
  <c r="D6289" i="106" s="1"/>
  <c r="B6238" i="106"/>
  <c r="D6238" i="106" s="1"/>
  <c r="I24" i="12"/>
  <c r="B3647" i="106"/>
  <c r="D3647" i="106" s="1"/>
  <c r="L13" i="11"/>
  <c r="B2060" i="106" s="1"/>
  <c r="D2060" i="106" s="1"/>
  <c r="F28" i="108"/>
  <c r="E28" i="108"/>
  <c r="G29" i="108"/>
  <c r="B1996" i="106"/>
  <c r="D1996" i="106" s="1"/>
  <c r="I26" i="12"/>
  <c r="B7741" i="106" s="1"/>
  <c r="D7741" i="106" s="1"/>
  <c r="J41" i="3"/>
  <c r="K184" i="29"/>
  <c r="F13" i="4" s="1"/>
  <c r="B2596" i="106" s="1"/>
  <c r="D2596" i="106" s="1"/>
  <c r="G210" i="29"/>
  <c r="K41" i="3"/>
  <c r="L15" i="11"/>
  <c r="B3459" i="106" s="1"/>
  <c r="D3459" i="106" s="1"/>
  <c r="B1990" i="106"/>
  <c r="D1990" i="106" s="1"/>
  <c r="C129" i="29"/>
  <c r="L367" i="29"/>
  <c r="D7245" i="106"/>
  <c r="C352" i="29"/>
  <c r="B1308" i="106"/>
  <c r="D1308" i="106" s="1"/>
  <c r="E174" i="29"/>
  <c r="B1309" i="106" s="1"/>
  <c r="D1309" i="106" s="1"/>
  <c r="K28" i="118"/>
  <c r="O27" i="118" s="1"/>
  <c r="O29" i="118" s="1"/>
  <c r="L342" i="29"/>
  <c r="B3254" i="106"/>
  <c r="D3254" i="106" s="1"/>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170" i="5" l="1"/>
  <c r="D7255" i="106"/>
  <c r="D7256" i="106"/>
  <c r="D7251" i="106"/>
  <c r="D7250" i="106"/>
  <c r="L16" i="11"/>
  <c r="B2061" i="106" s="1"/>
  <c r="D2061" i="106" s="1"/>
  <c r="D44" i="36"/>
  <c r="C114" i="29"/>
  <c r="B757" i="106" s="1"/>
  <c r="D757" i="106" s="1"/>
  <c r="B1381" i="106"/>
  <c r="D1381" i="106" s="1"/>
  <c r="B1317" i="106"/>
  <c r="D1317" i="106" s="1"/>
  <c r="L114" i="29"/>
  <c r="B5527" i="106"/>
  <c r="D5527" i="106" s="1"/>
  <c r="F174" i="34"/>
  <c r="D7253" i="106"/>
  <c r="K342" i="29"/>
  <c r="F13" i="34" s="1"/>
  <c r="B3568" i="106"/>
  <c r="D3568" i="106" s="1"/>
  <c r="D52" i="3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5778" i="106" l="1"/>
  <c r="D5778" i="106" s="1"/>
  <c r="G6" i="4"/>
  <c r="B2604" i="106" s="1"/>
  <c r="D260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<sst xmlns="http://schemas.openxmlformats.org/spreadsheetml/2006/main" count="5328" uniqueCount="2194">
  <si>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</si>
  <si>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</si>
  <si>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</si>
  <si>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</si>
  <si>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</si>
  <si>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</si>
  <si>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</si>
  <si>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</si>
  <si>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</si>
  <si>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</si>
  <si>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</si>
  <si>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</si>
  <si>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</si>
  <si>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</si>
  <si>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</si>
  <si>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</si>
  <si>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</si>
  <si>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</si>
  <si>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</si>
  <si>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</si>
  <si>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</si>
  <si>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</si>
  <si>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</si>
  <si>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</si>
  <si>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</si>
  <si>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</si>
  <si>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</si>
  <si>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</si>
  <si>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</si>
  <si>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</si>
  <si>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</si>
  <si>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</si>
  <si>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</si>
  <si>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</si>
  <si>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</si>
  <si>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</si>
  <si>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</si>
  <si>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</si>
  <si>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</si>
  <si>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</si>
  <si>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</si>
  <si>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</si>
  <si>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</si>
  <si>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</si>
  <si>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</si>
  <si>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</si>
  <si>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</si>
  <si>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</si>
  <si>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</si>
  <si>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</si>
  <si>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</si>
  <si>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</si>
  <si>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</si>
  <si>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</si>
  <si>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</si>
  <si>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</si>
  <si>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</si>
  <si>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</si>
  <si>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</si>
  <si>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</si>
  <si>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</si>
  <si>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</si>
  <si>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</si>
  <si>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</si>
  <si>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</si>
  <si>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</si>
  <si>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</si>
  <si>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</si>
  <si>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</si>
  <si>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</si>
  <si>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</si>
  <si>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</si>
  <si>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</si>
  <si>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</si>
  <si>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</si>
  <si>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</si>
  <si>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</si>
  <si>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</si>
  <si>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</si>
  <si>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</si>
  <si>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</si>
  <si>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</si>
  <si>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</si>
  <si>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</si>
  <si>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</si>
  <si>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</si>
  <si>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</si>
  <si>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</si>
  <si>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</si>
  <si>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</si>
  <si>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</si>
  <si>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</si>
  <si>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</si>
  <si>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</si>
  <si>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</si>
  <si>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</si>
  <si>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</si>
  <si>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</si>
  <si>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</si>
  <si>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</si>
  <si>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</si>
  <si>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</si>
  <si>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</si>
  <si>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</si>
  <si>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</si>
  <si>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</si>
  <si>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</si>
  <si>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</si>
  <si>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</si>
  <si>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</si>
  <si>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</si>
  <si>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</si>
  <si>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</si>
  <si>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</si>
  <si>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</si>
  <si>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</si>
  <si>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</si>
  <si>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</si>
  <si>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</si>
  <si>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</si>
  <si>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</si>
  <si>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</si>
  <si>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</si>
  <si>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</si>
  <si>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</si>
  <si>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</si>
  <si>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</si>
  <si>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</si>
  <si>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</si>
  <si>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</si>
  <si>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</si>
  <si>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</si>
  <si>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</si>
  <si>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</si>
  <si>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</si>
  <si>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</si>
  <si>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</si>
  <si>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</si>
  <si>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</si>
  <si>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</si>
  <si>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</si>
  <si>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</si>
  <si>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</si>
  <si>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</si>
  <si>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</si>
  <si>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</si>
  <si>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</si>
  <si>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</si>
  <si>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</si>
  <si>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</si>
  <si>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</si>
  <si>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</si>
  <si>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</si>
  <si>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</si>
  <si>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</si>
  <si>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</si>
  <si>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</si>
  <si>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</si>
  <si>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</si>
  <si>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</si>
  <si>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</si>
  <si>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</si>
  <si>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</si>
  <si>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</si>
  <si>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</si>
  <si>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</si>
  <si>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</si>
  <si>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</si>
  <si>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</si>
  <si>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</si>
  <si>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</si>
  <si>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</si>
  <si>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</si>
  <si>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</si>
  <si>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</si>
  <si>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</si>
  <si>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</si>
  <si>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</si>
  <si>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</si>
  <si>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</si>
  <si>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</si>
  <si>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</si>
  <si>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</si>
  <si>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</si>
  <si>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</si>
  <si>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</si>
  <si>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</si>
  <si>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</si>
  <si>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</si>
  <si>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</si>
  <si>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</si>
  <si>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</si>
  <si>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</si>
  <si>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</si>
  <si>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</si>
  <si>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</si>
  <si>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</si>
  <si>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</si>
  <si>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</si>
  <si>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</si>
  <si>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</si>
  <si>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</si>
  <si>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</si>
  <si>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</si>
  <si>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</si>
  <si>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</si>
  <si>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</si>
  <si>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</si>
  <si>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</si>
  <si>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</si>
  <si>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</si>
  <si>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</si>
  <si>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</si>
  <si>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</si>
  <si>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</si>
  <si>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</si>
  <si>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</si>
  <si>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</si>
  <si>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</si>
  <si>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</si>
  <si>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</si>
  <si>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</si>
  <si>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</si>
  <si>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</si>
  <si>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</si>
  <si>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</si>
  <si>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</si>
  <si>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</si>
  <si>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</si>
  <si>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</si>
  <si>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</si>
  <si>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</si>
  <si>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</si>
  <si>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</si>
  <si>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</si>
  <si>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</si>
  <si>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</si>
  <si>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</si>
  <si>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</si>
  <si>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</si>
  <si>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</si>
  <si>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</si>
  <si>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</si>
  <si>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</si>
  <si>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</si>
  <si>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</si>
  <si>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</si>
  <si>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</si>
  <si>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</si>
  <si>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</si>
  <si>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</si>
  <si>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</si>
  <si>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</si>
  <si>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</si>
  <si>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</si>
  <si>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</si>
  <si>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</si>
  <si>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</si>
  <si>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</si>
  <si>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</si>
  <si>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</si>
  <si>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</si>
  <si>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</si>
  <si>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</si>
  <si>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</si>
  <si>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</si>
  <si>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</si>
  <si>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</si>
  <si>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</si>
  <si>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</si>
  <si>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</si>
  <si>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</si>
  <si>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</si>
  <si>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</si>
  <si>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</si>
  <si>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</si>
  <si>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</si>
  <si>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</si>
  <si>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</si>
  <si>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</si>
  <si>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</si>
  <si>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</si>
  <si>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</si>
  <si>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</si>
  <si>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</si>
  <si>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</si>
  <si>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</si>
  <si>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</si>
  <si>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</si>
  <si>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</si>
  <si>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</si>
  <si>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</si>
  <si>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</si>
  <si>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</si>
  <si>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</si>
  <si>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</si>
  <si>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</si>
  <si>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</si>
  <si>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</si>
  <si>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</si>
  <si>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</si>
  <si>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</si>
  <si>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</si>
  <si>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</si>
  <si>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</si>
  <si>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</si>
  <si>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</si>
  <si>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</si>
  <si>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</si>
  <si>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</si>
  <si>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</si>
  <si>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</si>
  <si>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</si>
  <si>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</si>
  <si>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</si>
  <si>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</si>
  <si>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</si>
  <si>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</si>
  <si>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</si>
  <si>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</si>
  <si>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</si>
  <si>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</si>
  <si>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</si>
  <si>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</si>
  <si>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</si>
  <si>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</si>
  <si>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</si>
  <si>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</si>
  <si>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</si>
  <si>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</si>
  <si>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</si>
  <si>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</si>
  <si>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</si>
  <si>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</si>
  <si>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</si>
  <si>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</si>
  <si>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</si>
  <si>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</si>
  <si>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</si>
  <si>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</si>
  <si>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</si>
  <si>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</si>
  <si>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</si>
  <si>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</si>
  <si>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</si>
  <si>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</si>
  <si>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</si>
  <si>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</si>
  <si>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</si>
  <si>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</si>
  <si>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</si>
  <si>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</si>
  <si>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</si>
  <si>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</si>
  <si>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</si>
  <si>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</si>
  <si>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</si>
  <si>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</si>
  <si>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</si>
  <si>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</si>
  <si>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</si>
  <si>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</si>
  <si>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</si>
  <si>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</si>
  <si>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</si>
  <si>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</si>
  <si>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</si>
  <si>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</si>
  <si>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</si>
  <si>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</si>
  <si>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</si>
  <si>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</si>
  <si>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</si>
  <si>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</si>
  <si>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</si>
  <si>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</si>
  <si>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</si>
  <si>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</si>
  <si>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</si>
  <si>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</si>
  <si>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</si>
  <si>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</si>
  <si>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</si>
  <si>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</si>
  <si>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</si>
  <si>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</si>
  <si>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</si>
  <si>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</si>
  <si>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</si>
  <si>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</si>
  <si>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</si>
  <si>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</si>
  <si>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</si>
  <si>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</si>
  <si>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</si>
  <si>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</si>
  <si>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</si>
  <si>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</si>
  <si>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</si>
  <si>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</si>
  <si>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</si>
  <si>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</si>
  <si>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</si>
  <si>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</si>
  <si>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</si>
  <si>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</si>
  <si>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</si>
  <si>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</si>
  <si>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</si>
  <si>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</si>
  <si>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</si>
  <si>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</si>
  <si>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</si>
  <si>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</si>
  <si>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</si>
  <si>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</si>
  <si>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</si>
  <si>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</si>
  <si>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</si>
  <si>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</si>
  <si>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</si>
  <si>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</si>
  <si>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</si>
  <si>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</si>
  <si>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</si>
  <si>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</si>
  <si>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</si>
  <si>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</si>
  <si>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</si>
  <si>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</si>
  <si>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</si>
  <si>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</si>
  <si>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</si>
  <si>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</si>
  <si>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</si>
  <si>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</si>
  <si>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</si>
  <si>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</si>
  <si>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</si>
  <si>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</si>
  <si>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</si>
  <si>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</si>
  <si>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</si>
  <si>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</si>
  <si>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</si>
  <si>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</si>
  <si>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</si>
  <si>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</si>
  <si>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</si>
  <si>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</si>
  <si>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</si>
  <si>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</si>
  <si>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</si>
  <si>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</si>
  <si>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</si>
  <si>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</si>
  <si>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</si>
  <si>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</si>
  <si>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</si>
  <si>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</si>
  <si>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</si>
  <si>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</si>
  <si>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</si>
  <si>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</si>
  <si>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</si>
  <si>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</si>
  <si>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</si>
  <si>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</si>
  <si>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</si>
  <si>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</si>
  <si>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</si>
  <si>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</si>
  <si>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</si>
  <si>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</si>
  <si>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</si>
  <si>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</si>
  <si>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</si>
  <si>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</si>
  <si>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</si>
  <si>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</si>
  <si>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</si>
  <si>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</si>
  <si>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</si>
  <si>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</si>
  <si>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</si>
  <si>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</si>
  <si>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</si>
  <si>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</si>
  <si>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</si>
  <si>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</si>
  <si>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</si>
  <si>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</si>
  <si>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</si>
  <si>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</si>
  <si>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</si>
  <si>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</si>
  <si>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</si>
  <si>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</si>
  <si>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</si>
  <si>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</si>
  <si>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</si>
  <si>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</si>
  <si>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</si>
  <si>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</si>
  <si>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</si>
  <si>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</si>
  <si>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</si>
  <si>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</si>
  <si>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</si>
  <si>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</si>
  <si>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</si>
  <si>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</si>
  <si>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</si>
  <si>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</si>
  <si>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</si>
  <si>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</si>
  <si>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</si>
  <si>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</si>
  <si>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</si>
  <si>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</si>
  <si>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</si>
  <si>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</si>
  <si>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</si>
  <si>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</si>
  <si>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</si>
  <si>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</si>
  <si>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</si>
  <si>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</si>
  <si>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</si>
  <si>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</si>
  <si>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</si>
  <si>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</si>
  <si>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</si>
  <si>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</si>
  <si>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</si>
  <si>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</si>
  <si>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</si>
  <si>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</si>
  <si>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</si>
  <si>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</si>
  <si>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</si>
  <si>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</si>
  <si>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</si>
  <si>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</si>
  <si>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</si>
  <si>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</si>
  <si>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</si>
  <si>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</si>
  <si>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</si>
  <si>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</si>
  <si>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</si>
  <si>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</si>
  <si>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</si>
  <si>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</si>
  <si>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</si>
  <si>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</si>
  <si>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</si>
  <si>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</si>
  <si>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</si>
  <si>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</si>
  <si>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</si>
  <si>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</si>
  <si>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</si>
  <si>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</si>
  <si>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</si>
  <si>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</si>
  <si>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</si>
  <si>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</si>
  <si>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</si>
  <si>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</si>
  <si>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</si>
  <si>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</si>
  <si>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</si>
  <si>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</si>
  <si>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</si>
  <si>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</si>
  <si>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</si>
  <si>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</si>
  <si>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</si>
  <si>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</si>
  <si>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</si>
  <si>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</si>
  <si>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</si>
  <si>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</si>
  <si>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</si>
  <si>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</si>
  <si>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</si>
  <si>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</si>
  <si>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</si>
  <si>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</si>
  <si>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</si>
  <si>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</si>
  <si>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</si>
  <si>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</si>
  <si>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</si>
  <si>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</si>
  <si>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</si>
  <si>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</si>
  <si>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</si>
  <si>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</si>
  <si>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</si>
  <si>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</si>
  <si>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</si>
  <si>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</si>
  <si>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</si>
  <si>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</si>
  <si>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</si>
  <si>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</si>
  <si>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</si>
  <si>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</si>
  <si>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</si>
  <si>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</si>
  <si>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</si>
  <si>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</si>
  <si>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</si>
  <si>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</si>
  <si>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</si>
  <si>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</si>
  <si>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</si>
  <si>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</si>
  <si>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</si>
  <si>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</si>
  <si>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</si>
  <si>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</si>
  <si>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</si>
  <si>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</si>
  <si>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</si>
  <si>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</si>
  <si>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</si>
  <si>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</si>
  <si>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</si>
  <si>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</si>
  <si>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</si>
  <si>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</si>
  <si>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</si>
  <si>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</si>
  <si>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</si>
  <si>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</si>
  <si>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</si>
  <si>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</si>
  <si>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</si>
  <si>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</si>
  <si>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</si>
  <si>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</si>
  <si>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</si>
  <si>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</si>
  <si>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</si>
  <si>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</si>
  <si>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</si>
  <si>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</si>
  <si>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</si>
  <si>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</si>
  <si>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</si>
  <si>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</si>
  <si>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</si>
  <si>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</si>
  <si>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</si>
  <si>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</si>
  <si>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</si>
  <si>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</si>
  <si>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</si>
  <si>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</si>
  <si>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</si>
  <si>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</si>
  <si>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</si>
  <si>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</si>
  <si>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</si>
  <si>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</si>
  <si>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</si>
  <si>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</si>
  <si>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</si>
  <si>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</si>
  <si>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</si>
  <si>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</si>
  <si>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</si>
  <si>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</si>
  <si>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</si>
  <si>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</si>
  <si>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</si>
  <si>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</si>
  <si>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</si>
  <si>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</si>
  <si>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</si>
  <si>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</si>
  <si>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</si>
  <si>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</si>
  <si>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</si>
  <si>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</si>
  <si>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</si>
  <si>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</si>
  <si>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</si>
  <si>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</si>
  <si>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</si>
  <si>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</si>
  <si>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</si>
  <si>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</si>
  <si>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</si>
  <si>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</si>
  <si>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</si>
  <si>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</si>
  <si>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</si>
  <si>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</si>
  <si>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</si>
  <si>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</si>
  <si>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</si>
  <si>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</si>
  <si>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</si>
  <si>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</si>
  <si>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</si>
  <si>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</si>
  <si>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</si>
  <si>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</si>
  <si>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</si>
  <si>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</si>
  <si>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</si>
  <si>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</si>
  <si>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</si>
  <si>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</si>
  <si>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</si>
  <si>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</si>
  <si>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</si>
  <si>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</si>
  <si>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</si>
  <si>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</si>
  <si>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</si>
  <si>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</si>
  <si>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</si>
  <si>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</si>
  <si>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</si>
  <si>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</si>
  <si>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</si>
  <si>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</si>
  <si>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</si>
  <si>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</si>
  <si>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</si>
  <si>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</si>
  <si>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</si>
  <si>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</si>
  <si>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</si>
  <si>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</si>
  <si>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</si>
  <si>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</si>
  <si>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</si>
  <si>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</si>
  <si>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</si>
  <si>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</si>
  <si>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</si>
  <si>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</si>
  <si>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</si>
  <si>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</si>
  <si>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</si>
  <si>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</si>
  <si>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</si>
  <si>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</si>
  <si>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</si>
  <si>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</si>
  <si>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</si>
  <si>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</si>
  <si>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</si>
  <si>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</si>
  <si>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</si>
  <si>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</si>
  <si>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</si>
  <si>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</si>
  <si>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</si>
  <si>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</si>
  <si>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</si>
  <si>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</si>
  <si>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</si>
  <si>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</si>
  <si>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</si>
  <si>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</si>
  <si>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</si>
  <si>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</si>
  <si>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</si>
  <si>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</si>
  <si>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</si>
  <si>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</si>
  <si>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</si>
  <si>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</si>
  <si>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</si>
  <si>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</si>
  <si>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</si>
  <si>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</si>
  <si>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</si>
  <si>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</si>
  <si>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</si>
  <si>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</si>
  <si>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</si>
  <si>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</si>
  <si>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</si>
  <si>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</si>
  <si>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</si>
  <si>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</si>
  <si>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</si>
  <si>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</si>
  <si>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</si>
  <si>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</si>
  <si>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</si>
  <si>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</si>
  <si>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</si>
  <si>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</si>
  <si>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</si>
  <si>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</si>
  <si>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</si>
  <si>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</si>
  <si>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</si>
  <si>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</si>
  <si>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</si>
  <si>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</si>
  <si>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</si>
  <si>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</si>
  <si>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</si>
  <si>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</si>
  <si>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</si>
  <si>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</si>
  <si>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</si>
  <si>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</si>
  <si>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</si>
  <si>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</si>
  <si>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</si>
  <si>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</si>
  <si>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</si>
  <si>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</si>
  <si>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</si>
  <si>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</si>
  <si>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</si>
  <si>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</si>
  <si>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</si>
  <si>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</si>
  <si>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</si>
  <si>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</si>
  <si>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</si>
  <si>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</si>
  <si>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</si>
  <si>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</si>
  <si>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</si>
  <si>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</si>
  <si>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</si>
  <si>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</si>
  <si>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</si>
  <si>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</si>
  <si>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</si>
  <si>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</si>
  <si>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</si>
  <si>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</si>
  <si>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</si>
  <si>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</si>
  <si>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</si>
  <si>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</si>
  <si>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</si>
  <si>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</si>
  <si>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</si>
  <si>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</si>
  <si>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</si>
  <si>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</si>
  <si>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</si>
  <si>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</si>
  <si>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</si>
  <si>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</si>
  <si>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</si>
  <si>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</si>
  <si>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</si>
  <si>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</si>
  <si>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</si>
  <si>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</si>
  <si>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</si>
  <si>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</si>
  <si>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</si>
  <si>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</si>
  <si>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</si>
  <si>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</si>
  <si>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</si>
  <si>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</si>
  <si>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</si>
  <si>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</si>
  <si>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</si>
  <si>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</si>
  <si>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</si>
  <si>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</si>
  <si>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</si>
  <si>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</si>
  <si>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</si>
  <si>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</si>
  <si>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</si>
  <si>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</si>
  <si>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</si>
  <si>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</si>
  <si>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</si>
  <si>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</si>
  <si>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</si>
  <si>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</si>
  <si>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</si>
  <si>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</si>
  <si>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</si>
  <si>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</si>
  <si>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</si>
  <si>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</si>
  <si>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</si>
  <si>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</si>
  <si>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</si>
  <si>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</si>
  <si>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</si>
  <si>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</si>
  <si>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</si>
  <si>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</si>
  <si>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</si>
  <si>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</si>
  <si>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</si>
  <si>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</si>
  <si>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</si>
  <si>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</si>
  <si>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</si>
  <si>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</si>
  <si>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</si>
  <si>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</si>
  <si>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</si>
  <si>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</si>
  <si>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</si>
  <si>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</si>
  <si>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</si>
  <si>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</si>
  <si>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</si>
  <si>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</si>
  <si>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</si>
  <si>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</si>
  <si>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</si>
  <si>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</si>
  <si>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</si>
  <si>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</si>
  <si>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</si>
  <si>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</si>
  <si>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</si>
  <si>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</si>
  <si>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</si>
  <si>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</si>
  <si>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</si>
  <si>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</si>
  <si>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</si>
  <si>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</si>
  <si>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</si>
  <si>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</si>
  <si>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</si>
  <si>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</si>
  <si>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</si>
  <si>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</si>
  <si>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</si>
  <si>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</si>
  <si>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</si>
  <si>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</si>
  <si>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</si>
  <si>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</si>
  <si>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</si>
  <si>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</si>
  <si>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</si>
  <si>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</si>
  <si>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</si>
  <si>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</si>
  <si>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</si>
  <si>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</si>
  <si>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</si>
  <si>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</si>
  <si>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</si>
  <si>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</si>
  <si>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</si>
  <si>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</si>
  <si>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</si>
  <si>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</si>
  <si>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</si>
  <si>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</si>
  <si>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</si>
  <si>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</si>
  <si>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</si>
  <si>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</si>
  <si>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</si>
  <si>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</si>
  <si>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</si>
  <si>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</si>
  <si>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</si>
  <si>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</si>
  <si>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</si>
  <si>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</si>
  <si>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</si>
  <si>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</si>
  <si>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</si>
  <si>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</si>
  <si>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</si>
  <si>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</si>
  <si>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</si>
  <si>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</si>
  <si>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</si>
  <si>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</si>
  <si>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</si>
  <si>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</si>
  <si>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</si>
  <si>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</si>
  <si>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</si>
  <si>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</si>
  <si>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</si>
  <si>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</si>
  <si>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</si>
  <si>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</si>
  <si>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</si>
  <si>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</si>
  <si>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</si>
  <si>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</si>
  <si>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</si>
  <si>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</si>
  <si>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</si>
  <si>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</si>
  <si>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</si>
  <si>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</si>
  <si>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</si>
  <si>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</si>
  <si>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</si>
  <si>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</si>
  <si>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</si>
  <si>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</si>
  <si>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</si>
  <si>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</si>
  <si>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</si>
  <si>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</si>
  <si>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</si>
  <si>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</si>
  <si>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</si>
  <si>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</si>
  <si>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</si>
  <si>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</si>
  <si>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</si>
  <si>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</si>
  <si>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</si>
  <si>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</si>
  <si>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</si>
  <si>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</si>
  <si>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</si>
  <si>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</si>
  <si>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</si>
  <si>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</si>
  <si>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</si>
  <si>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</si>
  <si>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</si>
  <si>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</si>
  <si>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</si>
  <si>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</si>
  <si>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</si>
  <si>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</si>
  <si>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</si>
  <si>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</si>
  <si>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</si>
  <si>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</si>
  <si>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</si>
  <si>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</si>
  <si>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</si>
  <si>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</si>
  <si>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</si>
  <si>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</si>
  <si>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</si>
  <si>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</si>
  <si>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</si>
  <si>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</si>
  <si>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</si>
  <si>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</si>
  <si>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</si>
  <si>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</si>
  <si>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</si>
  <si>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</si>
  <si>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</si>
  <si>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</si>
  <si>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</si>
  <si>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</si>
  <si>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</si>
  <si>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</si>
  <si>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</si>
  <si>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</si>
  <si>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</si>
  <si>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</si>
  <si>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</si>
  <si>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</si>
  <si>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</si>
  <si>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</si>
  <si>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</si>
  <si>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</si>
  <si>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</si>
  <si>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</si>
  <si>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</si>
  <si>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</si>
  <si>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</si>
  <si>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</si>
  <si>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</si>
  <si>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</si>
  <si>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</si>
  <si>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</si>
  <si>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</si>
  <si>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</si>
  <si>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</si>
  <si>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</si>
  <si>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</si>
  <si>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</si>
  <si>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</si>
  <si>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</si>
  <si>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</si>
  <si>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</si>
  <si>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</si>
  <si>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</si>
  <si>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</si>
  <si>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</si>
  <si>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</si>
  <si>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</si>
  <si>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</si>
  <si>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</si>
  <si>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</si>
  <si>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</si>
  <si>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</si>
  <si>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</si>
  <si>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</si>
  <si>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</si>
  <si>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</si>
  <si>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</si>
  <si>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</si>
  <si>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</si>
  <si>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</si>
  <si>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</si>
  <si>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</si>
  <si>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</si>
  <si>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</si>
  <si>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</si>
  <si>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</si>
  <si>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</si>
  <si>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</si>
  <si>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</si>
  <si>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</si>
  <si>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</si>
  <si>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</si>
  <si>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</si>
  <si>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</si>
  <si>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</si>
  <si>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</si>
  <si>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</si>
  <si>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</si>
  <si>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</si>
  <si>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</si>
  <si>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</si>
  <si>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</si>
  <si>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</si>
  <si>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</si>
  <si>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</si>
  <si>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</si>
  <si>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</si>
  <si>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</si>
  <si>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</si>
  <si>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</si>
  <si>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</si>
  <si>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</si>
  <si>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</si>
  <si>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</si>
  <si>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</si>
  <si>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</si>
  <si>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</si>
  <si>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</si>
  <si>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</si>
  <si>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</si>
  <si>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</si>
  <si>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</si>
  <si>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</si>
  <si>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</si>
  <si>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</si>
  <si>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</si>
  <si>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</si>
  <si>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</si>
  <si>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</si>
  <si>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</si>
  <si>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</si>
  <si>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</si>
  <si>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</si>
  <si>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</si>
  <si>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</si>
  <si>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</si>
  <si>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</si>
  <si>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</si>
  <si>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</si>
  <si>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</si>
  <si>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</si>
  <si>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</si>
  <si>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</si>
  <si>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</si>
  <si>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</si>
  <si>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</si>
  <si>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</si>
  <si>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</si>
  <si>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</si>
  <si>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</si>
  <si>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</si>
  <si>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</si>
  <si>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</si>
  <si>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</si>
  <si>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</si>
  <si>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</si>
  <si>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</si>
  <si>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</si>
  <si>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</si>
  <si>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</si>
  <si>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</si>
  <si>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</si>
  <si>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</si>
  <si>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</si>
  <si>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</si>
  <si>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</si>
  <si>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</si>
  <si>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</si>
  <si>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</si>
  <si>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</si>
  <si>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</si>
  <si>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</si>
  <si>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</si>
  <si>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</si>
  <si>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</si>
  <si>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</si>
  <si>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</si>
  <si>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</si>
  <si>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</si>
  <si>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</si>
  <si>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</si>
  <si>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</si>
  <si>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</si>
  <si>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</si>
  <si>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</si>
  <si>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</si>
  <si>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</si>
  <si>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</si>
  <si>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</si>
  <si>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</si>
  <si>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</si>
  <si>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</si>
  <si>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</si>
  <si>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</si>
  <si>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</si>
  <si>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</si>
  <si>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</si>
  <si>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</si>
  <si>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</si>
  <si>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</si>
  <si>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</si>
  <si>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</si>
  <si>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</si>
  <si>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</si>
  <si>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</si>
  <si>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</si>
  <si>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</si>
  <si>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</si>
  <si>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</si>
  <si>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</si>
  <si>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</si>
  <si>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</si>
  <si>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</si>
  <si>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</si>
  <si>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</si>
  <si>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</si>
  <si>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</si>
  <si>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</si>
  <si>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</si>
  <si>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</si>
  <si>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</si>
  <si>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</si>
  <si>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</si>
  <si>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</si>
  <si>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</si>
  <si>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</si>
  <si>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</si>
  <si>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</si>
  <si>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</si>
  <si>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</si>
  <si>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</si>
  <si>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</si>
  <si>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</si>
  <si>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</si>
  <si>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</si>
  <si>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</si>
  <si>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</si>
  <si>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</si>
  <si>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</si>
  <si>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</si>
  <si>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</si>
  <si>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</si>
  <si>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</si>
  <si>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</si>
  <si>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</si>
  <si>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</si>
  <si>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</si>
  <si>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</si>
  <si>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</si>
  <si>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</si>
  <si>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</si>
  <si>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</si>
  <si>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</si>
  <si>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</si>
  <si>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</si>
  <si>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</si>
  <si>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</si>
  <si>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</si>
  <si>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</si>
  <si>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</si>
  <si>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</si>
  <si>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</si>
  <si>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</si>
  <si>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</si>
  <si>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</si>
  <si>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</si>
  <si>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</si>
  <si>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</si>
  <si>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</si>
  <si>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</si>
  <si>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</si>
  <si>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</si>
  <si>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</si>
  <si>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</si>
  <si>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</si>
  <si>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</si>
  <si>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</si>
  <si>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</si>
  <si>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</si>
  <si>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</si>
  <si>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</si>
  <si>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</si>
  <si>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</si>
  <si>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</si>
  <si>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</si>
  <si>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</si>
  <si>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</si>
  <si>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</si>
  <si>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</si>
  <si>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</si>
  <si>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</si>
  <si>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</si>
  <si>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</si>
  <si>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</si>
  <si>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</si>
  <si>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</si>
  <si>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</si>
  <si>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</si>
  <si>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</si>
  <si>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</si>
  <si>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</si>
  <si>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</si>
  <si>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</si>
  <si>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</si>
  <si>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</si>
  <si>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</si>
  <si>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</si>
  <si>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</si>
  <si>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</si>
  <si>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</si>
  <si>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</si>
  <si>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</si>
  <si>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</si>
  <si>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</si>
  <si>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</si>
  <si>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</si>
  <si>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</si>
  <si>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</si>
  <si>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</si>
  <si>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</si>
  <si>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</si>
  <si>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</si>
  <si>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</si>
  <si>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</si>
  <si>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</si>
  <si>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</si>
  <si>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</si>
  <si>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</si>
  <si>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</si>
  <si>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</si>
  <si>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</si>
  <si>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</si>
  <si>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</si>
  <si>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</si>
  <si>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</si>
  <si>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</si>
  <si>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</si>
  <si>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</si>
  <si>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</si>
  <si>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</si>
  <si>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</si>
  <si>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</si>
  <si>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</si>
  <si>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</si>
  <si>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</si>
  <si>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</si>
  <si>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</si>
  <si>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</si>
  <si>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</si>
  <si>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</si>
  <si>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</si>
  <si>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</si>
  <si>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</si>
  <si>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</si>
  <si>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</si>
  <si>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</si>
  <si>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</si>
  <si>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</si>
  <si>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</si>
  <si>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</si>
  <si>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</si>
  <si>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</si>
  <si>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</si>
  <si>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</si>
  <si>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</si>
  <si>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</si>
  <si>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</si>
  <si>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</si>
  <si>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</si>
  <si>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</si>
  <si>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</si>
  <si>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</si>
  <si>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</si>
  <si>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</si>
  <si>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</si>
  <si>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</si>
  <si>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</si>
  <si>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</si>
  <si>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</si>
  <si>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</si>
  <si>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</si>
  <si>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</si>
  <si>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</si>
  <si>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</si>
  <si>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</si>
  <si>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</si>
  <si>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</si>
  <si>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</si>
  <si>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</si>
  <si>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</si>
  <si>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</si>
  <si>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</si>
  <si>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</si>
  <si>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</si>
  <si>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</si>
  <si>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</si>
  <si>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</si>
  <si>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</si>
  <si>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</si>
  <si>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</si>
  <si>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</si>
  <si>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</si>
  <si>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</si>
  <si>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</si>
  <si>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</si>
  <si>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</si>
  <si>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</si>
  <si>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</si>
  <si>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</si>
  <si>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</si>
  <si>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</si>
  <si>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</si>
  <si>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</si>
  <si>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</si>
  <si>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</si>
  <si>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</si>
  <si>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</si>
  <si>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</si>
  <si>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</si>
  <si>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</si>
  <si>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</si>
  <si>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</si>
  <si>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</si>
  <si>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</si>
  <si>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</si>
  <si>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</si>
  <si>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</si>
  <si>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</si>
  <si>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</si>
  <si>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</si>
  <si>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</si>
  <si>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</si>
  <si>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</si>
  <si>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</si>
  <si>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</si>
  <si>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</si>
  <si>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</si>
  <si>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</si>
  <si>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</si>
  <si>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</si>
  <si>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</si>
  <si>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</si>
  <si>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</si>
  <si>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</si>
  <si>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</si>
  <si>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</si>
  <si>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</si>
  <si>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</si>
  <si>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</si>
  <si>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</si>
  <si>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</si>
  <si>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</si>
  <si>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</si>
  <si>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</si>
  <si>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</si>
  <si>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</si>
  <si>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</si>
  <si>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</si>
  <si>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</si>
  <si>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</si>
  <si>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</si>
  <si>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</si>
  <si>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</si>
  <si>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</si>
  <si>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</si>
  <si>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</si>
  <si>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</si>
  <si>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</si>
  <si>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</si>
  <si>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</si>
  <si>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</si>
  <si>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</si>
  <si>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</si>
  <si>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</si>
  <si>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</si>
  <si>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</si>
  <si>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</si>
  <si>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</si>
  <si>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</si>
  <si>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</si>
  <si>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</si>
  <si>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</si>
  <si>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</si>
  <si>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</si>
  <si>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</si>
  <si>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</si>
  <si>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</si>
  <si>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</si>
  <si>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</si>
  <si>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</si>
  <si>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</si>
  <si>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</si>
  <si>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</si>
  <si>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</si>
  <si>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</si>
  <si>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</si>
  <si>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</si>
  <si>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</si>
  <si>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</si>
  <si>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</si>
  <si>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</si>
  <si>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</si>
  <si>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</si>
  <si>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</si>
  <si>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</si>
  <si>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</si>
  <si>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</si>
  <si>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</si>
  <si>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</si>
  <si>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</si>
  <si>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</si>
  <si>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</si>
  <si>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</si>
  <si>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</si>
  <si>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</si>
  <si>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</si>
  <si>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</si>
  <si>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</si>
  <si>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</si>
  <si>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</si>
  <si>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</si>
  <si>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</si>
  <si>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</si>
  <si>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</si>
  <si>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</si>
  <si>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</si>
  <si>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</si>
  <si>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</si>
  <si>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</si>
  <si>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</si>
  <si>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</si>
  <si>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</si>
  <si>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</si>
  <si>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</si>
  <si>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</si>
  <si>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</si>
  <si>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</si>
  <si>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</si>
  <si>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</si>
  <si>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</si>
  <si>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</si>
  <si>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</si>
  <si>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</si>
  <si>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</si>
  <si>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</si>
  <si>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</si>
  <si>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</si>
  <si>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</si>
  <si>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</si>
  <si>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</si>
  <si>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</si>
  <si>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</si>
  <si>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</si>
  <si>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</si>
  <si>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</si>
  <si>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</si>
  <si>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</si>
  <si>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</si>
  <si>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</si>
  <si>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</si>
  <si>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</si>
  <si>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</si>
  <si>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</si>
  <si>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</si>
  <si>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</si>
  <si>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</si>
  <si>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</si>
  <si>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</si>
  <si>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</si>
  <si>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</si>
  <si>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</si>
  <si>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</si>
  <si>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</si>
  <si>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</si>
  <si>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</si>
  <si>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</si>
  <si>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</si>
  <si>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</si>
  <si>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</si>
  <si>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</si>
  <si>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</si>
  <si>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</si>
  <si>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</si>
  <si>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</si>
  <si>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</si>
  <si>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</si>
  <si>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</si>
  <si>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</si>
  <si>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</si>
  <si>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</si>
  <si>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</si>
  <si>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</si>
  <si>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</si>
  <si>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</si>
  <si>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</si>
  <si>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</si>
  <si>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</si>
  <si>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</si>
  <si>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</si>
  <si>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</si>
  <si>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</si>
  <si>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</si>
  <si>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</si>
  <si>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</si>
  <si>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</si>
  <si>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</si>
  <si>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</si>
  <si>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</si>
  <si>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</si>
  <si>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</si>
  <si>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</si>
  <si>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</si>
  <si>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</si>
  <si>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</si>
  <si>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</si>
  <si>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</si>
  <si>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</si>
  <si>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</si>
  <si>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</si>
  <si>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</si>
  <si>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</si>
  <si>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</si>
  <si>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</si>
  <si>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</si>
  <si>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</si>
  <si>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</si>
  <si>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</si>
  <si>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</si>
  <si>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</si>
  <si>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</si>
  <si>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</si>
  <si>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</si>
  <si>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</si>
  <si>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</si>
  <si>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</si>
  <si>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</si>
  <si>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</si>
  <si>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</si>
  <si>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</si>
  <si>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</si>
  <si>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</si>
  <si>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</si>
  <si>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</si>
  <si>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</si>
  <si>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</si>
  <si>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</si>
  <si>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</si>
  <si>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</si>
  <si>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</si>
  <si>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</si>
  <si>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</si>
  <si>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</si>
  <si>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</si>
  <si>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</si>
  <si>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</si>
  <si>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</si>
  <si>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</si>
  <si>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</si>
  <si>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</si>
  <si>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</si>
  <si>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</si>
  <si>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</si>
  <si>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</si>
  <si>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</si>
  <si>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</si>
  <si>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</si>
  <si>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</si>
  <si>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</si>
  <si>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</si>
  <si>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</si>
  <si>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</si>
  <si>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</si>
  <si>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</si>
  <si>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</si>
  <si>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</si>
  <si>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</si>
  <si>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</si>
  <si>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</si>
  <si>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</si>
  <si>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</si>
  <si>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</si>
  <si>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</si>
  <si>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</si>
  <si>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</si>
  <si>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</si>
  <si>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</si>
  <si>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</si>
  <si>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</si>
  <si>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</si>
  <si>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</si>
  <si>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</si>
  <si>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</si>
  <si>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</si>
  <si>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</si>
  <si>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</si>
  <si>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</si>
  <si>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</si>
  <si>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</si>
  <si>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</si>
  <si>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</si>
  <si>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</si>
  <si>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</si>
  <si>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</si>
  <si>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</si>
  <si>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</si>
  <si>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</si>
  <si>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</si>
  <si>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</si>
  <si>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</si>
  <si>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</si>
  <si>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</si>
  <si>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</si>
  <si>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</si>
  <si>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</si>
  <si>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</si>
  <si>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</si>
  <si>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</si>
  <si>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</si>
  <si>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</si>
  <si>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</si>
  <si>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</si>
  <si>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</si>
  <si>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</si>
  <si>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</si>
  <si>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</si>
  <si>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</si>
  <si>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</si>
  <si>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</si>
  <si>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</si>
  <si>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</si>
  <si>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</si>
  <si>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</si>
  <si>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</si>
  <si>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</si>
  <si>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</si>
  <si>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</si>
  <si>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</si>
  <si>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</si>
  <si>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</si>
  <si>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</si>
  <si>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</si>
  <si>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</si>
  <si>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</si>
  <si>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</si>
  <si>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</si>
  <si>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</si>
  <si>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</si>
  <si>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</si>
  <si>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</si>
  <si>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</si>
  <si>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</si>
  <si>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</si>
  <si>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</si>
  <si>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</si>
  <si>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</si>
  <si>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</si>
  <si>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</si>
  <si>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</si>
  <si>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</si>
  <si>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</si>
  <si>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</si>
  <si>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</si>
  <si>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</si>
  <si>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</si>
  <si>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</si>
  <si>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</si>
  <si>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</si>
  <si>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</si>
  <si>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</si>
  <si>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</si>
  <si>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</si>
  <si>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</si>
  <si>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</si>
  <si>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</si>
  <si>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</si>
  <si>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</si>
  <si>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</si>
  <si>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</si>
  <si>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</si>
  <si>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</si>
  <si>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</si>
  <si>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</si>
  <si>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</si>
  <si>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</si>
  <si>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</si>
  <si>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</si>
  <si>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</si>
  <si>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</si>
  <si>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</si>
  <si>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</si>
  <si>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</si>
  <si>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</si>
  <si>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</si>
  <si>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</si>
  <si>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</si>
  <si>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</si>
  <si>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</si>
  <si>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</si>
  <si>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</si>
  <si>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</si>
  <si>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</si>
  <si>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</si>
  <si>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</si>
  <si>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</si>
  <si>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</si>
  <si>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</si>
  <si>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</si>
  <si>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</si>
  <si>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</si>
  <si>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</si>
  <si>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</si>
  <si>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</si>
  <si>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</si>
  <si>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</si>
  <si>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</si>
  <si>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</si>
  <si>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</si>
  <si>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</si>
  <si>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</si>
  <si>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</si>
  <si>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</si>
  <si>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</si>
  <si>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</si>
  <si>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</si>
  <si>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</si>
  <si>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</si>
  <si>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</si>
  <si>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</si>
  <si>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</si>
  <si>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</si>
  <si>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</si>
  <si>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</si>
  <si>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</si>
  <si>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</si>
  <si>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</si>
  <si>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</si>
  <si>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</si>
  <si>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</si>
  <si>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</si>
  <si>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</si>
  <si>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</si>
  <si>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</si>
  <si>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</si>
  <si>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</si>
  <si>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</si>
  <si>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</si>
  <si>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</si>
  <si>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</si>
  <si>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</si>
  <si>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</si>
  <si>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</si>
  <si>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</si>
  <si>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</si>
  <si>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</si>
  <si>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</si>
  <si>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</si>
  <si>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</si>
  <si>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</si>
  <si>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</si>
  <si>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</si>
  <si>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</si>
  <si>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</si>
  <si>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</si>
  <si>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</si>
  <si>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</si>
  <si>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</si>
  <si>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</si>
  <si>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</si>
  <si>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</si>
  <si>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</si>
  <si>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</si>
  <si>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</si>
  <si>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</si>
  <si>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</si>
  <si>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</si>
  <si>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</si>
  <si>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</si>
  <si>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</si>
  <si>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</si>
  <si>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</si>
  <si>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</si>
  <si>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</si>
  <si>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</si>
  <si>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</si>
  <si>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</si>
  <si>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</si>
  <si>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</si>
  <si>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</si>
  <si>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</si>
  <si>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</si>
  <si>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</si>
  <si>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</si>
  <si>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</si>
  <si>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</si>
  <si>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</si>
  <si>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</si>
  <si>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</si>
  <si>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</si>
  <si>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</si>
  <si>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</si>
  <si>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</si>
  <si>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</si>
  <si>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</si>
  <si>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</si>
  <si>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</si>
  <si>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</si>
  <si>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</si>
  <si>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</si>
  <si>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</si>
  <si>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</si>
  <si>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</si>
  <si>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</si>
  <si>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</si>
  <si>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</si>
  <si>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</si>
  <si>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</si>
  <si>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</si>
  <si>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</si>
  <si>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</si>
  <si>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</si>
  <si>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</si>
  <si>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</si>
  <si>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</si>
  <si>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</si>
  <si>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</si>
  <si>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</si>
  <si>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</si>
  <si>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</si>
  <si>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</si>
  <si>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</si>
  <si>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</si>
  <si>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</si>
  <si>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</si>
  <si>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</si>
  <si>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</si>
  <si>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</si>
  <si>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</si>
  <si>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</si>
  <si>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</si>
  <si>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</si>
  <si>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</si>
  <si>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</si>
  <si>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</si>
  <si>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</si>
  <si>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</si>
  <si>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</si>
  <si>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</si>
  <si>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</si>
  <si>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</si>
  <si>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</si>
  <si>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</si>
  <si>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</si>
  <si>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</si>
  <si>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</si>
  <si>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</si>
  <si>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</si>
  <si>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</si>
  <si>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</si>
  <si>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</si>
  <si>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</si>
  <si>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</si>
  <si>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</si>
  <si>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</si>
  <si>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</si>
  <si>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</si>
  <si>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</si>
  <si>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</si>
  <si>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</si>
  <si>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</si>
  <si>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</si>
  <si>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</si>
  <si>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</si>
  <si>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</si>
  <si>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</si>
  <si>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</si>
  <si>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</si>
  <si>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</si>
  <si>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</si>
  <si>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</si>
  <si>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</si>
  <si>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</si>
  <si>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</si>
  <si>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</si>
  <si>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</si>
  <si>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</si>
  <si>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</si>
  <si>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</si>
  <si>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</si>
  <si>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</si>
  <si>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</si>
  <si>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</si>
  <si>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</si>
  <si>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</si>
  <si>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</si>
  <si>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</si>
  <si>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</si>
  <si>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</si>
  <si>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</si>
  <si>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</si>
  <si>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</si>
  <si>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</si>
  <si>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</si>
  <si>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</si>
  <si>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</si>
  <si>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</si>
  <si>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</si>
  <si>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</si>
  <si>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</si>
  <si>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</si>
  <si>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</si>
  <si>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</si>
  <si>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</si>
  <si>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</si>
  <si>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</si>
  <si>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</si>
  <si>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</si>
  <si>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</si>
  <si>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</si>
  <si>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</si>
  <si>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</si>
  <si>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</si>
  <si>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</si>
  <si>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</si>
  <si>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Pehlman and Dold, P.C.</t>
  </si>
  <si>
    <t>100 North Amos Avenue</t>
  </si>
  <si>
    <t>Springfield</t>
  </si>
  <si>
    <t>IL</t>
  </si>
  <si>
    <t>(217) 787-0563</t>
  </si>
  <si>
    <t>(217) 787-9266</t>
  </si>
  <si>
    <t>060-004845</t>
  </si>
  <si>
    <t>Series 2010</t>
  </si>
  <si>
    <t>Series 2011</t>
  </si>
  <si>
    <t>Series 2016</t>
  </si>
  <si>
    <t>Series 2019</t>
  </si>
  <si>
    <t>x</t>
  </si>
  <si>
    <t>Sangamon</t>
  </si>
  <si>
    <t>#4 Rocket Drive</t>
  </si>
  <si>
    <t>Rochester</t>
  </si>
  <si>
    <t>Jamie Nichols</t>
  </si>
  <si>
    <t>jnichols@p-dcpas.com</t>
  </si>
  <si>
    <t>Russell Clover</t>
  </si>
  <si>
    <t>(217) 498-6210</t>
  </si>
  <si>
    <t>(217) 498-8045</t>
  </si>
  <si>
    <t>Part C, 23- Other than cash, the Auditor's Report has been qualified due to the District not maintaining a formal record system to track fixed assets accounted for in the General Fixed Asset Account Group.</t>
  </si>
  <si>
    <t>Pehlman &amp; Dold, P.C.</t>
  </si>
  <si>
    <t>Prairie State Insurance Cooperative</t>
  </si>
  <si>
    <t>Sangamon Area Special Education District - Central Services</t>
  </si>
  <si>
    <t>Capital Area Career Center - Vocational Classes / Services</t>
  </si>
  <si>
    <t>Series 2018</t>
  </si>
  <si>
    <t>Aramark</t>
  </si>
  <si>
    <t>CenterPoint</t>
  </si>
  <si>
    <t>Homefield Energy</t>
  </si>
  <si>
    <t>Watts Copy Systems</t>
  </si>
  <si>
    <t>Prairie Land FS</t>
  </si>
  <si>
    <t>SASED</t>
  </si>
  <si>
    <t>CACC</t>
  </si>
  <si>
    <t>LLCC</t>
  </si>
  <si>
    <t>Hope School</t>
  </si>
  <si>
    <t>Skyward</t>
  </si>
  <si>
    <t>10-2560-400</t>
  </si>
  <si>
    <t>20-2540-400</t>
  </si>
  <si>
    <t>40-2550-400</t>
  </si>
  <si>
    <t>10-4120-600</t>
  </si>
  <si>
    <t>10-4270-300</t>
  </si>
  <si>
    <t>10-2540-300</t>
  </si>
  <si>
    <t>ED-Food Services-Supplies &amp; Materials</t>
  </si>
  <si>
    <t>ED-Board of Education Services - Purchased Services</t>
  </si>
  <si>
    <t>O&amp;M-Operation &amp; Maintenance of Plant Services- Supplies &amp; Materials</t>
  </si>
  <si>
    <t>ED-Executive Administration Services-Purchased Services</t>
  </si>
  <si>
    <t>TR-Pupil Transportation Services-Supplies &amp; Materials</t>
  </si>
  <si>
    <t>ED-Payments for Special Education Programs-Other</t>
  </si>
  <si>
    <t>ED-Payments for CTE Programs-Other</t>
  </si>
  <si>
    <t>10-4140-600</t>
  </si>
  <si>
    <t>ED-Payments for Community College Programs-Purchased Services</t>
  </si>
  <si>
    <t>ED-Payments for Special Education Programs-Purchased Services</t>
  </si>
  <si>
    <t>ED-Operation &amp; Maintenance of Plant Services-Purchased Services</t>
  </si>
  <si>
    <t>Build America Bonds- Interest Reimbursement</t>
  </si>
  <si>
    <t>4% administrative fee assessed for Medicaid Outreach</t>
  </si>
  <si>
    <t>US DEPARTMENT OF EDUCATION</t>
  </si>
  <si>
    <t>US Department of Education passed through the Illinois State Board of Education</t>
  </si>
  <si>
    <t>Title 1 Grants to Local Eductional Agencies- Low Income</t>
  </si>
  <si>
    <t xml:space="preserve">     Total CFDA #84.010A</t>
  </si>
  <si>
    <t>Special Education IDEA Cluster (M):</t>
  </si>
  <si>
    <t>Special Education Grants to State- Fed spec Ed- IDEA-Room &amp; Board</t>
  </si>
  <si>
    <t>Special Education Grants to State- Fed Spec Ed- IDEA-Flow Through</t>
  </si>
  <si>
    <t xml:space="preserve">     Total CFDA #84.173A</t>
  </si>
  <si>
    <t>84.010A</t>
  </si>
  <si>
    <t>84.027A</t>
  </si>
  <si>
    <t xml:space="preserve">     Total CFDA #84.027A</t>
  </si>
  <si>
    <t>18-4300-00</t>
  </si>
  <si>
    <t>19-4300-00</t>
  </si>
  <si>
    <t>18-4625-00</t>
  </si>
  <si>
    <t>19-4625-00</t>
  </si>
  <si>
    <t>18-4620-00</t>
  </si>
  <si>
    <t>19-4620-00</t>
  </si>
  <si>
    <t>Special Education Grants to State- Fed Spec Ed- IDEA- Preschool Flow Through</t>
  </si>
  <si>
    <t xml:space="preserve">     Total Special Education Grants to State- Fed Special Ed- IDEA Cluster Subtotal</t>
  </si>
  <si>
    <t>84.173A</t>
  </si>
  <si>
    <t>18-4600-00</t>
  </si>
  <si>
    <t>19-4600-00</t>
  </si>
  <si>
    <t>Title 1 Grants to Local Education Agencies- School Improvement &amp; Accountability</t>
  </si>
  <si>
    <t>19-4331-00</t>
  </si>
  <si>
    <t>Title IVA- Student Support &amp; Academic Enrichment Program</t>
  </si>
  <si>
    <t>84.424A</t>
  </si>
  <si>
    <t>18-4400-00</t>
  </si>
  <si>
    <t>19-4400-00</t>
  </si>
  <si>
    <t xml:space="preserve">    Total CFDA #84.424A</t>
  </si>
  <si>
    <t>Title II- Teacher Quality</t>
  </si>
  <si>
    <t>84.367A</t>
  </si>
  <si>
    <t>18-4932-00</t>
  </si>
  <si>
    <t>19-4932-00</t>
  </si>
  <si>
    <t xml:space="preserve">     Total CFDA #84.637A</t>
  </si>
  <si>
    <t>Total Us Dept of Education Passed through the IL State Board of Education</t>
  </si>
  <si>
    <t>US Dept of Education passed through Illinois Department of Human Services</t>
  </si>
  <si>
    <t>Rehabilitation Svcs Vocational Rehab Grants to States- Secondary Transitional Experience Program</t>
  </si>
  <si>
    <t>46CXF00054</t>
  </si>
  <si>
    <t>Total Us Dept of Education Passed through the IL Dept of Human Services (Total CFDA #84.126)</t>
  </si>
  <si>
    <t>TOTAL US DEPARTMENT OF EDUCATION</t>
  </si>
  <si>
    <t>US DEPT OF AGRICULTURE</t>
  </si>
  <si>
    <t>Us Dept of Agriculture passed through the IL State Board of Education</t>
  </si>
  <si>
    <t>National School Lunch Pgm- USDA Foods (non-cash)</t>
  </si>
  <si>
    <t>National School Lunch Pgm- DOD Fruits/Vegetables (non-cash)</t>
  </si>
  <si>
    <t>National School Lunc Pgm- Dod Fruits/Vegetables (non-cash)</t>
  </si>
  <si>
    <t>18-4210-00</t>
  </si>
  <si>
    <t>19-4210-00</t>
  </si>
  <si>
    <t>Total US Department of Agriculture Passed through the IL State Board of Education (Total CFDA #10.555)</t>
  </si>
  <si>
    <t>US DEPARTMENT OF HEALTH &amp;HUMAN SERVICES</t>
  </si>
  <si>
    <t>Us Department of Health &amp; Human Services passed through the Illinois Department of Healthcare and Family Services</t>
  </si>
  <si>
    <t>Medical Assitance Program- Administrative Outreach</t>
  </si>
  <si>
    <t>Total US Department of Health &amp; Human Svcs Passed Through the IL Dept of Healthcare &amp; Family Svcs (Total CFDA #93.778)</t>
  </si>
  <si>
    <t>TOTAL FEDERAL AWARDS</t>
  </si>
  <si>
    <t>84.027, 84.173</t>
  </si>
  <si>
    <t>Special Education (IDEA) Cluster</t>
  </si>
  <si>
    <t>N/A</t>
  </si>
  <si>
    <t>Revenue, 1999- Other Local Revenue- Education Fund: CC fees $21,745, Chromebook repairs/sales $6,342, Band equipment $6,574,</t>
  </si>
  <si>
    <t>Operations and Maintenance Fund: Reimbursement by Boosters for football facility renovations $18,750, Ameren rebates $12,750,</t>
  </si>
  <si>
    <t>CID recycling $75</t>
  </si>
  <si>
    <t xml:space="preserve">Transportation Fund: Insurance reimbursement $1,662 </t>
  </si>
  <si>
    <t>Revenue, 3999- Other Restricted Revenue from State Sources- Education Fund: State library grant: $1,689</t>
  </si>
  <si>
    <t>Revenue, 4999- Other Restricted Revenue from Federal Sources- Education Fund: Step grant $32,136</t>
  </si>
  <si>
    <t>Expenditures, 2190- Other Support Services- Education Fund- Salaries: Aides and noon supervisors $54,194</t>
  </si>
  <si>
    <t>PSAT reimbursement $1,232, REF HS grant $11,737, EUI refund $50, Copying fee $20</t>
  </si>
  <si>
    <t>Expenditures, 5400- Other- Debt Service Fund- Other: Bond fees $98,300</t>
  </si>
  <si>
    <t>Expenditures, 2190- Other Support Services- IMRF/SS Fund- Employee Benefits: Aides and noon supervisors $5,478</t>
  </si>
  <si>
    <t>Unmodified</t>
  </si>
  <si>
    <t>None</t>
  </si>
  <si>
    <t>Not applicable - no payments made to subrecipients</t>
  </si>
  <si>
    <t>rclover@rochester3a.net</t>
  </si>
  <si>
    <t>PDF in Opinion Page with Signature</t>
  </si>
  <si>
    <t>51084003A26</t>
  </si>
  <si>
    <t>Rochester CUSD 3A</t>
  </si>
  <si>
    <t>10-2300-300</t>
  </si>
  <si>
    <t>10-3000-300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</si>
</sst>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1095375</xdr:colOff>
          <xdr:row>4</xdr:row>
          <xdr:rowOff>142875</xdr:rowOff>
        </xdr:from>
        <xdr:to>
          <xdr:col>1</xdr:col>
          <xdr:colOff>2009775</xdr:colOff>
          <xdr:row>9</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2075</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2075</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t="s">
        <v>2190</v>
      </c>
      <c r="B13" s="1987"/>
      <c r="C13" s="1987"/>
      <c r="D13" s="1987"/>
      <c r="E13" s="1987"/>
      <c r="F13" s="1987"/>
      <c r="G13" s="1987"/>
      <c r="H13" s="1988"/>
      <c r="I13" s="31"/>
      <c r="J13" s="30"/>
      <c r="K13" s="28"/>
      <c r="L13" s="30"/>
      <c r="M13" s="30"/>
      <c r="N13" s="30"/>
      <c r="O13" s="30"/>
      <c r="P13" s="30"/>
      <c r="Q13" s="30"/>
      <c r="R13" s="30"/>
      <c r="S13" s="30"/>
      <c r="T13" s="1991" t="s">
        <v>2064</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2076</v>
      </c>
      <c r="B15" s="1989"/>
      <c r="C15" s="1989"/>
      <c r="D15" s="1989"/>
      <c r="E15" s="1989"/>
      <c r="F15" s="1989"/>
      <c r="G15" s="1989"/>
      <c r="H15" s="1990"/>
      <c r="T15" s="1952" t="s">
        <v>2079</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2191</v>
      </c>
      <c r="B17" s="2014"/>
      <c r="C17" s="2014"/>
      <c r="D17" s="2014"/>
      <c r="E17" s="2014"/>
      <c r="F17" s="2014"/>
      <c r="G17" s="2014"/>
      <c r="H17" s="2015"/>
      <c r="T17" s="2001" t="s">
        <v>2065</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2077</v>
      </c>
      <c r="B19" s="1985"/>
      <c r="C19" s="1985"/>
      <c r="D19" s="1985"/>
      <c r="E19" s="1985"/>
      <c r="F19" s="1985"/>
      <c r="G19" s="1985"/>
      <c r="H19" s="1983"/>
      <c r="I19" s="30"/>
      <c r="J19" s="99"/>
      <c r="K19" s="40"/>
      <c r="L19" s="38"/>
      <c r="M19" s="112" t="s">
        <v>315</v>
      </c>
      <c r="P19" s="27"/>
      <c r="Q19" s="27"/>
      <c r="R19" s="27"/>
      <c r="S19" s="31"/>
      <c r="T19" s="1984" t="s">
        <v>2066</v>
      </c>
      <c r="U19" s="1982"/>
      <c r="V19" s="1982"/>
      <c r="W19" s="1983"/>
      <c r="X19" s="1999" t="s">
        <v>2067</v>
      </c>
      <c r="Y19" s="2000"/>
      <c r="Z19" s="1997">
        <v>62702</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2078</v>
      </c>
      <c r="B21" s="1982"/>
      <c r="C21" s="1982"/>
      <c r="D21" s="1982"/>
      <c r="E21" s="1982"/>
      <c r="F21" s="1982"/>
      <c r="G21" s="1982"/>
      <c r="H21" s="1983"/>
      <c r="I21" s="2007" t="s">
        <v>678</v>
      </c>
      <c r="J21" s="1970"/>
      <c r="K21" s="1970"/>
      <c r="L21" s="1970"/>
      <c r="M21" s="1970"/>
      <c r="N21" s="1970"/>
      <c r="O21" s="1970"/>
      <c r="P21" s="1970"/>
      <c r="Q21" s="1970"/>
      <c r="R21" s="1970"/>
      <c r="S21" s="1971"/>
      <c r="T21" s="1949" t="s">
        <v>2068</v>
      </c>
      <c r="U21" s="1950"/>
      <c r="V21" s="1950"/>
      <c r="W21" s="1950"/>
      <c r="X21" s="1963" t="s">
        <v>2069</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2070</v>
      </c>
      <c r="U23" s="1945"/>
      <c r="V23" s="1945"/>
      <c r="W23" s="1945"/>
      <c r="X23" s="1960">
        <v>43831</v>
      </c>
      <c r="Y23" s="1961"/>
      <c r="Z23" s="1961"/>
      <c r="AA23" s="1962"/>
    </row>
    <row r="24" spans="1:27" ht="14.1" customHeight="1" x14ac:dyDescent="0.2">
      <c r="A24" s="88" t="s">
        <v>677</v>
      </c>
      <c r="B24" s="49"/>
      <c r="C24" s="49"/>
      <c r="D24" s="49"/>
      <c r="E24" s="49"/>
      <c r="F24" s="49"/>
      <c r="G24" s="49"/>
      <c r="H24" s="61"/>
      <c r="J24" s="2046">
        <f>IF(B5="x",IF(AUDITCHECK!D29="AFR form Incomplete.","",IF(AUDITCHECK!D29="Deficit reduction plan is required.","School District must complete a deficit reduction plan in the 2019-2020 Budget",)),"")</f>
        <v>0</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62563</v>
      </c>
      <c r="B25" s="1982"/>
      <c r="C25" s="1982"/>
      <c r="D25" s="1982"/>
      <c r="E25" s="1982"/>
      <c r="F25" s="1982"/>
      <c r="G25" s="1982"/>
      <c r="H25" s="1983"/>
      <c r="I25" s="113"/>
      <c r="J25" s="2048"/>
      <c r="K25" s="2048"/>
      <c r="L25" s="2048"/>
      <c r="M25" s="2048"/>
      <c r="N25" s="2048"/>
      <c r="O25" s="2048"/>
      <c r="P25" s="2048"/>
      <c r="Q25" s="2048"/>
      <c r="R25" s="2048"/>
      <c r="S25" s="2049"/>
      <c r="T25" s="1941" t="s">
        <v>2080</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2075</v>
      </c>
      <c r="C29" s="124" t="s">
        <v>820</v>
      </c>
      <c r="D29" s="114"/>
      <c r="E29" s="136"/>
      <c r="F29" s="141" t="s">
        <v>1316</v>
      </c>
      <c r="G29" s="114"/>
      <c r="I29" s="54"/>
      <c r="J29" s="148" t="s">
        <v>2075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2075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2081</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2188</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2082</v>
      </c>
      <c r="B42" s="2031"/>
      <c r="C42" s="2032"/>
      <c r="D42" s="2045" t="s">
        <v>2083</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6525870</v>
      </c>
      <c r="C4" s="1524"/>
      <c r="D4" s="1752">
        <f>B4-C4</f>
        <v>6525870</v>
      </c>
      <c r="E4" s="1524">
        <v>6738378</v>
      </c>
      <c r="F4" s="1752">
        <f>E4-C4</f>
        <v>6738378</v>
      </c>
    </row>
    <row r="5" spans="1:6" ht="13.7" customHeight="1" x14ac:dyDescent="0.2">
      <c r="A5" s="715" t="s">
        <v>870</v>
      </c>
      <c r="B5" s="1750">
        <f>'Revenues 9-14'!D5</f>
        <v>1709871</v>
      </c>
      <c r="C5" s="585"/>
      <c r="D5" s="1753">
        <f t="shared" ref="D5:D18" si="0">B5-C5</f>
        <v>1709871</v>
      </c>
      <c r="E5" s="585">
        <v>1746108</v>
      </c>
      <c r="F5" s="1753">
        <f>E5-C5</f>
        <v>1746108</v>
      </c>
    </row>
    <row r="6" spans="1:6" ht="13.7" customHeight="1" x14ac:dyDescent="0.2">
      <c r="A6" s="715" t="s">
        <v>411</v>
      </c>
      <c r="B6" s="1750">
        <f>'Revenues 9-14'!E5</f>
        <v>2587943</v>
      </c>
      <c r="C6" s="585"/>
      <c r="D6" s="1753">
        <f t="shared" si="0"/>
        <v>2587943</v>
      </c>
      <c r="E6" s="585">
        <v>2541926</v>
      </c>
      <c r="F6" s="1753">
        <f t="shared" ref="F6:F18" si="1">E6-C6</f>
        <v>2541926</v>
      </c>
    </row>
    <row r="7" spans="1:6" ht="13.7" customHeight="1" x14ac:dyDescent="0.2">
      <c r="A7" s="715" t="s">
        <v>155</v>
      </c>
      <c r="B7" s="1750">
        <f>'Revenues 9-14'!F5</f>
        <v>525760</v>
      </c>
      <c r="C7" s="585"/>
      <c r="D7" s="1753">
        <f t="shared" si="0"/>
        <v>525760</v>
      </c>
      <c r="E7" s="585">
        <v>551141</v>
      </c>
      <c r="F7" s="1753">
        <f t="shared" si="1"/>
        <v>551141</v>
      </c>
    </row>
    <row r="8" spans="1:6" ht="13.7" customHeight="1" x14ac:dyDescent="0.2">
      <c r="A8" s="715" t="s">
        <v>1179</v>
      </c>
      <c r="B8" s="1750">
        <f>'Revenues 9-14'!G5</f>
        <v>230003</v>
      </c>
      <c r="C8" s="585"/>
      <c r="D8" s="1753">
        <f t="shared" si="0"/>
        <v>230003</v>
      </c>
      <c r="E8" s="585">
        <v>227022</v>
      </c>
      <c r="F8" s="1753">
        <f t="shared" si="1"/>
        <v>227022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135296</v>
      </c>
      <c r="C10" s="585"/>
      <c r="D10" s="1753">
        <f t="shared" si="0"/>
        <v>135296</v>
      </c>
      <c r="E10" s="585">
        <v>117786</v>
      </c>
      <c r="F10" s="1753">
        <f t="shared" si="1"/>
        <v>117786</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108237</v>
      </c>
      <c r="C14" s="585"/>
      <c r="D14" s="1753">
        <f t="shared" si="0"/>
        <v>108237</v>
      </c>
      <c r="E14" s="585">
        <v>110339</v>
      </c>
      <c r="F14" s="1753">
        <f t="shared" si="1"/>
        <v>110339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323358</v>
      </c>
      <c r="C16" s="585"/>
      <c r="D16" s="1753">
        <f t="shared" si="0"/>
        <v>323358</v>
      </c>
      <c r="E16" s="585">
        <v>343153</v>
      </c>
      <c r="F16" s="1753">
        <f t="shared" si="1"/>
        <v>343153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12146338</v>
      </c>
      <c r="C19" s="1751">
        <f>SUM(C4:C18)</f>
        <v>0</v>
      </c>
      <c r="D19" s="1751">
        <f>SUM(D4:D18)</f>
        <v>12146338</v>
      </c>
      <c r="E19" s="1751">
        <f>SUM(E4:E18)</f>
        <v>12375853</v>
      </c>
      <c r="F19" s="1751">
        <f>SUM(F4:F18)</f>
        <v>12375853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I60" sqref="I6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1956</v>
      </c>
      <c r="D2" s="723" t="s">
        <v>1957</v>
      </c>
      <c r="E2" s="723" t="s">
        <v>1958</v>
      </c>
      <c r="F2" s="1884" t="s">
        <v>1959</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2071</v>
      </c>
      <c r="B31" s="733">
        <v>40451</v>
      </c>
      <c r="C31" s="734">
        <v>7260000</v>
      </c>
      <c r="D31" s="735">
        <v>6</v>
      </c>
      <c r="E31" s="734">
        <v>7045000</v>
      </c>
      <c r="F31" s="734"/>
      <c r="G31" s="734"/>
      <c r="H31" s="734"/>
      <c r="I31" s="1756">
        <f>((E31+F31)-H31)+G31</f>
        <v>7045000</v>
      </c>
      <c r="J31" s="734">
        <v>7001607</v>
      </c>
      <c r="K31" s="736"/>
    </row>
    <row r="32" spans="1:11" ht="12" customHeight="1" x14ac:dyDescent="0.2">
      <c r="A32" s="732" t="s">
        <v>2072</v>
      </c>
      <c r="B32" s="733">
        <v>40631</v>
      </c>
      <c r="C32" s="734">
        <v>10295000</v>
      </c>
      <c r="D32" s="735">
        <v>3</v>
      </c>
      <c r="E32" s="734">
        <v>7665000</v>
      </c>
      <c r="F32" s="734"/>
      <c r="G32" s="734"/>
      <c r="H32" s="734">
        <v>7665000</v>
      </c>
      <c r="I32" s="1756">
        <f>((E32+F32)-H32)+G32</f>
        <v>0</v>
      </c>
      <c r="J32" s="734"/>
      <c r="K32" s="736"/>
    </row>
    <row r="33" spans="1:11" ht="12" customHeight="1" x14ac:dyDescent="0.2">
      <c r="A33" s="732" t="s">
        <v>2073</v>
      </c>
      <c r="B33" s="733">
        <v>42401</v>
      </c>
      <c r="C33" s="734">
        <v>18440000</v>
      </c>
      <c r="D33" s="735">
        <v>3</v>
      </c>
      <c r="E33" s="734">
        <v>17985000</v>
      </c>
      <c r="F33" s="734"/>
      <c r="G33" s="734"/>
      <c r="H33" s="734">
        <v>55000</v>
      </c>
      <c r="I33" s="1756">
        <f t="shared" ref="I33:I48" si="1">((E33+F33)-H33)+G33</f>
        <v>17930000</v>
      </c>
      <c r="J33" s="734">
        <v>17930000</v>
      </c>
      <c r="K33" s="736"/>
    </row>
    <row r="34" spans="1:11" ht="12" customHeight="1" x14ac:dyDescent="0.2">
      <c r="A34" s="732" t="s">
        <v>2089</v>
      </c>
      <c r="B34" s="733">
        <v>43280</v>
      </c>
      <c r="C34" s="734">
        <v>5190000</v>
      </c>
      <c r="D34" s="735">
        <v>3</v>
      </c>
      <c r="E34" s="734">
        <v>5190000</v>
      </c>
      <c r="F34" s="734"/>
      <c r="G34" s="734"/>
      <c r="H34" s="734">
        <v>1205000</v>
      </c>
      <c r="I34" s="1756">
        <f t="shared" si="1"/>
        <v>3985000</v>
      </c>
      <c r="J34" s="734">
        <v>3985000</v>
      </c>
      <c r="K34" s="737"/>
    </row>
    <row r="35" spans="1:11" ht="12" customHeight="1" x14ac:dyDescent="0.2">
      <c r="A35" s="732" t="s">
        <v>2074</v>
      </c>
      <c r="B35" s="733">
        <v>43481</v>
      </c>
      <c r="C35" s="738">
        <v>7780000</v>
      </c>
      <c r="D35" s="735">
        <v>3</v>
      </c>
      <c r="E35" s="738"/>
      <c r="F35" s="738">
        <v>7780000</v>
      </c>
      <c r="G35" s="738"/>
      <c r="H35" s="738"/>
      <c r="I35" s="1756">
        <f t="shared" si="1"/>
        <v>7780000</v>
      </c>
      <c r="J35" s="738">
        <v>7780000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48965000</v>
      </c>
      <c r="D49" s="745"/>
      <c r="E49" s="1756">
        <f t="shared" ref="E49:J49" si="2">SUM(E31:E48)</f>
        <v>37885000</v>
      </c>
      <c r="F49" s="1756">
        <f t="shared" si="2"/>
        <v>7780000</v>
      </c>
      <c r="G49" s="1756">
        <f t="shared" si="2"/>
        <v>0</v>
      </c>
      <c r="H49" s="1756">
        <f t="shared" si="2"/>
        <v>8925000</v>
      </c>
      <c r="I49" s="1756">
        <f t="shared" si="2"/>
        <v>36740000</v>
      </c>
      <c r="J49" s="1756">
        <f t="shared" si="2"/>
        <v>36696607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1964</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108237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38160</v>
      </c>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108237</v>
      </c>
      <c r="I12" s="1758">
        <f>SUM(I5:I11)</f>
        <v>0</v>
      </c>
      <c r="J12" s="1758">
        <f>SUM(J5:J11)</f>
        <v>0</v>
      </c>
      <c r="K12" s="1758">
        <f>SUM(K5:K11)</f>
        <v>38160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108237</v>
      </c>
      <c r="I14" s="771"/>
      <c r="J14" s="773"/>
      <c r="K14" s="765">
        <v>38160</v>
      </c>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108237</v>
      </c>
      <c r="I23" s="1758">
        <f>SUM(I14:I16,I21,I22)</f>
        <v>0</v>
      </c>
      <c r="J23" s="1758">
        <f>SUM(J14:J16,J21,J22)</f>
        <v>0</v>
      </c>
      <c r="K23" s="1758">
        <f>SUM(K14:K16,K21,K22)</f>
        <v>38160</v>
      </c>
    </row>
    <row r="24" spans="1:11" ht="14.25" thickTop="1" thickBot="1" x14ac:dyDescent="0.25">
      <c r="A24" s="2235" t="s">
        <v>1965</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1260494</v>
      </c>
      <c r="D5" s="841"/>
      <c r="E5" s="841"/>
      <c r="F5" s="1760">
        <f>(C5+D5)-E5</f>
        <v>1260494</v>
      </c>
      <c r="G5" s="837"/>
      <c r="H5" s="842"/>
      <c r="I5" s="842"/>
      <c r="J5" s="842"/>
      <c r="K5" s="793"/>
      <c r="L5" s="1769">
        <f>F5-K5</f>
        <v>1260494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68768999</v>
      </c>
      <c r="D8" s="844">
        <v>365048</v>
      </c>
      <c r="E8" s="844"/>
      <c r="F8" s="1760">
        <f>(C8+D8)-E8</f>
        <v>69134047</v>
      </c>
      <c r="G8" s="843">
        <v>50</v>
      </c>
      <c r="H8" s="765">
        <v>19683538</v>
      </c>
      <c r="I8" s="765">
        <v>1369743</v>
      </c>
      <c r="J8" s="765"/>
      <c r="K8" s="1769">
        <f>(H8+I8)-J8</f>
        <v>21053281</v>
      </c>
      <c r="L8" s="1769">
        <f>F8-K8</f>
        <v>48080766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4833141</v>
      </c>
      <c r="D10" s="846">
        <v>41607</v>
      </c>
      <c r="E10" s="846"/>
      <c r="F10" s="1764">
        <f>(C10+D10)-E10</f>
        <v>4874748</v>
      </c>
      <c r="G10" s="843">
        <v>20</v>
      </c>
      <c r="H10" s="847">
        <v>2970394</v>
      </c>
      <c r="I10" s="847">
        <v>200749</v>
      </c>
      <c r="J10" s="847"/>
      <c r="K10" s="1769">
        <f>(H10+I10)-J10</f>
        <v>3171143</v>
      </c>
      <c r="L10" s="1769">
        <f>F10-K10</f>
        <v>1703605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7031577</v>
      </c>
      <c r="D12" s="844">
        <v>119543</v>
      </c>
      <c r="E12" s="844"/>
      <c r="F12" s="1760">
        <f>(C12+D12)-E12</f>
        <v>7151120</v>
      </c>
      <c r="G12" s="843">
        <v>10</v>
      </c>
      <c r="H12" s="765">
        <v>6053031</v>
      </c>
      <c r="I12" s="765">
        <v>290599</v>
      </c>
      <c r="J12" s="765"/>
      <c r="K12" s="1769">
        <f>(H12+I12)-J12</f>
        <v>6343630</v>
      </c>
      <c r="L12" s="1769">
        <f>F12-K12</f>
        <v>807490</v>
      </c>
    </row>
    <row r="13" spans="1:14" ht="14.25" thickTop="1" thickBot="1" x14ac:dyDescent="0.25">
      <c r="A13" s="848" t="s">
        <v>1122</v>
      </c>
      <c r="B13" s="840">
        <v>252</v>
      </c>
      <c r="C13" s="844">
        <v>2654558</v>
      </c>
      <c r="D13" s="844">
        <v>264736</v>
      </c>
      <c r="E13" s="844">
        <v>151568</v>
      </c>
      <c r="F13" s="1760">
        <f>(C13+D13)-E13</f>
        <v>2767726</v>
      </c>
      <c r="G13" s="843">
        <v>5</v>
      </c>
      <c r="H13" s="765">
        <v>2307171</v>
      </c>
      <c r="I13" s="765">
        <v>187616</v>
      </c>
      <c r="J13" s="765">
        <v>151568</v>
      </c>
      <c r="K13" s="1769">
        <f>(H13+I13)-J13</f>
        <v>2343219</v>
      </c>
      <c r="L13" s="1769">
        <f>F13-K13</f>
        <v>424507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51220</v>
      </c>
      <c r="D15" s="844"/>
      <c r="E15" s="844">
        <v>51220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84599989</v>
      </c>
      <c r="D16" s="1760">
        <f>SUM(D3,D5:D6,D8:D10,D12:D15)</f>
        <v>790934</v>
      </c>
      <c r="E16" s="1760">
        <f>SUM(E3,E5:E6,E8:E10,E12:E15)</f>
        <v>202788</v>
      </c>
      <c r="F16" s="1760">
        <f>SUM(F3,F5:F6,F8:F10,F12:F15)</f>
        <v>85188135</v>
      </c>
      <c r="G16" s="843"/>
      <c r="H16" s="1760">
        <f>SUM(H3,H6,H8:H10,H12:H14,)</f>
        <v>31014134</v>
      </c>
      <c r="I16" s="1760">
        <f>SUM(I3,I6,I8:I10,I12:I14,)</f>
        <v>2048707</v>
      </c>
      <c r="J16" s="1760">
        <f>SUM(J3,J6,J8:J10,J12:J14,)</f>
        <v>151568</v>
      </c>
      <c r="K16" s="1760">
        <f>(H16+I16)-J16</f>
        <v>32911273</v>
      </c>
      <c r="L16" s="1760">
        <f>F16-K16</f>
        <v>52276862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387777</v>
      </c>
      <c r="G17" s="837">
        <v>10</v>
      </c>
      <c r="H17" s="769"/>
      <c r="I17" s="1769">
        <f>F17/G17</f>
        <v>38777.699999999997</v>
      </c>
      <c r="J17" s="769"/>
      <c r="K17" s="795"/>
      <c r="L17" s="795"/>
    </row>
    <row r="18" spans="1:12" ht="14.25" thickTop="1" thickBot="1" x14ac:dyDescent="0.25">
      <c r="A18" s="1767" t="s">
        <v>685</v>
      </c>
      <c r="B18" s="1768"/>
      <c r="C18" s="771"/>
      <c r="D18" s="771"/>
      <c r="E18" s="771"/>
      <c r="F18" s="850"/>
      <c r="G18" s="851"/>
      <c r="H18" s="773"/>
      <c r="I18" s="1760">
        <f>SUM(I16,I17)</f>
        <v>2087484.7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15574138</v>
      </c>
      <c r="G8" s="865"/>
    </row>
    <row r="9" spans="1:7" x14ac:dyDescent="0.2">
      <c r="A9" s="869" t="s">
        <v>460</v>
      </c>
      <c r="B9" s="870" t="s">
        <v>1877</v>
      </c>
      <c r="C9" s="871"/>
      <c r="D9" s="869" t="s">
        <v>501</v>
      </c>
      <c r="E9" s="868"/>
      <c r="F9" s="1909">
        <f>'Expenditures 15-22'!K151</f>
        <v>2323911</v>
      </c>
      <c r="G9" s="872"/>
    </row>
    <row r="10" spans="1:7" x14ac:dyDescent="0.2">
      <c r="A10" s="869" t="s">
        <v>499</v>
      </c>
      <c r="B10" s="870" t="s">
        <v>1878</v>
      </c>
      <c r="C10" s="871"/>
      <c r="D10" s="869" t="s">
        <v>501</v>
      </c>
      <c r="E10" s="868"/>
      <c r="F10" s="1909">
        <f>'Expenditures 15-22'!K174</f>
        <v>10544066</v>
      </c>
      <c r="G10" s="872"/>
    </row>
    <row r="11" spans="1:7" x14ac:dyDescent="0.2">
      <c r="A11" s="869" t="s">
        <v>461</v>
      </c>
      <c r="B11" s="870" t="s">
        <v>1879</v>
      </c>
      <c r="C11" s="871"/>
      <c r="D11" s="869" t="s">
        <v>501</v>
      </c>
      <c r="E11" s="868"/>
      <c r="F11" s="1909">
        <f>'Expenditures 15-22'!K210</f>
        <v>1209960</v>
      </c>
      <c r="G11" s="872"/>
    </row>
    <row r="12" spans="1:7" x14ac:dyDescent="0.2">
      <c r="A12" s="869" t="s">
        <v>462</v>
      </c>
      <c r="B12" s="870" t="s">
        <v>1880</v>
      </c>
      <c r="C12" s="871"/>
      <c r="D12" s="869" t="s">
        <v>501</v>
      </c>
      <c r="E12" s="868"/>
      <c r="F12" s="1909">
        <f>'Expenditures 15-22'!K295</f>
        <v>567008</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30219083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1879</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314238</v>
      </c>
      <c r="G52" s="865"/>
    </row>
    <row r="53" spans="1:7" x14ac:dyDescent="0.2">
      <c r="A53" s="869" t="s">
        <v>459</v>
      </c>
      <c r="B53" s="869" t="s">
        <v>1475</v>
      </c>
      <c r="C53" s="889">
        <f>'Expenditures 15-22'!B102</f>
        <v>4000</v>
      </c>
      <c r="D53" s="888" t="str">
        <f>'Expenditures 15-22'!A102</f>
        <v>Total Payments to Other Govt Units</v>
      </c>
      <c r="E53" s="868"/>
      <c r="F53" s="1913">
        <f>'Expenditures 15-22'!K102</f>
        <v>407069</v>
      </c>
      <c r="G53" s="865"/>
    </row>
    <row r="54" spans="1:7" x14ac:dyDescent="0.2">
      <c r="A54" s="869" t="s">
        <v>459</v>
      </c>
      <c r="B54" s="869" t="s">
        <v>1476</v>
      </c>
      <c r="C54" s="889" t="s">
        <v>982</v>
      </c>
      <c r="D54" s="885" t="s">
        <v>1095</v>
      </c>
      <c r="E54" s="868"/>
      <c r="F54" s="1913">
        <f>'Expenditures 15-22'!G114</f>
        <v>31914</v>
      </c>
      <c r="G54" s="865"/>
    </row>
    <row r="55" spans="1:7" x14ac:dyDescent="0.2">
      <c r="A55" s="869" t="s">
        <v>459</v>
      </c>
      <c r="B55" s="869" t="s">
        <v>1477</v>
      </c>
      <c r="C55" s="889" t="s">
        <v>982</v>
      </c>
      <c r="D55" s="885" t="s">
        <v>291</v>
      </c>
      <c r="E55" s="868"/>
      <c r="F55" s="1913">
        <f>'Expenditures 15-22'!I114</f>
        <v>315215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452716</v>
      </c>
      <c r="G58" s="865"/>
    </row>
    <row r="59" spans="1:7" x14ac:dyDescent="0.2">
      <c r="A59" s="893" t="s">
        <v>460</v>
      </c>
      <c r="B59" s="856" t="s">
        <v>1884</v>
      </c>
      <c r="C59" s="894" t="s">
        <v>982</v>
      </c>
      <c r="D59" s="856" t="s">
        <v>291</v>
      </c>
      <c r="F59" s="1916">
        <f>'Expenditures 15-22'!I151</f>
        <v>72562</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8925000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255084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10775677</v>
      </c>
      <c r="G76" s="865"/>
    </row>
    <row r="77" spans="1:8" s="893" customFormat="1" ht="12" customHeight="1" thickTop="1" thickBot="1" x14ac:dyDescent="0.25">
      <c r="A77" s="1779"/>
      <c r="B77" s="1776"/>
      <c r="C77" s="1772"/>
      <c r="D77" s="1777" t="s">
        <v>1900</v>
      </c>
      <c r="E77" s="1774"/>
      <c r="F77" s="1780">
        <f>(F14-F76)</f>
        <v>19443406</v>
      </c>
      <c r="G77" s="869"/>
    </row>
    <row r="78" spans="1:8" s="893" customFormat="1" ht="12" customHeight="1" thickTop="1" x14ac:dyDescent="0.2">
      <c r="A78" s="1781"/>
      <c r="B78" s="1776"/>
      <c r="C78" s="1772"/>
      <c r="D78" s="1777" t="s">
        <v>2062</v>
      </c>
      <c r="E78" s="1774"/>
      <c r="F78" s="898">
        <v>2278.2600000000002</v>
      </c>
      <c r="G78" s="899"/>
      <c r="H78" s="869"/>
    </row>
    <row r="79" spans="1:8" s="893" customFormat="1" ht="12" customHeight="1" thickBot="1" x14ac:dyDescent="0.25">
      <c r="A79" s="1782"/>
      <c r="B79" s="1776"/>
      <c r="C79" s="1772"/>
      <c r="D79" s="1777" t="s">
        <v>1901</v>
      </c>
      <c r="E79" s="1774" t="s">
        <v>958</v>
      </c>
      <c r="F79" s="1783">
        <f>IF(F78&gt;0,F77/F78," Complete Line 78")</f>
        <v>8534.3226848559862</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781052</v>
      </c>
      <c r="G94" s="912"/>
    </row>
    <row r="95" spans="1:7" x14ac:dyDescent="0.2">
      <c r="A95" s="908" t="s">
        <v>140</v>
      </c>
      <c r="B95" s="908" t="s">
        <v>175</v>
      </c>
      <c r="C95" s="910">
        <v>1700</v>
      </c>
      <c r="D95" s="918" t="str">
        <f>'Revenues 9-14'!A82</f>
        <v>Total District/School Activity Income</v>
      </c>
      <c r="E95" s="906"/>
      <c r="F95" s="1789">
        <f>SUM('Revenues 9-14'!C82,'Revenues 9-14'!D82)</f>
        <v>154594</v>
      </c>
      <c r="G95" s="912"/>
    </row>
    <row r="96" spans="1:7" x14ac:dyDescent="0.2">
      <c r="A96" s="908" t="s">
        <v>459</v>
      </c>
      <c r="B96" s="908" t="s">
        <v>176</v>
      </c>
      <c r="C96" s="910">
        <f>'Revenues 9-14'!B84</f>
        <v>1811</v>
      </c>
      <c r="D96" s="911" t="str">
        <f>'Revenues 9-14'!A84</f>
        <v>Rentals - Regular Textbooks</v>
      </c>
      <c r="E96" s="906"/>
      <c r="F96" s="1789">
        <f>'Revenues 9-14'!C84</f>
        <v>447081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58316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60337</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1219</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38160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451308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1689</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83477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244877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24058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409679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27097</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128412</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128412</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4497</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41578</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70240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32136</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3059807</v>
      </c>
    </row>
    <row r="175" spans="1:7" ht="12" customHeight="1" x14ac:dyDescent="0.2">
      <c r="A175" s="1770"/>
      <c r="B175" s="1784"/>
      <c r="C175" s="1785"/>
      <c r="D175" s="1786" t="s">
        <v>2057</v>
      </c>
      <c r="E175" s="1787"/>
      <c r="F175" s="1789">
        <f>'PCTC-OEPP 27-28'!F77-F174</f>
        <v>16383599</v>
      </c>
    </row>
    <row r="176" spans="1:7" ht="12" customHeight="1" x14ac:dyDescent="0.2">
      <c r="A176" s="1770"/>
      <c r="B176" s="1784"/>
      <c r="C176" s="1785"/>
      <c r="D176" s="1786" t="s">
        <v>1817</v>
      </c>
      <c r="E176" s="1787"/>
      <c r="F176" s="1789">
        <f>'Cap Outlay Deprec 26'!I18</f>
        <v>2087484.7</v>
      </c>
    </row>
    <row r="177" spans="1:7" ht="12" customHeight="1" x14ac:dyDescent="0.2">
      <c r="A177" s="1770"/>
      <c r="B177" s="1784"/>
      <c r="C177" s="1785"/>
      <c r="D177" s="1786" t="s">
        <v>2058</v>
      </c>
      <c r="E177" s="1787"/>
      <c r="F177" s="1789">
        <f>F175+F176</f>
        <v>18471083.699999999</v>
      </c>
    </row>
    <row r="178" spans="1:7" ht="12" customHeight="1" x14ac:dyDescent="0.2">
      <c r="A178" s="1770"/>
      <c r="B178" s="1790"/>
      <c r="C178" s="1785"/>
      <c r="D178" s="1786" t="str">
        <f>D78</f>
        <v>9 Month ADA from District Average Daily Attendance/Prior General State Aid Inquiry 2018-2019</v>
      </c>
      <c r="E178" s="1787"/>
      <c r="F178" s="1791">
        <f>'PCTC-OEPP 27-28'!F78</f>
        <v>2278.2600000000002</v>
      </c>
      <c r="G178" s="930"/>
    </row>
    <row r="179" spans="1:7" ht="12" customHeight="1" thickBot="1" x14ac:dyDescent="0.25">
      <c r="A179" s="1770"/>
      <c r="B179" s="1790"/>
      <c r="C179" s="1785"/>
      <c r="D179" s="1786" t="s">
        <v>2059</v>
      </c>
      <c r="E179" s="1787" t="s">
        <v>1545</v>
      </c>
      <c r="F179" s="1792">
        <f>F177/F178</f>
        <v>8107.5398330304697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6" sqref="A26:D2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2106</v>
      </c>
      <c r="B17" s="1938" t="s">
        <v>2100</v>
      </c>
      <c r="C17" s="1937" t="s">
        <v>2090</v>
      </c>
      <c r="D17" s="1844">
        <v>710000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685000</v>
      </c>
      <c r="H17" s="1647"/>
    </row>
    <row r="18" spans="1:8" x14ac:dyDescent="0.25">
      <c r="A18" s="1939" t="s">
        <v>2107</v>
      </c>
      <c r="B18" s="1940" t="s">
        <v>2192</v>
      </c>
      <c r="C18" s="1937" t="s">
        <v>2086</v>
      </c>
      <c r="D18" s="1844">
        <v>150748</v>
      </c>
      <c r="E18" s="1540">
        <f t="shared" ref="E18:E140" si="2">IF(D18&lt;=25000,D18,IF(D18&gt;25000,25000,0))</f>
        <v>25000</v>
      </c>
      <c r="F18" s="1932">
        <f t="shared" si="1"/>
        <v>25000</v>
      </c>
      <c r="G18" s="1793">
        <f t="shared" ref="G18:G140" si="3">IF(F18=0,0,D18-F18)</f>
        <v>125748</v>
      </c>
    </row>
    <row r="19" spans="1:8" ht="30" x14ac:dyDescent="0.25">
      <c r="A19" s="1939" t="s">
        <v>2108</v>
      </c>
      <c r="B19" s="1938" t="s">
        <v>2101</v>
      </c>
      <c r="C19" s="1937" t="s">
        <v>2091</v>
      </c>
      <c r="D19" s="1844">
        <v>55775</v>
      </c>
      <c r="E19" s="1540">
        <f t="shared" si="2"/>
        <v>25000</v>
      </c>
      <c r="F19" s="1932">
        <f t="shared" si="1"/>
        <v>25000</v>
      </c>
      <c r="G19" s="1793">
        <f t="shared" si="3"/>
        <v>30775</v>
      </c>
    </row>
    <row r="20" spans="1:8" ht="30" x14ac:dyDescent="0.25">
      <c r="A20" s="1939" t="s">
        <v>2108</v>
      </c>
      <c r="B20" s="1938" t="s">
        <v>2101</v>
      </c>
      <c r="C20" s="1937" t="s">
        <v>2092</v>
      </c>
      <c r="D20" s="1844">
        <v>298250</v>
      </c>
      <c r="E20" s="1540">
        <f t="shared" si="2"/>
        <v>25000</v>
      </c>
      <c r="F20" s="1932">
        <f t="shared" si="1"/>
        <v>25000</v>
      </c>
      <c r="G20" s="1793">
        <f t="shared" si="3"/>
        <v>273250</v>
      </c>
    </row>
    <row r="21" spans="1:8" ht="30" x14ac:dyDescent="0.25">
      <c r="A21" s="1939" t="s">
        <v>2109</v>
      </c>
      <c r="B21" s="1940" t="s">
        <v>2192</v>
      </c>
      <c r="C21" s="1937" t="s">
        <v>2093</v>
      </c>
      <c r="D21" s="1844">
        <v>39700</v>
      </c>
      <c r="E21" s="1540">
        <f t="shared" si="2"/>
        <v>25000</v>
      </c>
      <c r="F21" s="1932">
        <f t="shared" si="1"/>
        <v>25000</v>
      </c>
      <c r="G21" s="1793">
        <f t="shared" si="3"/>
        <v>14700</v>
      </c>
    </row>
    <row r="22" spans="1:8" x14ac:dyDescent="0.25">
      <c r="A22" s="1939" t="s">
        <v>2110</v>
      </c>
      <c r="B22" s="1938" t="s">
        <v>2102</v>
      </c>
      <c r="C22" s="1937" t="s">
        <v>2094</v>
      </c>
      <c r="D22" s="1844">
        <v>115800</v>
      </c>
      <c r="E22" s="1540">
        <f t="shared" si="2"/>
        <v>25000</v>
      </c>
      <c r="F22" s="1932">
        <f t="shared" si="1"/>
        <v>25000</v>
      </c>
      <c r="G22" s="1793">
        <f t="shared" si="3"/>
        <v>90800</v>
      </c>
    </row>
    <row r="23" spans="1:8" x14ac:dyDescent="0.25">
      <c r="A23" s="1939" t="s">
        <v>2111</v>
      </c>
      <c r="B23" s="1938" t="s">
        <v>2103</v>
      </c>
      <c r="C23" s="1937" t="s">
        <v>2095</v>
      </c>
      <c r="D23" s="1844">
        <v>35000</v>
      </c>
      <c r="E23" s="1540">
        <f t="shared" si="2"/>
        <v>25000</v>
      </c>
      <c r="F23" s="1932">
        <f t="shared" si="1"/>
        <v>0</v>
      </c>
      <c r="G23" s="1793">
        <f t="shared" si="3"/>
        <v>0</v>
      </c>
    </row>
    <row r="24" spans="1:8" x14ac:dyDescent="0.25">
      <c r="A24" s="1939" t="s">
        <v>2112</v>
      </c>
      <c r="B24" s="1938" t="s">
        <v>2113</v>
      </c>
      <c r="C24" s="1937" t="s">
        <v>2096</v>
      </c>
      <c r="D24" s="1844">
        <v>180000</v>
      </c>
      <c r="E24" s="1540">
        <f t="shared" si="2"/>
        <v>25000</v>
      </c>
      <c r="F24" s="1932">
        <f t="shared" si="1"/>
        <v>0</v>
      </c>
      <c r="G24" s="1793">
        <f t="shared" si="3"/>
        <v>0</v>
      </c>
    </row>
    <row r="25" spans="1:8" ht="30" x14ac:dyDescent="0.25">
      <c r="A25" s="1939" t="s">
        <v>2114</v>
      </c>
      <c r="B25" s="1938" t="s">
        <v>2104</v>
      </c>
      <c r="C25" s="1937" t="s">
        <v>2097</v>
      </c>
      <c r="D25" s="1844">
        <v>150000</v>
      </c>
      <c r="E25" s="1540">
        <f t="shared" si="2"/>
        <v>25000</v>
      </c>
      <c r="F25" s="1932">
        <f t="shared" si="1"/>
        <v>0</v>
      </c>
      <c r="G25" s="1793">
        <f t="shared" si="3"/>
        <v>0</v>
      </c>
    </row>
    <row r="26" spans="1:8" ht="30" x14ac:dyDescent="0.25">
      <c r="A26" s="1939" t="s">
        <v>2115</v>
      </c>
      <c r="B26" s="1940" t="s">
        <v>2193</v>
      </c>
      <c r="C26" s="1937" t="s">
        <v>2098</v>
      </c>
      <c r="D26" s="1844">
        <v>65000</v>
      </c>
      <c r="E26" s="1540">
        <f t="shared" si="2"/>
        <v>25000</v>
      </c>
      <c r="F26" s="1932">
        <f t="shared" si="1"/>
        <v>25000</v>
      </c>
      <c r="G26" s="1793">
        <f t="shared" si="3"/>
        <v>40000</v>
      </c>
    </row>
    <row r="27" spans="1:8" ht="30" x14ac:dyDescent="0.25">
      <c r="A27" s="1939" t="s">
        <v>2116</v>
      </c>
      <c r="B27" s="1938" t="s">
        <v>2105</v>
      </c>
      <c r="C27" s="1937" t="s">
        <v>2099</v>
      </c>
      <c r="D27" s="1844">
        <v>34750</v>
      </c>
      <c r="E27" s="1540">
        <f t="shared" si="2"/>
        <v>25000</v>
      </c>
      <c r="F27" s="1932">
        <f t="shared" si="1"/>
        <v>25000</v>
      </c>
      <c r="G27" s="1793">
        <f t="shared" si="3"/>
        <v>9750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1835023</v>
      </c>
      <c r="E141" s="1541">
        <f t="shared" si="0"/>
        <v>25000</v>
      </c>
      <c r="F141" s="1933">
        <f>SUM(F17:F140)</f>
        <v>200000</v>
      </c>
      <c r="G141" s="1795">
        <f>SUM(G17:G140)</f>
        <v>1270023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v>31894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5057</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9764668</v>
      </c>
      <c r="F19" s="1799"/>
      <c r="G19" s="1801">
        <f>'Expenditures 15-22'!K33-SUM('Expenditures 15-22'!G33,'Expenditures 15-22'!I33)+'Expenditures 15-22'!D229</f>
        <v>9764668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1133240</v>
      </c>
      <c r="F21" s="1802"/>
      <c r="G21" s="1805">
        <f>'Expenditures 15-22'!K42-SUM('Expenditures 15-22'!G42,'Expenditures 15-22'!I42)+'Expenditures 15-22'!K120-SUM('Expenditures 15-22'!G120,'Expenditures 15-22'!I120)+'Expenditures 15-22'!K180-SUM('Expenditures 15-22'!G180,'Expenditures 15-22'!I180)+'Expenditures 15-22'!D238</f>
        <v>1133240</v>
      </c>
      <c r="H21" s="987"/>
      <c r="I21" s="162"/>
    </row>
    <row r="22" spans="1:9" s="668" customFormat="1" ht="12" customHeight="1" x14ac:dyDescent="0.2">
      <c r="A22" s="994" t="s">
        <v>564</v>
      </c>
      <c r="B22" s="995"/>
      <c r="C22" s="993">
        <v>2200</v>
      </c>
      <c r="D22" s="1802"/>
      <c r="E22" s="1804">
        <f>'Expenditures 15-22'!K47-SUM('Expenditures 15-22'!G47,'Expenditures 15-22'!I47)+'Expenditures 15-22'!D243</f>
        <v>362805</v>
      </c>
      <c r="F22" s="1802"/>
      <c r="G22" s="1805">
        <f>'Expenditures 15-22'!K47-SUM('Expenditures 15-22'!G47,'Expenditures 15-22'!I47)+'Expenditures 15-22'!D243</f>
        <v>362805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936501</v>
      </c>
      <c r="F23" s="1802"/>
      <c r="G23" s="1804">
        <f>'Expenditures 15-22'!K53-SUM('Expenditures 15-22'!G53,'Expenditures 15-22'!I53)+'Expenditures 15-22'!D257+'Expenditures 15-22'!K330-SUM('Expenditures 15-22'!G330,'Expenditures 15-22'!I330)</f>
        <v>936501</v>
      </c>
      <c r="H23" s="987"/>
      <c r="I23" s="162"/>
    </row>
    <row r="24" spans="1:9" s="668" customFormat="1" ht="12" customHeight="1" x14ac:dyDescent="0.2">
      <c r="A24" s="994" t="s">
        <v>566</v>
      </c>
      <c r="B24" s="995"/>
      <c r="C24" s="993">
        <v>2400</v>
      </c>
      <c r="D24" s="1802"/>
      <c r="E24" s="1804">
        <f>'Expenditures 15-22'!K57-SUM('Expenditures 15-22'!G57,'Expenditures 15-22'!I57)+'Expenditures 15-22'!D261</f>
        <v>1172952</v>
      </c>
      <c r="F24" s="1802"/>
      <c r="G24" s="1805">
        <f>'Expenditures 15-22'!K57-SUM('Expenditures 15-22'!G57,'Expenditures 15-22'!I57)+'Expenditures 15-22'!D261</f>
        <v>1172952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376386</v>
      </c>
      <c r="E27" s="1804">
        <f>E8</f>
        <v>0</v>
      </c>
      <c r="F27" s="1804">
        <f>'Expenditures 15-22'!K60-SUM('Expenditures 15-22'!G60,'Expenditures 15-22'!I60)+'Expenditures 15-22'!D264-E8</f>
        <v>376386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2198918</v>
      </c>
      <c r="F28" s="1806">
        <f>'Expenditures 15-22'!K61-SUM('Expenditures 15-22'!G61,'Expenditures 15-22'!I61)+'Expenditures 15-22'!K124-SUM('Expenditures 15-22'!G124,'Expenditures 15-22'!I124)+'Expenditures 15-22'!D266-E9</f>
        <v>2198918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1053117</v>
      </c>
      <c r="F29" s="1802"/>
      <c r="G29" s="1805">
        <f>'Expenditures 15-22'!K62-SUM('Expenditures 15-22'!G62,'Expenditures 15-22'!I62)+'Expenditures 15-22'!K125-SUM('Expenditures 15-22'!G125,'Expenditures 15-22'!I125)+'Expenditures 15-22'!K182-SUM('Expenditures 15-22'!G182,'Expenditures 15-22'!I182)+'Expenditures 15-22'!D267</f>
        <v>1053117</v>
      </c>
      <c r="H29" s="985"/>
    </row>
    <row r="30" spans="1:9" ht="12" customHeight="1" x14ac:dyDescent="0.2">
      <c r="A30" s="994" t="s">
        <v>100</v>
      </c>
      <c r="B30" s="997"/>
      <c r="C30" s="993">
        <v>2560</v>
      </c>
      <c r="D30" s="1802"/>
      <c r="E30" s="1804">
        <f>'Expenditures 15-22'!K63-SUM('Expenditures 15-22'!G63,'Expenditures 15-22'!I63)+'Expenditures 15-22'!D268-E10</f>
        <v>808989</v>
      </c>
      <c r="F30" s="1802"/>
      <c r="G30" s="1804">
        <f>'Expenditures 15-22'!K63-SUM('Expenditures 15-22'!G63,'Expenditures 15-22'!I63)+'Expenditures 15-22'!D268-E10</f>
        <v>808989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5057</v>
      </c>
      <c r="F37" s="1804">
        <f>'Expenditures 15-22'!K71-SUM('Expenditures 15-22'!G71,'Expenditures 15-22'!I71)+'Expenditures 15-22'!D276-E14</f>
        <v>0</v>
      </c>
      <c r="G37" s="1804">
        <f>E14</f>
        <v>5057</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314238</v>
      </c>
      <c r="F39" s="1802"/>
      <c r="G39" s="1804">
        <f>'Expenditures 15-22'!K75-SUM('Expenditures 15-22'!G75,'Expenditures 15-22'!I75)+'Expenditures 15-22'!K130-SUM('Expenditures 15-22'!G130,'Expenditures 15-22'!I130)+'Expenditures 15-22'!K185-SUM('Expenditures 15-22'!G185,'Expenditures 15-22'!I185)+'Expenditures 15-22'!D280</f>
        <v>314238</v>
      </c>
    </row>
    <row r="40" spans="1:7" ht="12" customHeight="1" x14ac:dyDescent="0.2">
      <c r="A40" s="990" t="s">
        <v>1823</v>
      </c>
      <c r="B40" s="991"/>
      <c r="C40" s="993"/>
      <c r="D40" s="1802"/>
      <c r="E40" s="1806">
        <f>-'Contracts Paid in CY 29'!G141</f>
        <v>-1270023</v>
      </c>
      <c r="F40" s="1802"/>
      <c r="G40" s="1806">
        <f>-'Contracts Paid in CY 29'!G141</f>
        <v>-1270023</v>
      </c>
    </row>
    <row r="41" spans="1:7" ht="12" customHeight="1" x14ac:dyDescent="0.2">
      <c r="A41" s="998" t="s">
        <v>156</v>
      </c>
      <c r="B41" s="999"/>
      <c r="C41" s="1000"/>
      <c r="D41" s="1806">
        <f>SUM(D19:D39)</f>
        <v>376386</v>
      </c>
      <c r="E41" s="1806">
        <f>SUM(E19:E40)</f>
        <v>16480462</v>
      </c>
      <c r="F41" s="1806">
        <f>SUM(F19:F39)</f>
        <v>2575304</v>
      </c>
      <c r="G41" s="1806">
        <f>SUM(G19:G40)</f>
        <v>14281544</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376386</v>
      </c>
      <c r="F43" s="1807" t="s">
        <v>473</v>
      </c>
      <c r="G43" s="1808">
        <f>F41</f>
        <v>2575304</v>
      </c>
    </row>
    <row r="44" spans="1:7" ht="12" customHeight="1" x14ac:dyDescent="0.2">
      <c r="A44" s="987"/>
      <c r="B44" s="162"/>
      <c r="C44" s="1001"/>
      <c r="D44" s="1807" t="s">
        <v>474</v>
      </c>
      <c r="E44" s="1808">
        <f>E41</f>
        <v>16480462</v>
      </c>
      <c r="F44" s="1807" t="s">
        <v>474</v>
      </c>
      <c r="G44" s="1808">
        <f>G41</f>
        <v>14281544</v>
      </c>
    </row>
    <row r="45" spans="1:7" ht="12" customHeight="1" x14ac:dyDescent="0.2">
      <c r="A45" s="987"/>
      <c r="B45" s="162"/>
      <c r="C45" s="162"/>
      <c r="D45" s="1809" t="s">
        <v>1006</v>
      </c>
      <c r="E45" s="1810">
        <f>(E43/E44)</f>
        <v>2.28383160617706E-2</v>
      </c>
      <c r="F45" s="1809" t="s">
        <v>1006</v>
      </c>
      <c r="G45" s="1810">
        <f>(G43/G44)</f>
        <v>0.18032392015877274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Rochester CUSD 3A</v>
      </c>
      <c r="D6" s="2297"/>
      <c r="E6" s="2297"/>
      <c r="F6" s="1852"/>
    </row>
    <row r="7" spans="1:10" ht="11.25" customHeight="1" thickBot="1" x14ac:dyDescent="0.3">
      <c r="A7" s="1850"/>
      <c r="B7" s="1851"/>
      <c r="C7" s="2298" t="str">
        <f>COVER!A13</f>
        <v>51084003A26</v>
      </c>
      <c r="D7" s="2298"/>
      <c r="E7" s="229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2075</v>
      </c>
      <c r="D19" s="1865" t="s">
        <v>2075</v>
      </c>
      <c r="E19" s="1868"/>
      <c r="F19" s="1867" t="s">
        <v>2086</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2075</v>
      </c>
      <c r="D26" s="1865" t="s">
        <v>2075</v>
      </c>
      <c r="E26" s="1868"/>
      <c r="F26" s="1867" t="s">
        <v>2087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2075</v>
      </c>
      <c r="D31" s="1865" t="s">
        <v>2075</v>
      </c>
      <c r="E31" s="1868"/>
      <c r="F31" s="1867" t="s">
        <v>2088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H12" sqref="H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Rochester CUSD 3A</v>
      </c>
      <c r="J6" s="2318"/>
      <c r="Q6" s="1664"/>
    </row>
    <row r="7" spans="1:17" x14ac:dyDescent="0.2">
      <c r="A7" s="2319" t="s">
        <v>869</v>
      </c>
      <c r="B7" s="2320"/>
      <c r="C7" s="2320"/>
      <c r="D7" s="2320"/>
      <c r="E7" s="2321"/>
      <c r="F7" s="1017"/>
      <c r="G7" s="1009"/>
      <c r="H7" s="1016" t="s">
        <v>372</v>
      </c>
      <c r="I7" s="2322" t="str">
        <f>COVER!A13</f>
        <v>51084003A26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342702</v>
      </c>
      <c r="F12" s="1039"/>
      <c r="G12" s="1811">
        <f t="shared" ref="G12:G18" si="0">SUM(E12:F12)</f>
        <v>342702</v>
      </c>
      <c r="H12" s="1040">
        <v>347593</v>
      </c>
      <c r="I12" s="1039"/>
      <c r="J12" s="1811">
        <f t="shared" ref="J12:J18" si="1">SUM(H12:I12)</f>
        <v>347593</v>
      </c>
    </row>
    <row r="13" spans="1:17" ht="15" customHeight="1" x14ac:dyDescent="0.2">
      <c r="A13" s="1035">
        <v>2</v>
      </c>
      <c r="B13" s="1036" t="s">
        <v>42</v>
      </c>
      <c r="C13" s="1037"/>
      <c r="D13" s="1038">
        <v>2330</v>
      </c>
      <c r="E13" s="1811">
        <f>'Expenditures 15-22'!K51</f>
        <v>201751</v>
      </c>
      <c r="F13" s="1039"/>
      <c r="G13" s="1811">
        <f t="shared" si="0"/>
        <v>201751</v>
      </c>
      <c r="H13" s="1040">
        <v>220750</v>
      </c>
      <c r="I13" s="1039"/>
      <c r="J13" s="1811">
        <f t="shared" si="1"/>
        <v>220750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544453</v>
      </c>
      <c r="F19" s="1813">
        <f t="shared" si="2"/>
        <v>0</v>
      </c>
      <c r="G19" s="1813">
        <f t="shared" si="2"/>
        <v>544453</v>
      </c>
      <c r="H19" s="1813">
        <f t="shared" si="2"/>
        <v>568343</v>
      </c>
      <c r="I19" s="1813">
        <f t="shared" si="2"/>
        <v>0</v>
      </c>
      <c r="J19" s="1813">
        <f t="shared" si="2"/>
        <v>568343</v>
      </c>
    </row>
    <row r="20" spans="1:10" ht="13.5" thickTop="1" x14ac:dyDescent="0.2">
      <c r="A20" s="1035">
        <v>9</v>
      </c>
      <c r="B20" s="2329" t="s">
        <v>1981</v>
      </c>
      <c r="C20" s="2329"/>
      <c r="D20" s="2330"/>
      <c r="E20" s="1046"/>
      <c r="F20" s="1046"/>
      <c r="G20" s="1046"/>
      <c r="H20" s="1046"/>
      <c r="I20" s="1046"/>
      <c r="J20" s="1814">
        <f>IF(AND(G19&gt;0,J19&gt;0),(((J19-G19)/G19)),"Enter Budget Data")</f>
        <v>4.3878902311126948E-2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2175</v>
      </c>
    </row>
    <row r="6" spans="1:2" x14ac:dyDescent="0.2">
      <c r="A6" s="1068"/>
      <c r="B6" s="329" t="s">
        <v>2182</v>
      </c>
    </row>
    <row r="7" spans="1:2" x14ac:dyDescent="0.2">
      <c r="A7" s="1068"/>
      <c r="B7" s="329" t="s">
        <v>2176</v>
      </c>
    </row>
    <row r="8" spans="1:2" x14ac:dyDescent="0.2">
      <c r="A8" s="1068"/>
      <c r="B8" s="329" t="s">
        <v>2177</v>
      </c>
    </row>
    <row r="9" spans="1:2" x14ac:dyDescent="0.2">
      <c r="A9" s="1069"/>
      <c r="B9" s="329" t="s">
        <v>2178</v>
      </c>
    </row>
    <row r="10" spans="1:2" x14ac:dyDescent="0.2">
      <c r="A10" s="1069">
        <v>2</v>
      </c>
      <c r="B10" s="329" t="s">
        <v>2179</v>
      </c>
    </row>
    <row r="11" spans="1:2" x14ac:dyDescent="0.2">
      <c r="A11" s="1069">
        <v>3</v>
      </c>
      <c r="B11" s="329" t="s">
        <v>2180</v>
      </c>
    </row>
    <row r="12" spans="1:2" x14ac:dyDescent="0.2">
      <c r="A12" s="1069">
        <v>4</v>
      </c>
      <c r="B12" s="329" t="s">
        <v>2181</v>
      </c>
    </row>
    <row r="13" spans="1:2" x14ac:dyDescent="0.2">
      <c r="A13" s="1069">
        <v>5</v>
      </c>
      <c r="B13" s="329" t="s">
        <v>2183</v>
      </c>
    </row>
    <row r="14" spans="1:2" x14ac:dyDescent="0.2">
      <c r="A14" s="1069">
        <v>6</v>
      </c>
      <c r="B14" s="329" t="s">
        <v>2184</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Rochester CUSD 3A</v>
      </c>
    </row>
    <row r="65" spans="2:2" x14ac:dyDescent="0.2">
      <c r="B65" s="1070" t="str">
        <f>COVER!A13</f>
        <v>51084003A26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B54" sqref="B5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1095375</xdr:colOff>
                <xdr:row>4</xdr:row>
                <xdr:rowOff>142875</xdr:rowOff>
              </from>
              <to>
                <xdr:col>1</xdr:col>
                <xdr:colOff>2009775</xdr:colOff>
                <xdr:row>9</xdr:row>
                <xdr:rowOff>19050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16027222</v>
      </c>
      <c r="C8" s="1815">
        <f>'Acct Summary 7-8'!D8</f>
        <v>2258771</v>
      </c>
      <c r="D8" s="1815">
        <f>'Acct Summary 7-8'!F8</f>
        <v>1067824</v>
      </c>
      <c r="E8" s="1815">
        <f>'Acct Summary 7-8'!I8</f>
        <v>163399</v>
      </c>
      <c r="F8" s="1815">
        <f>SUM(B8:E8)</f>
        <v>19517216</v>
      </c>
    </row>
    <row r="9" spans="1:8" s="1079" customFormat="1" ht="14.25" customHeight="1" thickBot="1" x14ac:dyDescent="0.25">
      <c r="A9" s="1078" t="s">
        <v>1369</v>
      </c>
      <c r="B9" s="1816">
        <f>'Acct Summary 7-8'!C17</f>
        <v>15574138</v>
      </c>
      <c r="C9" s="1816">
        <f>'Acct Summary 7-8'!D17</f>
        <v>2323911</v>
      </c>
      <c r="D9" s="1816">
        <f>'Acct Summary 7-8'!F17</f>
        <v>1209960</v>
      </c>
      <c r="E9" s="1815"/>
      <c r="F9" s="1815">
        <f>SUM(B9:E9)</f>
        <v>19108009</v>
      </c>
    </row>
    <row r="10" spans="1:8" s="1079" customFormat="1" ht="14.25" thickTop="1" thickBot="1" x14ac:dyDescent="0.25">
      <c r="A10" s="1080" t="s">
        <v>1370</v>
      </c>
      <c r="B10" s="1817">
        <f>(B8-B9)</f>
        <v>453084</v>
      </c>
      <c r="C10" s="1817">
        <f>(C8-C9)</f>
        <v>-65140</v>
      </c>
      <c r="D10" s="1817">
        <f>(D8-D9)</f>
        <v>-142136</v>
      </c>
      <c r="E10" s="1816">
        <f>(E8-E9)</f>
        <v>163399</v>
      </c>
      <c r="F10" s="1818">
        <f>SUM(F8-F9)</f>
        <v>409207</v>
      </c>
    </row>
    <row r="11" spans="1:8" s="1079" customFormat="1" ht="14.25" thickTop="1" thickBot="1" x14ac:dyDescent="0.25">
      <c r="A11" s="1081" t="s">
        <v>1985</v>
      </c>
      <c r="B11" s="1819">
        <f>'Acct Summary 7-8'!C81</f>
        <v>4633932</v>
      </c>
      <c r="C11" s="1819">
        <f>'Acct Summary 7-8'!D81</f>
        <v>912442</v>
      </c>
      <c r="D11" s="1819">
        <f>'Acct Summary 7-8'!F81</f>
        <v>868148</v>
      </c>
      <c r="E11" s="1819">
        <f>'Acct Summary 7-8'!I81</f>
        <v>1295112</v>
      </c>
      <c r="F11" s="1820">
        <f>SUM(B11:E11)</f>
        <v>7709634</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D6" sqref="D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51084003A26</v>
      </c>
    </row>
    <row r="3" spans="1:2" x14ac:dyDescent="0.2">
      <c r="A3" t="s">
        <v>956</v>
      </c>
      <c r="B3" s="138" t="str">
        <f>COVER!A15</f>
        <v>Sangamon</v>
      </c>
    </row>
    <row r="4" spans="1:2" x14ac:dyDescent="0.2">
      <c r="A4" t="s">
        <v>1007</v>
      </c>
      <c r="B4" s="138" t="str">
        <f>COVER!A17</f>
        <v>Rochester CUSD 3A</v>
      </c>
    </row>
    <row r="5" spans="1:2" x14ac:dyDescent="0.2">
      <c r="A5" t="s">
        <v>704</v>
      </c>
      <c r="B5" s="138" t="str">
        <f>COVER!A38</f>
        <v>Russell Clover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060-004845</v>
      </c>
    </row>
    <row r="16" spans="1:2" x14ac:dyDescent="0.2">
      <c r="A16" t="s">
        <v>422</v>
      </c>
      <c r="B16" s="138" t="str">
        <f>COVER!T13</f>
        <v>Pehlman and Dold, P.C.</v>
      </c>
    </row>
    <row r="17" spans="1:2" x14ac:dyDescent="0.2">
      <c r="A17" t="s">
        <v>884</v>
      </c>
      <c r="B17" s="138" t="str">
        <f>COVER!T15</f>
        <v>Jamie Nichols</v>
      </c>
    </row>
    <row r="18" spans="1:2" x14ac:dyDescent="0.2">
      <c r="A18" t="s">
        <v>1150</v>
      </c>
      <c r="B18" s="138" t="str">
        <f>COVER!T17</f>
        <v>100 North Amos Avenue</v>
      </c>
    </row>
    <row r="19" spans="1:2" x14ac:dyDescent="0.2">
      <c r="A19" t="s">
        <v>886</v>
      </c>
      <c r="B19" s="138" t="str">
        <f>COVER!T25</f>
        <v>jnichols@p-dcpas.com</v>
      </c>
    </row>
    <row r="20" spans="1:2" x14ac:dyDescent="0.2">
      <c r="A20" t="s">
        <v>887</v>
      </c>
      <c r="B20" s="138" t="str">
        <f>COVER!T19</f>
        <v>Springfield</v>
      </c>
    </row>
    <row r="21" spans="1:2" x14ac:dyDescent="0.2">
      <c r="A21" t="s">
        <v>479</v>
      </c>
      <c r="B21" s="138" t="str">
        <f>COVER!X19</f>
        <v>IL</v>
      </c>
    </row>
    <row r="22" spans="1:2" x14ac:dyDescent="0.2">
      <c r="A22" t="s">
        <v>888</v>
      </c>
      <c r="B22" s="138">
        <f>COVER!Z19</f>
        <v>62702</v>
      </c>
    </row>
    <row r="23" spans="1:2" x14ac:dyDescent="0.2">
      <c r="A23" t="s">
        <v>1152</v>
      </c>
      <c r="B23" s="138" t="str">
        <f>COVER!T21</f>
        <v>(217) 787-0563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35374</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6509855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7411478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2777546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2777546</v>
      </c>
      <c r="C91" s="2" t="s">
        <v>573</v>
      </c>
      <c r="D91" s="2" t="str">
        <f t="shared" si="0"/>
        <v>Error?</v>
      </c>
    </row>
    <row r="92" spans="1:4" x14ac:dyDescent="0.2">
      <c r="A92" s="5">
        <v>31</v>
      </c>
      <c r="B92" s="138">
        <f>'Assets-Liab 5-6'!C39</f>
        <v>4633932</v>
      </c>
      <c r="D92" s="2" t="str">
        <f t="shared" si="0"/>
        <v>Error?</v>
      </c>
    </row>
    <row r="93" spans="1:4" x14ac:dyDescent="0.2">
      <c r="A93" s="5">
        <v>32</v>
      </c>
      <c r="B93" s="138">
        <f>'Assets-Liab 5-6'!C41</f>
        <v>7411478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1364143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1620589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708147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708147</v>
      </c>
      <c r="C122" s="2" t="s">
        <v>573</v>
      </c>
      <c r="D122" s="2" t="str">
        <f t="shared" si="0"/>
        <v>Error?</v>
      </c>
    </row>
    <row r="123" spans="1:4" x14ac:dyDescent="0.2">
      <c r="A123" s="5">
        <v>62</v>
      </c>
      <c r="B123" s="138">
        <f>'Assets-Liab 5-6'!D39</f>
        <v>912442</v>
      </c>
      <c r="D123" s="2" t="str">
        <f t="shared" si="0"/>
        <v>Error?</v>
      </c>
    </row>
    <row r="124" spans="1:4" x14ac:dyDescent="0.2">
      <c r="A124" s="5">
        <v>63</v>
      </c>
      <c r="B124" s="138">
        <f>'Assets-Liab 5-6'!D41</f>
        <v>1620589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1060338</v>
      </c>
      <c r="D129" s="2" t="str">
        <f t="shared" si="1"/>
        <v>Error?</v>
      </c>
    </row>
    <row r="130" spans="1:4" x14ac:dyDescent="0.2">
      <c r="A130" s="5">
        <v>69</v>
      </c>
      <c r="B130" s="138">
        <f>'Assets-Liab 5-6'!E12</f>
        <v>0</v>
      </c>
      <c r="D130" s="2" t="str">
        <f t="shared" si="1"/>
        <v>Error?</v>
      </c>
    </row>
    <row r="131" spans="1:4" x14ac:dyDescent="0.2">
      <c r="A131" s="5">
        <v>70</v>
      </c>
      <c r="B131" s="138">
        <f>'Assets-Liab 5-6'!E13</f>
        <v>1074289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1030896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1030896</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1074289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905024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1091917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250</v>
      </c>
      <c r="D164" s="2" t="str">
        <f t="shared" si="1"/>
        <v>Error?</v>
      </c>
    </row>
    <row r="165" spans="1:4" x14ac:dyDescent="0.2">
      <c r="A165" s="10">
        <v>104</v>
      </c>
      <c r="D165" s="2" t="str">
        <f t="shared" si="1"/>
        <v>OK</v>
      </c>
    </row>
    <row r="166" spans="1:4" x14ac:dyDescent="0.2">
      <c r="A166" s="5">
        <v>105</v>
      </c>
      <c r="B166" s="138">
        <f>'Assets-Liab 5-6'!F32</f>
        <v>223519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223769</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1091917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505862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511303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24</v>
      </c>
      <c r="D184" s="2" t="str">
        <f t="shared" si="1"/>
        <v>Error?</v>
      </c>
    </row>
    <row r="185" spans="1:4" x14ac:dyDescent="0.2">
      <c r="A185" s="5">
        <v>124</v>
      </c>
      <c r="B185" s="138">
        <f>'Assets-Liab 5-6'!G32</f>
        <v>231239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231263</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511303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1260494</v>
      </c>
      <c r="D273" s="2" t="str">
        <f t="shared" si="3"/>
        <v>Error?</v>
      </c>
    </row>
    <row r="274" spans="1:4" x14ac:dyDescent="0.2">
      <c r="A274" s="5">
        <v>213</v>
      </c>
      <c r="B274" s="138">
        <f>'Assets-Liab 5-6'!M17</f>
        <v>69134047</v>
      </c>
      <c r="D274" s="2" t="str">
        <f t="shared" si="3"/>
        <v>Error?</v>
      </c>
    </row>
    <row r="275" spans="1:4" x14ac:dyDescent="0.2">
      <c r="A275" s="5">
        <v>214</v>
      </c>
      <c r="B275" s="138">
        <f>'Assets-Liab 5-6'!M18</f>
        <v>4874748</v>
      </c>
      <c r="D275" s="2" t="str">
        <f t="shared" si="3"/>
        <v>Error?</v>
      </c>
    </row>
    <row r="276" spans="1:4" x14ac:dyDescent="0.2">
      <c r="A276" s="5">
        <v>215</v>
      </c>
      <c r="B276" s="138">
        <f>'Assets-Liab 5-6'!M19</f>
        <v>9918846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85188135</v>
      </c>
      <c r="C279" s="2" t="s">
        <v>573</v>
      </c>
      <c r="D279" s="2" t="str">
        <f t="shared" si="3"/>
        <v>Error?</v>
      </c>
    </row>
    <row r="280" spans="1:4" x14ac:dyDescent="0.2">
      <c r="A280" s="5">
        <v>219</v>
      </c>
      <c r="B280" s="138">
        <f>'Assets-Liab 5-6'!M40</f>
        <v>85188135</v>
      </c>
      <c r="D280" s="2" t="str">
        <f t="shared" si="3"/>
        <v>Error?</v>
      </c>
    </row>
    <row r="281" spans="1:4" x14ac:dyDescent="0.2">
      <c r="A281" s="5">
        <v>220</v>
      </c>
      <c r="B281" s="138">
        <f>'Assets-Liab 5-6'!M41</f>
        <v>85188135</v>
      </c>
      <c r="C281" s="2" t="s">
        <v>573</v>
      </c>
      <c r="D281" s="2" t="str">
        <f t="shared" si="3"/>
        <v>Error?</v>
      </c>
    </row>
    <row r="282" spans="1:4" x14ac:dyDescent="0.2">
      <c r="A282" s="5">
        <v>221</v>
      </c>
      <c r="B282" s="138">
        <f>'Assets-Liab 5-6'!N21</f>
        <v>43393</v>
      </c>
      <c r="D282" s="2" t="str">
        <f t="shared" si="3"/>
        <v>Error?</v>
      </c>
    </row>
    <row r="283" spans="1:4" x14ac:dyDescent="0.2">
      <c r="A283" s="5">
        <v>222</v>
      </c>
      <c r="B283" s="138">
        <f>'Assets-Liab 5-6'!N22</f>
        <v>36696607</v>
      </c>
      <c r="D283" s="2" t="str">
        <f t="shared" si="3"/>
        <v>Error?</v>
      </c>
    </row>
    <row r="284" spans="1:4" x14ac:dyDescent="0.2">
      <c r="A284" s="5">
        <v>223</v>
      </c>
      <c r="B284" s="138">
        <f>'Assets-Liab 5-6'!N23</f>
        <v>36740000</v>
      </c>
      <c r="C284" s="2" t="s">
        <v>573</v>
      </c>
      <c r="D284" s="2" t="str">
        <f t="shared" si="3"/>
        <v>Error?</v>
      </c>
    </row>
    <row r="285" spans="1:4" x14ac:dyDescent="0.2">
      <c r="A285" s="5">
        <v>224</v>
      </c>
      <c r="B285" s="138">
        <f>'Assets-Liab 5-6'!N36</f>
        <v>36740000</v>
      </c>
      <c r="D285" s="2" t="str">
        <f t="shared" si="3"/>
        <v>Error?</v>
      </c>
    </row>
    <row r="286" spans="1:4" x14ac:dyDescent="0.2">
      <c r="A286" s="10">
        <v>225</v>
      </c>
      <c r="D286" s="2" t="str">
        <f t="shared" si="3"/>
        <v>OK</v>
      </c>
    </row>
    <row r="287" spans="1:4" x14ac:dyDescent="0.2">
      <c r="A287" s="5">
        <v>226</v>
      </c>
      <c r="B287" s="138">
        <f>'Assets-Liab 5-6'!N37</f>
        <v>36740000</v>
      </c>
      <c r="C287" s="2" t="s">
        <v>573</v>
      </c>
      <c r="D287" s="2" t="str">
        <f t="shared" si="3"/>
        <v>Error?</v>
      </c>
    </row>
    <row r="288" spans="1:4" x14ac:dyDescent="0.2">
      <c r="A288" s="5">
        <v>227</v>
      </c>
      <c r="B288" s="138">
        <f>'Assets-Liab 5-6'!N41</f>
        <v>36740000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6263104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214173</v>
      </c>
      <c r="D717" s="2" t="str">
        <f t="shared" si="10"/>
        <v>Error?</v>
      </c>
    </row>
    <row r="718" spans="1:4" x14ac:dyDescent="0.2">
      <c r="A718" s="5">
        <v>657</v>
      </c>
      <c r="B718" s="138">
        <f>'Expenditures 15-22'!C14</f>
        <v>450618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8157913</v>
      </c>
      <c r="C720" s="2" t="s">
        <v>573</v>
      </c>
      <c r="D720" s="2" t="str">
        <f t="shared" si="10"/>
        <v>Error?</v>
      </c>
    </row>
    <row r="721" spans="1:4" x14ac:dyDescent="0.2">
      <c r="A721" s="5">
        <v>660</v>
      </c>
      <c r="B721" s="138">
        <f>'Expenditures 15-22'!C36</f>
        <v>133642</v>
      </c>
      <c r="D721" s="2" t="str">
        <f t="shared" si="10"/>
        <v>Error?</v>
      </c>
    </row>
    <row r="722" spans="1:4" x14ac:dyDescent="0.2">
      <c r="A722" s="5">
        <v>661</v>
      </c>
      <c r="B722" s="138">
        <f>'Expenditures 15-22'!C37</f>
        <v>199770</v>
      </c>
      <c r="D722" s="2" t="str">
        <f t="shared" si="10"/>
        <v>Error?</v>
      </c>
    </row>
    <row r="723" spans="1:4" x14ac:dyDescent="0.2">
      <c r="A723" s="5">
        <v>662</v>
      </c>
      <c r="B723" s="138">
        <f>'Expenditures 15-22'!C38</f>
        <v>198348</v>
      </c>
      <c r="D723" s="2" t="str">
        <f t="shared" si="10"/>
        <v>Error?</v>
      </c>
    </row>
    <row r="724" spans="1:4" x14ac:dyDescent="0.2">
      <c r="A724" s="5">
        <v>663</v>
      </c>
      <c r="B724" s="138">
        <f>'Expenditures 15-22'!C39</f>
        <v>145293</v>
      </c>
      <c r="D724" s="2" t="str">
        <f t="shared" si="10"/>
        <v>Error?</v>
      </c>
    </row>
    <row r="725" spans="1:4" x14ac:dyDescent="0.2">
      <c r="A725" s="5">
        <v>664</v>
      </c>
      <c r="B725" s="138">
        <f>'Expenditures 15-22'!C40</f>
        <v>161522</v>
      </c>
      <c r="D725" s="2" t="str">
        <f t="shared" si="10"/>
        <v>Error?</v>
      </c>
    </row>
    <row r="726" spans="1:4" x14ac:dyDescent="0.2">
      <c r="A726" s="5">
        <v>665</v>
      </c>
      <c r="B726" s="138">
        <f>'Expenditures 15-22'!C41</f>
        <v>54194</v>
      </c>
      <c r="D726" s="2" t="str">
        <f t="shared" si="10"/>
        <v>Error?</v>
      </c>
    </row>
    <row r="727" spans="1:4" x14ac:dyDescent="0.2">
      <c r="A727" s="5">
        <v>666</v>
      </c>
      <c r="B727" s="138">
        <f>'Expenditures 15-22'!C42</f>
        <v>892769</v>
      </c>
      <c r="C727" s="2" t="s">
        <v>573</v>
      </c>
      <c r="D727" s="2" t="str">
        <f t="shared" si="10"/>
        <v>Error?</v>
      </c>
    </row>
    <row r="728" spans="1:4" x14ac:dyDescent="0.2">
      <c r="A728" s="5">
        <v>667</v>
      </c>
      <c r="B728" s="138">
        <f>'Expenditures 15-22'!C44</f>
        <v>62404</v>
      </c>
      <c r="D728" s="2" t="str">
        <f t="shared" si="10"/>
        <v>Error?</v>
      </c>
    </row>
    <row r="729" spans="1:4" x14ac:dyDescent="0.2">
      <c r="A729" s="5">
        <v>668</v>
      </c>
      <c r="B729" s="138">
        <f>'Expenditures 15-22'!C45</f>
        <v>126257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188661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210895</v>
      </c>
      <c r="D733" s="2" t="str">
        <f t="shared" si="10"/>
        <v>Error?</v>
      </c>
    </row>
    <row r="734" spans="1:4" x14ac:dyDescent="0.2">
      <c r="A734" s="5">
        <v>673</v>
      </c>
      <c r="B734" s="138">
        <f>'Expenditures 15-22'!C53</f>
        <v>394241</v>
      </c>
      <c r="C734" s="2" t="s">
        <v>573</v>
      </c>
      <c r="D734" s="2" t="str">
        <f t="shared" si="10"/>
        <v>Error?</v>
      </c>
    </row>
    <row r="735" spans="1:4" x14ac:dyDescent="0.2">
      <c r="A735" s="5">
        <v>674</v>
      </c>
      <c r="B735" s="138">
        <f>'Expenditures 15-22'!C55</f>
        <v>977119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977119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239842</v>
      </c>
      <c r="D739" s="2" t="str">
        <f t="shared" si="10"/>
        <v>Error?</v>
      </c>
    </row>
    <row r="740" spans="1:4" x14ac:dyDescent="0.2">
      <c r="A740" s="5">
        <v>679</v>
      </c>
      <c r="B740" s="138">
        <f>'Expenditures 15-22'!C61</f>
        <v>218814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458656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2911446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11069359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732606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24515</v>
      </c>
      <c r="D775" s="2" t="str">
        <f t="shared" si="11"/>
        <v>Error?</v>
      </c>
    </row>
    <row r="776" spans="1:4" x14ac:dyDescent="0.2">
      <c r="A776" s="5">
        <v>715</v>
      </c>
      <c r="B776" s="138">
        <f>'Expenditures 15-22'!D14</f>
        <v>13027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908756</v>
      </c>
      <c r="C778" s="2" t="s">
        <v>573</v>
      </c>
      <c r="D778" s="2" t="str">
        <f t="shared" si="11"/>
        <v>Error?</v>
      </c>
    </row>
    <row r="779" spans="1:4" x14ac:dyDescent="0.2">
      <c r="A779" s="5">
        <v>718</v>
      </c>
      <c r="B779" s="138">
        <f>'Expenditures 15-22'!D36</f>
        <v>15217</v>
      </c>
      <c r="D779" s="2" t="str">
        <f t="shared" si="11"/>
        <v>Error?</v>
      </c>
    </row>
    <row r="780" spans="1:4" x14ac:dyDescent="0.2">
      <c r="A780" s="5">
        <v>719</v>
      </c>
      <c r="B780" s="138">
        <f>'Expenditures 15-22'!D37</f>
        <v>23492</v>
      </c>
      <c r="D780" s="2" t="str">
        <f t="shared" si="11"/>
        <v>Error?</v>
      </c>
    </row>
    <row r="781" spans="1:4" x14ac:dyDescent="0.2">
      <c r="A781" s="5">
        <v>720</v>
      </c>
      <c r="B781" s="138">
        <f>'Expenditures 15-22'!D38</f>
        <v>13062</v>
      </c>
      <c r="D781" s="2" t="str">
        <f t="shared" si="11"/>
        <v>Error?</v>
      </c>
    </row>
    <row r="782" spans="1:4" x14ac:dyDescent="0.2">
      <c r="A782" s="5">
        <v>721</v>
      </c>
      <c r="B782" s="138">
        <f>'Expenditures 15-22'!D39</f>
        <v>16385</v>
      </c>
      <c r="D782" s="2" t="str">
        <f t="shared" si="11"/>
        <v>Error?</v>
      </c>
    </row>
    <row r="783" spans="1:4" x14ac:dyDescent="0.2">
      <c r="A783" s="5">
        <v>722</v>
      </c>
      <c r="B783" s="138">
        <f>'Expenditures 15-22'!D40</f>
        <v>16548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84704</v>
      </c>
      <c r="C785" s="2" t="s">
        <v>573</v>
      </c>
      <c r="D785" s="2" t="str">
        <f t="shared" si="11"/>
        <v>Error?</v>
      </c>
    </row>
    <row r="786" spans="1:4" x14ac:dyDescent="0.2">
      <c r="A786" s="5">
        <v>725</v>
      </c>
      <c r="B786" s="138">
        <f>'Expenditures 15-22'!D44</f>
        <v>8201</v>
      </c>
      <c r="D786" s="2" t="str">
        <f t="shared" si="11"/>
        <v>Error?</v>
      </c>
    </row>
    <row r="787" spans="1:4" x14ac:dyDescent="0.2">
      <c r="A787" s="5">
        <v>726</v>
      </c>
      <c r="B787" s="138">
        <f>'Expenditures 15-22'!D45</f>
        <v>17238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25439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32742</v>
      </c>
      <c r="D791" s="2" t="str">
        <f t="shared" si="11"/>
        <v>Error?</v>
      </c>
    </row>
    <row r="792" spans="1:4" x14ac:dyDescent="0.2">
      <c r="A792" s="5">
        <v>731</v>
      </c>
      <c r="B792" s="138">
        <f>'Expenditures 15-22'!D53</f>
        <v>46672</v>
      </c>
      <c r="C792" s="2" t="s">
        <v>573</v>
      </c>
      <c r="D792" s="2" t="str">
        <f t="shared" si="11"/>
        <v>Error?</v>
      </c>
    </row>
    <row r="793" spans="1:4" x14ac:dyDescent="0.2">
      <c r="A793" s="5">
        <v>732</v>
      </c>
      <c r="B793" s="138">
        <f>'Expenditures 15-22'!D55</f>
        <v>147051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147051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43872</v>
      </c>
      <c r="D797" s="2" t="str">
        <f t="shared" si="11"/>
        <v>Error?</v>
      </c>
    </row>
    <row r="798" spans="1:4" x14ac:dyDescent="0.2">
      <c r="A798" s="5">
        <v>737</v>
      </c>
      <c r="B798" s="138">
        <f>'Expenditures 15-22'!D61</f>
        <v>15868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59740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363606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1272362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94047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192104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32790</v>
      </c>
      <c r="D839" s="2" t="str">
        <f t="shared" si="12"/>
        <v>Error?</v>
      </c>
    </row>
    <row r="840" spans="1:4" x14ac:dyDescent="0.2">
      <c r="A840" s="5">
        <v>779</v>
      </c>
      <c r="B840" s="138">
        <f>'Expenditures 15-22'!E39</f>
        <v>35093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67883</v>
      </c>
      <c r="C843" s="2" t="s">
        <v>573</v>
      </c>
      <c r="D843" s="2" t="str">
        <f t="shared" si="12"/>
        <v>Error?</v>
      </c>
    </row>
    <row r="844" spans="1:4" x14ac:dyDescent="0.2">
      <c r="A844" s="5">
        <v>783</v>
      </c>
      <c r="B844" s="138">
        <f>'Expenditures 15-22'!E44</f>
        <v>103225</v>
      </c>
      <c r="D844" s="2" t="str">
        <f t="shared" si="12"/>
        <v>Error?</v>
      </c>
    </row>
    <row r="845" spans="1:4" x14ac:dyDescent="0.2">
      <c r="A845" s="5">
        <v>784</v>
      </c>
      <c r="B845" s="138">
        <f>'Expenditures 15-22'!E45</f>
        <v>684</v>
      </c>
      <c r="D845" s="2" t="str">
        <f t="shared" si="12"/>
        <v>Error?</v>
      </c>
    </row>
    <row r="846" spans="1:4" x14ac:dyDescent="0.2">
      <c r="A846" s="5">
        <v>785</v>
      </c>
      <c r="B846" s="138">
        <f>'Expenditures 15-22'!E46</f>
        <v>1036</v>
      </c>
      <c r="D846" s="2" t="str">
        <f t="shared" si="12"/>
        <v>Error?</v>
      </c>
    </row>
    <row r="847" spans="1:4" x14ac:dyDescent="0.2">
      <c r="A847" s="5">
        <v>786</v>
      </c>
      <c r="B847" s="138">
        <f>'Expenditures 15-22'!E47</f>
        <v>104945</v>
      </c>
      <c r="C847" s="2" t="s">
        <v>573</v>
      </c>
      <c r="D847" s="2" t="str">
        <f t="shared" si="12"/>
        <v>Error?</v>
      </c>
    </row>
    <row r="848" spans="1:4" x14ac:dyDescent="0.2">
      <c r="A848" s="5">
        <v>787</v>
      </c>
      <c r="B848" s="138">
        <f>'Expenditures 15-22'!E49</f>
        <v>342830</v>
      </c>
      <c r="D848" s="2" t="str">
        <f t="shared" si="12"/>
        <v>Error?</v>
      </c>
    </row>
    <row r="849" spans="1:4" x14ac:dyDescent="0.2">
      <c r="A849" s="5">
        <v>788</v>
      </c>
      <c r="B849" s="138">
        <f>'Expenditures 15-22'!E50</f>
        <v>43108</v>
      </c>
      <c r="D849" s="2" t="str">
        <f t="shared" si="12"/>
        <v>Error?</v>
      </c>
    </row>
    <row r="850" spans="1:4" x14ac:dyDescent="0.2">
      <c r="A850" s="5">
        <v>789</v>
      </c>
      <c r="B850" s="138">
        <f>'Expenditures 15-22'!E53</f>
        <v>387607</v>
      </c>
      <c r="C850" s="2" t="s">
        <v>573</v>
      </c>
      <c r="D850" s="2" t="str">
        <f t="shared" si="12"/>
        <v>Error?</v>
      </c>
    </row>
    <row r="851" spans="1:4" x14ac:dyDescent="0.2">
      <c r="A851" s="5">
        <v>790</v>
      </c>
      <c r="B851" s="138">
        <f>'Expenditures 15-22'!E55</f>
        <v>3050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47436</v>
      </c>
      <c r="D855" s="2" t="str">
        <f t="shared" si="12"/>
        <v>Error?</v>
      </c>
    </row>
    <row r="856" spans="1:4" x14ac:dyDescent="0.2">
      <c r="A856" s="5">
        <v>795</v>
      </c>
      <c r="B856" s="138">
        <f>'Expenditures 15-22'!E61</f>
        <v>105881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14295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167612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5057</v>
      </c>
      <c r="D867" s="2" t="str">
        <f t="shared" si="12"/>
        <v>Error?</v>
      </c>
    </row>
    <row r="868" spans="1:4" x14ac:dyDescent="0.2">
      <c r="A868" s="10">
        <v>807</v>
      </c>
      <c r="D868" s="2" t="str">
        <f t="shared" si="12"/>
        <v>OK</v>
      </c>
    </row>
    <row r="869" spans="1:4" x14ac:dyDescent="0.2">
      <c r="A869" s="5">
        <v>808</v>
      </c>
      <c r="B869" s="138">
        <f>'Expenditures 15-22'!E72</f>
        <v>5057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736154</v>
      </c>
      <c r="C871" s="2" t="s">
        <v>573</v>
      </c>
      <c r="D871" s="2" t="str">
        <f t="shared" si="12"/>
        <v>Error?</v>
      </c>
    </row>
    <row r="872" spans="1:4" x14ac:dyDescent="0.2">
      <c r="A872" s="5">
        <v>811</v>
      </c>
      <c r="B872" s="138">
        <f>'Expenditures 15-22'!E75</f>
        <v>13195</v>
      </c>
      <c r="D872" s="2" t="str">
        <f t="shared" si="12"/>
        <v>Error?</v>
      </c>
    </row>
    <row r="873" spans="1:4" x14ac:dyDescent="0.2">
      <c r="A873" s="5">
        <v>812</v>
      </c>
      <c r="B873" s="138">
        <f>'Expenditures 15-22'!E114</f>
        <v>1085765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186911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20856</v>
      </c>
      <c r="D891" s="2" t="str">
        <f t="shared" si="12"/>
        <v>Error?</v>
      </c>
    </row>
    <row r="892" spans="1:4" x14ac:dyDescent="0.2">
      <c r="A892" s="5">
        <v>831</v>
      </c>
      <c r="B892" s="138">
        <f>'Expenditures 15-22'!F14</f>
        <v>36593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266723</v>
      </c>
      <c r="C894" s="2" t="s">
        <v>573</v>
      </c>
      <c r="D894" s="2" t="str">
        <f t="shared" si="12"/>
        <v>Error?</v>
      </c>
    </row>
    <row r="895" spans="1:4" x14ac:dyDescent="0.2">
      <c r="A895" s="5">
        <v>834</v>
      </c>
      <c r="B895" s="138">
        <f>'Expenditures 15-22'!F36</f>
        <v>3955</v>
      </c>
      <c r="D895" s="2" t="str">
        <f t="shared" ref="D895:D958" si="13">IF(ISBLANK(B895),"OK",IF(A895-B895=0,"OK","Error?"))</f>
        <v>Error?</v>
      </c>
    </row>
    <row r="896" spans="1:4" x14ac:dyDescent="0.2">
      <c r="A896" s="5">
        <v>835</v>
      </c>
      <c r="B896" s="138">
        <f>'Expenditures 15-22'!F37</f>
        <v>707</v>
      </c>
      <c r="D896" s="2" t="str">
        <f t="shared" si="13"/>
        <v>Error?</v>
      </c>
    </row>
    <row r="897" spans="1:4" x14ac:dyDescent="0.2">
      <c r="A897" s="5">
        <v>836</v>
      </c>
      <c r="B897" s="138">
        <f>'Expenditures 15-22'!F38</f>
        <v>15854</v>
      </c>
      <c r="D897" s="2" t="str">
        <f t="shared" si="13"/>
        <v>Error?</v>
      </c>
    </row>
    <row r="898" spans="1:4" x14ac:dyDescent="0.2">
      <c r="A898" s="5">
        <v>837</v>
      </c>
      <c r="B898" s="138">
        <f>'Expenditures 15-22'!F39</f>
        <v>1188</v>
      </c>
      <c r="D898" s="2" t="str">
        <f t="shared" si="13"/>
        <v>Error?</v>
      </c>
    </row>
    <row r="899" spans="1:4" x14ac:dyDescent="0.2">
      <c r="A899" s="5">
        <v>838</v>
      </c>
      <c r="B899" s="138">
        <f>'Expenditures 15-22'!F40</f>
        <v>1038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22742</v>
      </c>
      <c r="C901" s="2" t="s">
        <v>573</v>
      </c>
      <c r="D901" s="2" t="str">
        <f t="shared" si="13"/>
        <v>Error?</v>
      </c>
    </row>
    <row r="902" spans="1:4" x14ac:dyDescent="0.2">
      <c r="A902" s="5">
        <v>841</v>
      </c>
      <c r="B902" s="138">
        <f>'Expenditures 15-22'!F44</f>
        <v>1339</v>
      </c>
      <c r="D902" s="2" t="str">
        <f t="shared" si="13"/>
        <v>Error?</v>
      </c>
    </row>
    <row r="903" spans="1:4" x14ac:dyDescent="0.2">
      <c r="A903" s="5">
        <v>842</v>
      </c>
      <c r="B903" s="138">
        <f>'Expenditures 15-22'!F45</f>
        <v>26103</v>
      </c>
      <c r="D903" s="2" t="str">
        <f t="shared" si="13"/>
        <v>Error?</v>
      </c>
    </row>
    <row r="904" spans="1:4" x14ac:dyDescent="0.2">
      <c r="A904" s="5">
        <v>843</v>
      </c>
      <c r="B904" s="138">
        <f>'Expenditures 15-22'!F46</f>
        <v>183</v>
      </c>
      <c r="D904" s="2" t="str">
        <f t="shared" si="13"/>
        <v>Error?</v>
      </c>
    </row>
    <row r="905" spans="1:4" x14ac:dyDescent="0.2">
      <c r="A905" s="5">
        <v>844</v>
      </c>
      <c r="B905" s="138">
        <f>'Expenditures 15-22'!F47</f>
        <v>27625</v>
      </c>
      <c r="C905" s="2" t="s">
        <v>573</v>
      </c>
      <c r="D905" s="2" t="str">
        <f t="shared" si="13"/>
        <v>Error?</v>
      </c>
    </row>
    <row r="906" spans="1:4" x14ac:dyDescent="0.2">
      <c r="A906" s="5">
        <v>845</v>
      </c>
      <c r="B906" s="138">
        <f>'Expenditures 15-22'!F49</f>
        <v>4050</v>
      </c>
      <c r="D906" s="2" t="str">
        <f t="shared" si="13"/>
        <v>Error?</v>
      </c>
    </row>
    <row r="907" spans="1:4" x14ac:dyDescent="0.2">
      <c r="A907" s="5">
        <v>846</v>
      </c>
      <c r="B907" s="138">
        <f>'Expenditures 15-22'!F50</f>
        <v>48078</v>
      </c>
      <c r="D907" s="2" t="str">
        <f t="shared" si="13"/>
        <v>Error?</v>
      </c>
    </row>
    <row r="908" spans="1:4" x14ac:dyDescent="0.2">
      <c r="A908" s="5">
        <v>847</v>
      </c>
      <c r="B908" s="138">
        <f>'Expenditures 15-22'!F53</f>
        <v>54509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1893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794694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796587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901463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1168186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5254</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5254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9652</v>
      </c>
      <c r="D973" s="2" t="str">
        <f t="shared" si="14"/>
        <v>Error?</v>
      </c>
    </row>
    <row r="974" spans="1:4" x14ac:dyDescent="0.2">
      <c r="A974" s="5">
        <v>913</v>
      </c>
      <c r="B974" s="138">
        <f>'Expenditures 15-22'!G63</f>
        <v>15670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25322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30576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31914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9697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1597</v>
      </c>
      <c r="D1007" s="2" t="str">
        <f t="shared" si="14"/>
        <v>Error?</v>
      </c>
    </row>
    <row r="1008" spans="1:4" x14ac:dyDescent="0.2">
      <c r="A1008" s="5">
        <v>947</v>
      </c>
      <c r="B1008" s="138">
        <f>'Expenditures 15-22'!H14</f>
        <v>24279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35573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1306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1306</v>
      </c>
      <c r="C1021" s="2" t="s">
        <v>573</v>
      </c>
      <c r="D1021" s="2" t="str">
        <f t="shared" si="14"/>
        <v>Error?</v>
      </c>
    </row>
    <row r="1022" spans="1:4" x14ac:dyDescent="0.2">
      <c r="A1022" s="5">
        <v>961</v>
      </c>
      <c r="B1022" s="138">
        <f>'Expenditures 15-22'!H49</f>
        <v>15206</v>
      </c>
      <c r="D1022" s="2" t="str">
        <f t="shared" si="14"/>
        <v>Error?</v>
      </c>
    </row>
    <row r="1023" spans="1:4" x14ac:dyDescent="0.2">
      <c r="A1023" s="5">
        <v>962</v>
      </c>
      <c r="B1023" s="138">
        <f>'Expenditures 15-22'!H50</f>
        <v>7879</v>
      </c>
      <c r="D1023" s="2" t="str">
        <f t="shared" ref="D1023:D1086" si="15">IF(ISBLANK(B1023),"OK",IF(A1023-B1023=0,"OK","Error?"))</f>
        <v>Error?</v>
      </c>
    </row>
    <row r="1024" spans="1:4" x14ac:dyDescent="0.2">
      <c r="A1024" s="5">
        <v>963</v>
      </c>
      <c r="B1024" s="138">
        <f>'Expenditures 15-22'!H53</f>
        <v>23510</v>
      </c>
      <c r="C1024" s="2" t="s">
        <v>573</v>
      </c>
      <c r="D1024" s="2" t="str">
        <f t="shared" si="15"/>
        <v>Error?</v>
      </c>
    </row>
    <row r="1025" spans="1:4" x14ac:dyDescent="0.2">
      <c r="A1025" s="5">
        <v>964</v>
      </c>
      <c r="B1025" s="138">
        <f>'Expenditures 15-22'!H55</f>
        <v>5903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5903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31964</v>
      </c>
      <c r="C1045" s="2" t="s">
        <v>573</v>
      </c>
      <c r="D1045" s="2" t="str">
        <f t="shared" si="15"/>
        <v>Error?</v>
      </c>
    </row>
    <row r="1046" spans="1:4" x14ac:dyDescent="0.2">
      <c r="A1046" s="5">
        <v>985</v>
      </c>
      <c r="B1046" s="138">
        <f>'Expenditures 15-22'!H75</f>
        <v>301043</v>
      </c>
      <c r="D1046" s="2" t="str">
        <f t="shared" si="15"/>
        <v>Error?</v>
      </c>
    </row>
    <row r="1047" spans="1:4" x14ac:dyDescent="0.2">
      <c r="A1047" s="5">
        <v>986</v>
      </c>
      <c r="B1047" s="138">
        <f>'Expenditures 15-22'!H102</f>
        <v>262757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631337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7239499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261141</v>
      </c>
      <c r="C1105" s="2" t="s">
        <v>573</v>
      </c>
      <c r="D1105" s="2" t="str">
        <f t="shared" si="16"/>
        <v>Error?</v>
      </c>
    </row>
    <row r="1106" spans="1:4" x14ac:dyDescent="0.2">
      <c r="A1106" s="5">
        <v>1045</v>
      </c>
      <c r="B1106" s="138">
        <f>'Expenditures 15-22'!K14</f>
        <v>618564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9601119</v>
      </c>
      <c r="C1108" s="2" t="s">
        <v>573</v>
      </c>
      <c r="D1108" s="2" t="str">
        <f t="shared" si="16"/>
        <v>Error?</v>
      </c>
    </row>
    <row r="1109" spans="1:4" x14ac:dyDescent="0.2">
      <c r="A1109" s="5">
        <v>1048</v>
      </c>
      <c r="B1109" s="138">
        <f>'Expenditures 15-22'!K36</f>
        <v>152814</v>
      </c>
      <c r="C1109" s="2" t="s">
        <v>573</v>
      </c>
      <c r="D1109" s="2" t="str">
        <f t="shared" si="16"/>
        <v>Error?</v>
      </c>
    </row>
    <row r="1110" spans="1:4" x14ac:dyDescent="0.2">
      <c r="A1110" s="5">
        <v>1049</v>
      </c>
      <c r="B1110" s="138">
        <f>'Expenditures 15-22'!K37</f>
        <v>223969</v>
      </c>
      <c r="C1110" s="2" t="s">
        <v>573</v>
      </c>
      <c r="D1110" s="2" t="str">
        <f t="shared" si="16"/>
        <v>Error?</v>
      </c>
    </row>
    <row r="1111" spans="1:4" x14ac:dyDescent="0.2">
      <c r="A1111" s="5">
        <v>1050</v>
      </c>
      <c r="B1111" s="138">
        <f>'Expenditures 15-22'!K38</f>
        <v>262341</v>
      </c>
      <c r="C1111" s="2" t="s">
        <v>573</v>
      </c>
      <c r="D1111" s="2" t="str">
        <f t="shared" si="16"/>
        <v>Error?</v>
      </c>
    </row>
    <row r="1112" spans="1:4" x14ac:dyDescent="0.2">
      <c r="A1112" s="5">
        <v>1051</v>
      </c>
      <c r="B1112" s="138">
        <f>'Expenditures 15-22'!K39</f>
        <v>197959</v>
      </c>
      <c r="C1112" s="2" t="s">
        <v>573</v>
      </c>
      <c r="D1112" s="2" t="str">
        <f t="shared" si="16"/>
        <v>Error?</v>
      </c>
    </row>
    <row r="1113" spans="1:4" x14ac:dyDescent="0.2">
      <c r="A1113" s="5">
        <v>1052</v>
      </c>
      <c r="B1113" s="138">
        <f>'Expenditures 15-22'!K40</f>
        <v>184362</v>
      </c>
      <c r="C1113" s="2" t="s">
        <v>573</v>
      </c>
      <c r="D1113" s="2" t="str">
        <f t="shared" si="16"/>
        <v>Error?</v>
      </c>
    </row>
    <row r="1114" spans="1:4" x14ac:dyDescent="0.2">
      <c r="A1114" s="5">
        <v>1053</v>
      </c>
      <c r="B1114" s="138">
        <f>'Expenditures 15-22'!K41</f>
        <v>54194</v>
      </c>
      <c r="C1114" s="2" t="s">
        <v>573</v>
      </c>
      <c r="D1114" s="2" t="str">
        <f t="shared" si="16"/>
        <v>Error?</v>
      </c>
    </row>
    <row r="1115" spans="1:4" x14ac:dyDescent="0.2">
      <c r="A1115" s="5">
        <v>1054</v>
      </c>
      <c r="B1115" s="138">
        <f>'Expenditures 15-22'!K42</f>
        <v>1075639</v>
      </c>
      <c r="C1115" s="2" t="s">
        <v>573</v>
      </c>
      <c r="D1115" s="2" t="str">
        <f t="shared" si="16"/>
        <v>Error?</v>
      </c>
    </row>
    <row r="1116" spans="1:4" x14ac:dyDescent="0.2">
      <c r="A1116" s="5">
        <v>1055</v>
      </c>
      <c r="B1116" s="138">
        <f>'Expenditures 15-22'!K44</f>
        <v>176475</v>
      </c>
      <c r="C1116" s="2" t="s">
        <v>573</v>
      </c>
      <c r="D1116" s="2" t="str">
        <f t="shared" si="16"/>
        <v>Error?</v>
      </c>
    </row>
    <row r="1117" spans="1:4" x14ac:dyDescent="0.2">
      <c r="A1117" s="5">
        <v>1056</v>
      </c>
      <c r="B1117" s="138">
        <f>'Expenditures 15-22'!K45</f>
        <v>170282</v>
      </c>
      <c r="C1117" s="2" t="s">
        <v>573</v>
      </c>
      <c r="D1117" s="2" t="str">
        <f t="shared" si="16"/>
        <v>Error?</v>
      </c>
    </row>
    <row r="1118" spans="1:4" x14ac:dyDescent="0.2">
      <c r="A1118" s="5">
        <v>1057</v>
      </c>
      <c r="B1118" s="138">
        <f>'Expenditures 15-22'!K46</f>
        <v>1219</v>
      </c>
      <c r="C1118" s="2" t="s">
        <v>573</v>
      </c>
      <c r="D1118" s="2" t="str">
        <f t="shared" si="16"/>
        <v>Error?</v>
      </c>
    </row>
    <row r="1119" spans="1:4" x14ac:dyDescent="0.2">
      <c r="A1119" s="5">
        <v>1058</v>
      </c>
      <c r="B1119" s="138">
        <f>'Expenditures 15-22'!K47</f>
        <v>347976</v>
      </c>
      <c r="C1119" s="2" t="s">
        <v>573</v>
      </c>
      <c r="D1119" s="2" t="str">
        <f t="shared" si="16"/>
        <v>Error?</v>
      </c>
    </row>
    <row r="1120" spans="1:4" x14ac:dyDescent="0.2">
      <c r="A1120" s="5">
        <v>1059</v>
      </c>
      <c r="B1120" s="138">
        <f>'Expenditures 15-22'!K49</f>
        <v>362086</v>
      </c>
      <c r="C1120" s="2" t="s">
        <v>573</v>
      </c>
      <c r="D1120" s="2" t="str">
        <f t="shared" si="16"/>
        <v>Error?</v>
      </c>
    </row>
    <row r="1121" spans="1:4" x14ac:dyDescent="0.2">
      <c r="A1121" s="5">
        <v>1060</v>
      </c>
      <c r="B1121" s="138">
        <f>'Expenditures 15-22'!K50</f>
        <v>342702</v>
      </c>
      <c r="C1121" s="2" t="s">
        <v>573</v>
      </c>
      <c r="D1121" s="2" t="str">
        <f t="shared" si="16"/>
        <v>Error?</v>
      </c>
    </row>
    <row r="1122" spans="1:4" x14ac:dyDescent="0.2">
      <c r="A1122" s="5">
        <v>1061</v>
      </c>
      <c r="B1122" s="138">
        <f>'Expenditures 15-22'!K53</f>
        <v>906539</v>
      </c>
      <c r="C1122" s="2" t="s">
        <v>573</v>
      </c>
      <c r="D1122" s="2" t="str">
        <f t="shared" si="16"/>
        <v>Error?</v>
      </c>
    </row>
    <row r="1123" spans="1:4" x14ac:dyDescent="0.2">
      <c r="A1123" s="5">
        <v>1062</v>
      </c>
      <c r="B1123" s="138">
        <f>'Expenditures 15-22'!K55</f>
        <v>1133123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1133123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334288</v>
      </c>
      <c r="C1127" s="2" t="s">
        <v>573</v>
      </c>
      <c r="D1127" s="2" t="str">
        <f t="shared" si="16"/>
        <v>Error?</v>
      </c>
    </row>
    <row r="1128" spans="1:4" x14ac:dyDescent="0.2">
      <c r="A1128" s="5">
        <v>1067</v>
      </c>
      <c r="B1128" s="138">
        <f>'Expenditures 15-22'!K61</f>
        <v>614779</v>
      </c>
      <c r="C1128" s="2" t="s">
        <v>573</v>
      </c>
      <c r="D1128" s="2" t="str">
        <f t="shared" si="16"/>
        <v>Error?</v>
      </c>
    </row>
    <row r="1129" spans="1:4" x14ac:dyDescent="0.2">
      <c r="A1129" s="5">
        <v>1068</v>
      </c>
      <c r="B1129" s="138">
        <f>'Expenditures 15-22'!K62</f>
        <v>9652</v>
      </c>
      <c r="C1129" s="2" t="s">
        <v>573</v>
      </c>
      <c r="D1129" s="2" t="str">
        <f t="shared" si="16"/>
        <v>Error?</v>
      </c>
    </row>
    <row r="1130" spans="1:4" x14ac:dyDescent="0.2">
      <c r="A1130" s="5">
        <v>1069</v>
      </c>
      <c r="B1130" s="138">
        <f>'Expenditures 15-22'!K63</f>
        <v>824659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1783378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5057</v>
      </c>
      <c r="C1139" s="2" t="s">
        <v>573</v>
      </c>
      <c r="D1139" s="2" t="str">
        <f t="shared" si="16"/>
        <v>Error?</v>
      </c>
    </row>
    <row r="1140" spans="1:4" x14ac:dyDescent="0.2">
      <c r="A1140" s="10">
        <v>1079</v>
      </c>
      <c r="D1140" s="2" t="str">
        <f t="shared" si="16"/>
        <v>OK</v>
      </c>
    </row>
    <row r="1141" spans="1:4" x14ac:dyDescent="0.2">
      <c r="A1141" s="5">
        <v>1080</v>
      </c>
      <c r="B1141" s="138">
        <f>'Expenditures 15-22'!K72</f>
        <v>5057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5251712</v>
      </c>
      <c r="C1143" s="2" t="s">
        <v>573</v>
      </c>
      <c r="D1143" s="2" t="str">
        <f t="shared" si="16"/>
        <v>Error?</v>
      </c>
    </row>
    <row r="1144" spans="1:4" x14ac:dyDescent="0.2">
      <c r="A1144" s="5">
        <v>1083</v>
      </c>
      <c r="B1144" s="138">
        <f>'Expenditures 15-22'!K75</f>
        <v>314238</v>
      </c>
      <c r="C1144" s="2" t="s">
        <v>573</v>
      </c>
      <c r="D1144" s="2" t="str">
        <f t="shared" si="16"/>
        <v>Error?</v>
      </c>
    </row>
    <row r="1145" spans="1:4" x14ac:dyDescent="0.2">
      <c r="A1145" s="5">
        <v>1084</v>
      </c>
      <c r="B1145" s="138">
        <f>'Expenditures 15-22'!K102</f>
        <v>407069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15574138</v>
      </c>
      <c r="C1152" s="2" t="s">
        <v>573</v>
      </c>
      <c r="D1152" s="2" t="str">
        <f t="shared" si="17"/>
        <v>Error?</v>
      </c>
    </row>
    <row r="1153" spans="1:4" x14ac:dyDescent="0.2">
      <c r="A1153" s="5">
        <v>1092</v>
      </c>
      <c r="B1153" s="138">
        <f>'Expenditures 15-22'!K115</f>
        <v>453084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309258</v>
      </c>
      <c r="D1221" s="2" t="str">
        <f t="shared" si="18"/>
        <v>Error?</v>
      </c>
    </row>
    <row r="1222" spans="1:4" x14ac:dyDescent="0.2">
      <c r="A1222" s="10">
        <v>1161</v>
      </c>
      <c r="D1222" s="2" t="str">
        <f t="shared" si="18"/>
        <v>OK</v>
      </c>
    </row>
    <row r="1223" spans="1:4" x14ac:dyDescent="0.2">
      <c r="A1223" s="5">
        <v>1162</v>
      </c>
      <c r="B1223" s="138">
        <f>'Expenditures 15-22'!C127</f>
        <v>309258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309258</v>
      </c>
      <c r="C1225" s="2" t="s">
        <v>573</v>
      </c>
      <c r="D1225" s="2" t="str">
        <f t="shared" si="18"/>
        <v>Error?</v>
      </c>
    </row>
    <row r="1226" spans="1:4" x14ac:dyDescent="0.2">
      <c r="A1226" s="5">
        <v>1165</v>
      </c>
      <c r="B1226" s="138">
        <f>'Expenditures 15-22'!C151</f>
        <v>309258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35252</v>
      </c>
      <c r="D1229" s="2" t="str">
        <f t="shared" si="18"/>
        <v>Error?</v>
      </c>
    </row>
    <row r="1230" spans="1:4" x14ac:dyDescent="0.2">
      <c r="A1230" s="10">
        <v>1169</v>
      </c>
      <c r="D1230" s="2" t="str">
        <f t="shared" si="18"/>
        <v>OK</v>
      </c>
    </row>
    <row r="1231" spans="1:4" x14ac:dyDescent="0.2">
      <c r="A1231" s="5">
        <v>1170</v>
      </c>
      <c r="B1231" s="138">
        <f>'Expenditures 15-22'!D127</f>
        <v>35252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35252</v>
      </c>
      <c r="C1233" s="2" t="s">
        <v>573</v>
      </c>
      <c r="D1233" s="2" t="str">
        <f t="shared" si="18"/>
        <v>Error?</v>
      </c>
    </row>
    <row r="1234" spans="1:4" x14ac:dyDescent="0.2">
      <c r="A1234" s="5">
        <v>1173</v>
      </c>
      <c r="B1234" s="138">
        <f>'Expenditures 15-22'!D151</f>
        <v>35252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13586</v>
      </c>
      <c r="D1236" s="2" t="str">
        <f t="shared" si="18"/>
        <v>Error?</v>
      </c>
    </row>
    <row r="1237" spans="1:4" x14ac:dyDescent="0.2">
      <c r="A1237" s="5">
        <v>1176</v>
      </c>
      <c r="B1237" s="138">
        <f>'Expenditures 15-22'!E124</f>
        <v>733774</v>
      </c>
      <c r="D1237" s="2" t="str">
        <f t="shared" si="18"/>
        <v>Error?</v>
      </c>
    </row>
    <row r="1238" spans="1:4" x14ac:dyDescent="0.2">
      <c r="A1238" s="10">
        <v>1177</v>
      </c>
      <c r="D1238" s="2" t="str">
        <f t="shared" si="18"/>
        <v>OK</v>
      </c>
    </row>
    <row r="1239" spans="1:4" x14ac:dyDescent="0.2">
      <c r="A1239" s="5">
        <v>1178</v>
      </c>
      <c r="B1239" s="138">
        <f>'Expenditures 15-22'!E127</f>
        <v>747360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747360</v>
      </c>
      <c r="C1241" s="2" t="s">
        <v>573</v>
      </c>
      <c r="D1241" s="2" t="str">
        <f t="shared" si="18"/>
        <v>Error?</v>
      </c>
    </row>
    <row r="1242" spans="1:4" x14ac:dyDescent="0.2">
      <c r="A1242" s="5">
        <v>1181</v>
      </c>
      <c r="B1242" s="138">
        <f>'Expenditures 15-22'!E151</f>
        <v>747360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704473</v>
      </c>
      <c r="D1245" s="2" t="str">
        <f t="shared" si="18"/>
        <v>Error?</v>
      </c>
    </row>
    <row r="1246" spans="1:4" x14ac:dyDescent="0.2">
      <c r="A1246" s="10">
        <v>1185</v>
      </c>
      <c r="D1246" s="2" t="str">
        <f t="shared" si="18"/>
        <v>OK</v>
      </c>
    </row>
    <row r="1247" spans="1:4" x14ac:dyDescent="0.2">
      <c r="A1247" s="5">
        <v>1186</v>
      </c>
      <c r="B1247" s="138">
        <f>'Expenditures 15-22'!F127</f>
        <v>704473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704473</v>
      </c>
      <c r="C1249" s="2" t="s">
        <v>573</v>
      </c>
      <c r="D1249" s="2" t="str">
        <f t="shared" si="18"/>
        <v>Error?</v>
      </c>
    </row>
    <row r="1250" spans="1:4" x14ac:dyDescent="0.2">
      <c r="A1250" s="5">
        <v>1189</v>
      </c>
      <c r="B1250" s="138">
        <f>'Expenditures 15-22'!F151</f>
        <v>704473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408737</v>
      </c>
      <c r="D1252" s="2" t="str">
        <f t="shared" si="18"/>
        <v>Error?</v>
      </c>
    </row>
    <row r="1253" spans="1:4" x14ac:dyDescent="0.2">
      <c r="A1253" s="5">
        <v>1192</v>
      </c>
      <c r="B1253" s="138">
        <f>'Expenditures 15-22'!G124</f>
        <v>43979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452716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452716</v>
      </c>
      <c r="C1258" s="2" t="s">
        <v>573</v>
      </c>
      <c r="D1258" s="2" t="str">
        <f t="shared" si="18"/>
        <v>Error?</v>
      </c>
    </row>
    <row r="1259" spans="1:4" x14ac:dyDescent="0.2">
      <c r="A1259" s="5">
        <v>1198</v>
      </c>
      <c r="B1259" s="138">
        <f>'Expenditures 15-22'!G151</f>
        <v>452716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2290</v>
      </c>
      <c r="D1262" s="2" t="str">
        <f t="shared" si="18"/>
        <v>Error?</v>
      </c>
    </row>
    <row r="1263" spans="1:4" x14ac:dyDescent="0.2">
      <c r="A1263" s="10">
        <v>1202</v>
      </c>
      <c r="D1263" s="2" t="str">
        <f t="shared" si="18"/>
        <v>OK</v>
      </c>
    </row>
    <row r="1264" spans="1:4" x14ac:dyDescent="0.2">
      <c r="A1264" s="5">
        <v>1203</v>
      </c>
      <c r="B1264" s="138">
        <f>'Expenditures 15-22'!H127</f>
        <v>2290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2290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2290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422323</v>
      </c>
      <c r="C1275" s="2" t="s">
        <v>573</v>
      </c>
      <c r="D1275" s="2" t="str">
        <f t="shared" si="18"/>
        <v>Error?</v>
      </c>
    </row>
    <row r="1276" spans="1:4" x14ac:dyDescent="0.2">
      <c r="A1276" s="5">
        <v>1215</v>
      </c>
      <c r="B1276" s="138">
        <f>'Expenditures 15-22'!K124</f>
        <v>1901588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2323911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2323911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2323911</v>
      </c>
      <c r="C1288" s="2" t="s">
        <v>573</v>
      </c>
      <c r="D1288" s="2" t="str">
        <f t="shared" si="19"/>
        <v>Error?</v>
      </c>
    </row>
    <row r="1289" spans="1:4" x14ac:dyDescent="0.2">
      <c r="A1289" s="5">
        <v>1228</v>
      </c>
      <c r="B1289" s="138">
        <f>'Expenditures 15-22'!K152</f>
        <v>-65140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1520766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8925000</v>
      </c>
      <c r="D1315" s="2" t="str">
        <f t="shared" si="19"/>
        <v>Error?</v>
      </c>
    </row>
    <row r="1316" spans="1:4" x14ac:dyDescent="0.2">
      <c r="A1316" s="5">
        <v>1255</v>
      </c>
      <c r="B1316" s="138">
        <f>'Expenditures 15-22'!H171</f>
        <v>98300</v>
      </c>
      <c r="D1316" s="2" t="str">
        <f t="shared" si="19"/>
        <v>Error?</v>
      </c>
    </row>
    <row r="1317" spans="1:4" x14ac:dyDescent="0.2">
      <c r="A1317" s="5">
        <v>1256</v>
      </c>
      <c r="B1317" s="138">
        <f>'Expenditures 15-22'!H172</f>
        <v>10544066</v>
      </c>
      <c r="C1317" s="2" t="s">
        <v>573</v>
      </c>
      <c r="D1317" s="2" t="str">
        <f t="shared" si="19"/>
        <v>Error?</v>
      </c>
    </row>
    <row r="1318" spans="1:4" x14ac:dyDescent="0.2">
      <c r="A1318" s="5">
        <v>1257</v>
      </c>
      <c r="B1318" s="138">
        <f>'Expenditures 15-22'!H174</f>
        <v>10544066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1520766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8925000</v>
      </c>
      <c r="C1329" s="2" t="s">
        <v>573</v>
      </c>
      <c r="D1329" s="2" t="str">
        <f t="shared" si="19"/>
        <v>Error?</v>
      </c>
    </row>
    <row r="1330" spans="1:4" x14ac:dyDescent="0.2">
      <c r="A1330" s="5">
        <v>1269</v>
      </c>
      <c r="B1330" s="138">
        <f>'Expenditures 15-22'!K171</f>
        <v>98300</v>
      </c>
      <c r="C1330" s="2" t="s">
        <v>573</v>
      </c>
      <c r="D1330" s="2" t="str">
        <f t="shared" si="19"/>
        <v>Error?</v>
      </c>
    </row>
    <row r="1331" spans="1:4" x14ac:dyDescent="0.2">
      <c r="A1331" s="5">
        <v>1270</v>
      </c>
      <c r="B1331" s="138">
        <f>'Expenditures 15-22'!K172</f>
        <v>10544066</v>
      </c>
      <c r="C1331" s="2" t="s">
        <v>573</v>
      </c>
      <c r="D1331" s="2" t="str">
        <f t="shared" si="19"/>
        <v>Error?</v>
      </c>
    </row>
    <row r="1332" spans="1:4" x14ac:dyDescent="0.2">
      <c r="A1332" s="5">
        <v>1271</v>
      </c>
      <c r="B1332" s="138">
        <f>'Expenditures 15-22'!K174</f>
        <v>10544066</v>
      </c>
      <c r="C1332" s="2" t="s">
        <v>573</v>
      </c>
      <c r="D1332" s="2" t="str">
        <f t="shared" si="19"/>
        <v>Error?</v>
      </c>
    </row>
    <row r="1333" spans="1:4" x14ac:dyDescent="0.2">
      <c r="A1333" s="5">
        <v>1272</v>
      </c>
      <c r="B1333" s="138">
        <f>'Expenditures 15-22'!K175</f>
        <v>-7790606</v>
      </c>
      <c r="C1333" s="2" t="s">
        <v>573</v>
      </c>
      <c r="D1333" s="2" t="str">
        <f t="shared" si="19"/>
        <v>Error?</v>
      </c>
    </row>
    <row r="1334" spans="1:4" x14ac:dyDescent="0.2">
      <c r="A1334" s="10">
        <v>1273</v>
      </c>
      <c r="D1334" s="2" t="str">
        <f t="shared" si="19"/>
        <v>OK</v>
      </c>
    </row>
    <row r="1335" spans="1:4" x14ac:dyDescent="0.2">
      <c r="A1335" s="5">
        <v>1274</v>
      </c>
      <c r="B1335" s="138">
        <f>'Expenditures 15-22'!C182</f>
        <v>600635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600635</v>
      </c>
      <c r="C1339" s="2" t="s">
        <v>573</v>
      </c>
      <c r="D1339" s="2" t="str">
        <f t="shared" si="19"/>
        <v>Error?</v>
      </c>
    </row>
    <row r="1340" spans="1:4" x14ac:dyDescent="0.2">
      <c r="A1340" s="5">
        <v>1279</v>
      </c>
      <c r="B1340" s="138">
        <f>'Expenditures 15-22'!C210</f>
        <v>600635</v>
      </c>
      <c r="C1340" s="2" t="s">
        <v>573</v>
      </c>
      <c r="D1340" s="2" t="str">
        <f t="shared" si="19"/>
        <v>Error?</v>
      </c>
    </row>
    <row r="1341" spans="1:4" x14ac:dyDescent="0.2">
      <c r="A1341" s="5">
        <v>1280</v>
      </c>
      <c r="B1341" s="138">
        <f>'Expenditures 15-22'!D182</f>
        <v>119042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119042</v>
      </c>
      <c r="C1345" s="2" t="s">
        <v>573</v>
      </c>
      <c r="D1345" s="2" t="str">
        <f t="shared" si="20"/>
        <v>Error?</v>
      </c>
    </row>
    <row r="1346" spans="1:4" x14ac:dyDescent="0.2">
      <c r="A1346" s="5">
        <v>1285</v>
      </c>
      <c r="B1346" s="138">
        <f>'Expenditures 15-22'!D210</f>
        <v>119042</v>
      </c>
      <c r="C1346" s="2" t="s">
        <v>573</v>
      </c>
      <c r="D1346" s="2" t="str">
        <f t="shared" si="20"/>
        <v>Error?</v>
      </c>
    </row>
    <row r="1347" spans="1:4" x14ac:dyDescent="0.2">
      <c r="A1347" s="5">
        <v>1286</v>
      </c>
      <c r="B1347" s="138">
        <f>'Expenditures 15-22'!E182</f>
        <v>24225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24225</v>
      </c>
      <c r="C1353" s="2" t="s">
        <v>573</v>
      </c>
      <c r="D1353" s="2" t="str">
        <f t="shared" si="20"/>
        <v>Error?</v>
      </c>
    </row>
    <row r="1354" spans="1:4" x14ac:dyDescent="0.2">
      <c r="A1354" s="5">
        <v>1293</v>
      </c>
      <c r="B1354" s="138">
        <f>'Expenditures 15-22'!F182</f>
        <v>210815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210815</v>
      </c>
      <c r="C1358" s="2" t="s">
        <v>573</v>
      </c>
      <c r="D1358" s="2" t="str">
        <f t="shared" si="20"/>
        <v>Error?</v>
      </c>
    </row>
    <row r="1359" spans="1:4" x14ac:dyDescent="0.2">
      <c r="A1359" s="5">
        <v>1298</v>
      </c>
      <c r="B1359" s="138">
        <f>'Expenditures 15-22'!F210</f>
        <v>210815</v>
      </c>
      <c r="C1359" s="2" t="s">
        <v>573</v>
      </c>
      <c r="D1359" s="2" t="str">
        <f t="shared" si="20"/>
        <v>Error?</v>
      </c>
    </row>
    <row r="1360" spans="1:4" x14ac:dyDescent="0.2">
      <c r="A1360" s="5">
        <v>1299</v>
      </c>
      <c r="B1360" s="138">
        <f>'Expenditures 15-22'!G182</f>
        <v>255084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255084</v>
      </c>
      <c r="C1364" s="2" t="s">
        <v>573</v>
      </c>
      <c r="D1364" s="2" t="str">
        <f t="shared" si="20"/>
        <v>Error?</v>
      </c>
    </row>
    <row r="1365" spans="1:4" x14ac:dyDescent="0.2">
      <c r="A1365" s="5">
        <v>1304</v>
      </c>
      <c r="B1365" s="138">
        <f>'Expenditures 15-22'!G210</f>
        <v>255084</v>
      </c>
      <c r="C1365" s="2" t="s">
        <v>573</v>
      </c>
      <c r="D1365" s="2" t="str">
        <f t="shared" si="20"/>
        <v>Error?</v>
      </c>
    </row>
    <row r="1366" spans="1:4" x14ac:dyDescent="0.2">
      <c r="A1366" s="5">
        <v>1305</v>
      </c>
      <c r="B1366" s="138">
        <f>'Expenditures 15-22'!H182</f>
        <v>159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159</v>
      </c>
      <c r="C1376" s="2" t="s">
        <v>573</v>
      </c>
      <c r="D1376" s="2" t="str">
        <f t="shared" si="20"/>
        <v>Error?</v>
      </c>
    </row>
    <row r="1377" spans="1:4" x14ac:dyDescent="0.2">
      <c r="A1377" s="5">
        <v>1316</v>
      </c>
      <c r="B1377" s="138">
        <f>'Expenditures 15-22'!K182</f>
        <v>1209960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1209960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1209960</v>
      </c>
      <c r="C1388" s="2" t="s">
        <v>573</v>
      </c>
      <c r="D1388" s="2" t="str">
        <f t="shared" si="20"/>
        <v>Error?</v>
      </c>
    </row>
    <row r="1389" spans="1:4" x14ac:dyDescent="0.2">
      <c r="A1389" s="5">
        <v>1328</v>
      </c>
      <c r="B1389" s="138">
        <f>'Expenditures 15-22'!K211</f>
        <v>-142136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3032</v>
      </c>
      <c r="D1407" s="2" t="str">
        <f t="shared" ref="D1407:D1470" si="21">IF(ISBLANK(B1407),"OK",IF(A1407-B1407=0,"OK","Error?"))</f>
        <v>Error?</v>
      </c>
    </row>
    <row r="1408" spans="1:4" x14ac:dyDescent="0.2">
      <c r="A1408" s="5">
        <v>1347</v>
      </c>
      <c r="B1408" s="138">
        <f>'Expenditures 15-22'!D223</f>
        <v>24888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203599</v>
      </c>
      <c r="C1410" s="2" t="s">
        <v>573</v>
      </c>
      <c r="D1410" s="2" t="str">
        <f t="shared" si="21"/>
        <v>Error?</v>
      </c>
    </row>
    <row r="1411" spans="1:4" x14ac:dyDescent="0.2">
      <c r="A1411" s="5">
        <v>1350</v>
      </c>
      <c r="B1411" s="138">
        <f>'Expenditures 15-22'!D232</f>
        <v>4761</v>
      </c>
      <c r="D1411" s="2" t="str">
        <f t="shared" si="21"/>
        <v>Error?</v>
      </c>
    </row>
    <row r="1412" spans="1:4" x14ac:dyDescent="0.2">
      <c r="A1412" s="5">
        <v>1351</v>
      </c>
      <c r="B1412" s="138">
        <f>'Expenditures 15-22'!D233</f>
        <v>10609</v>
      </c>
      <c r="D1412" s="2" t="str">
        <f t="shared" si="21"/>
        <v>Error?</v>
      </c>
    </row>
    <row r="1413" spans="1:4" x14ac:dyDescent="0.2">
      <c r="A1413" s="5">
        <v>1352</v>
      </c>
      <c r="B1413" s="138">
        <f>'Expenditures 15-22'!D234</f>
        <v>31107</v>
      </c>
      <c r="D1413" s="2" t="str">
        <f t="shared" si="21"/>
        <v>Error?</v>
      </c>
    </row>
    <row r="1414" spans="1:4" x14ac:dyDescent="0.2">
      <c r="A1414" s="5">
        <v>1353</v>
      </c>
      <c r="B1414" s="138">
        <f>'Expenditures 15-22'!D235</f>
        <v>10961</v>
      </c>
      <c r="D1414" s="2" t="str">
        <f t="shared" si="21"/>
        <v>Error?</v>
      </c>
    </row>
    <row r="1415" spans="1:4" x14ac:dyDescent="0.2">
      <c r="A1415" s="5">
        <v>1354</v>
      </c>
      <c r="B1415" s="138">
        <f>'Expenditures 15-22'!D236</f>
        <v>2226</v>
      </c>
      <c r="D1415" s="2" t="str">
        <f t="shared" si="21"/>
        <v>Error?</v>
      </c>
    </row>
    <row r="1416" spans="1:4" x14ac:dyDescent="0.2">
      <c r="A1416" s="5">
        <v>1355</v>
      </c>
      <c r="B1416" s="138">
        <f>'Expenditures 15-22'!D237</f>
        <v>5478</v>
      </c>
      <c r="D1416" s="2" t="str">
        <f t="shared" si="21"/>
        <v>Error?</v>
      </c>
    </row>
    <row r="1417" spans="1:4" x14ac:dyDescent="0.2">
      <c r="A1417" s="5">
        <v>1356</v>
      </c>
      <c r="B1417" s="138">
        <f>'Expenditures 15-22'!D238</f>
        <v>65142</v>
      </c>
      <c r="C1417" s="2" t="s">
        <v>573</v>
      </c>
      <c r="D1417" s="2" t="str">
        <f t="shared" si="21"/>
        <v>Error?</v>
      </c>
    </row>
    <row r="1418" spans="1:4" x14ac:dyDescent="0.2">
      <c r="A1418" s="5">
        <v>1357</v>
      </c>
      <c r="B1418" s="138">
        <f>'Expenditures 15-22'!D240</f>
        <v>781</v>
      </c>
      <c r="D1418" s="2" t="str">
        <f t="shared" si="21"/>
        <v>Error?</v>
      </c>
    </row>
    <row r="1419" spans="1:4" x14ac:dyDescent="0.2">
      <c r="A1419" s="5">
        <v>1358</v>
      </c>
      <c r="B1419" s="138">
        <f>'Expenditures 15-22'!D241</f>
        <v>14048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14829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2948</v>
      </c>
      <c r="D1423" s="2" t="str">
        <f t="shared" si="21"/>
        <v>Error?</v>
      </c>
    </row>
    <row r="1424" spans="1:4" x14ac:dyDescent="0.2">
      <c r="A1424" s="5">
        <v>1363</v>
      </c>
      <c r="B1424" s="138">
        <f>'Expenditures 15-22'!D257</f>
        <v>29962</v>
      </c>
      <c r="C1424" s="2" t="s">
        <v>573</v>
      </c>
      <c r="D1424" s="2" t="str">
        <f t="shared" si="21"/>
        <v>Error?</v>
      </c>
    </row>
    <row r="1425" spans="1:4" x14ac:dyDescent="0.2">
      <c r="A1425" s="5">
        <v>1364</v>
      </c>
      <c r="B1425" s="138">
        <f>'Expenditures 15-22'!D259</f>
        <v>39829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39829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42098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73308</v>
      </c>
      <c r="D1431" s="2" t="str">
        <f t="shared" si="21"/>
        <v>Error?</v>
      </c>
    </row>
    <row r="1432" spans="1:4" x14ac:dyDescent="0.2">
      <c r="A1432" s="5">
        <v>1371</v>
      </c>
      <c r="B1432" s="138">
        <f>'Expenditures 15-22'!D267</f>
        <v>98241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213647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363409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567008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3032</v>
      </c>
      <c r="C1471" s="2" t="s">
        <v>573</v>
      </c>
      <c r="D1471" s="2" t="str">
        <f t="shared" ref="D1471:D1534" si="22">IF(ISBLANK(B1471),"OK",IF(A1471-B1471=0,"OK","Error?"))</f>
        <v>Error?</v>
      </c>
    </row>
    <row r="1472" spans="1:4" x14ac:dyDescent="0.2">
      <c r="A1472" s="5">
        <v>1411</v>
      </c>
      <c r="B1472" s="138">
        <f>'Expenditures 15-22'!K223</f>
        <v>24888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203599</v>
      </c>
      <c r="C1474" s="2" t="s">
        <v>573</v>
      </c>
      <c r="D1474" s="2" t="str">
        <f t="shared" si="22"/>
        <v>Error?</v>
      </c>
    </row>
    <row r="1475" spans="1:4" x14ac:dyDescent="0.2">
      <c r="A1475" s="5">
        <v>1414</v>
      </c>
      <c r="B1475" s="138">
        <f>'Expenditures 15-22'!K232</f>
        <v>4761</v>
      </c>
      <c r="C1475" s="2" t="s">
        <v>573</v>
      </c>
      <c r="D1475" s="2" t="str">
        <f t="shared" si="22"/>
        <v>Error?</v>
      </c>
    </row>
    <row r="1476" spans="1:4" x14ac:dyDescent="0.2">
      <c r="A1476" s="5">
        <v>1415</v>
      </c>
      <c r="B1476" s="138">
        <f>'Expenditures 15-22'!K233</f>
        <v>10609</v>
      </c>
      <c r="C1476" s="2" t="s">
        <v>573</v>
      </c>
      <c r="D1476" s="2" t="str">
        <f t="shared" si="22"/>
        <v>Error?</v>
      </c>
    </row>
    <row r="1477" spans="1:4" x14ac:dyDescent="0.2">
      <c r="A1477" s="5">
        <v>1416</v>
      </c>
      <c r="B1477" s="138">
        <f>'Expenditures 15-22'!K234</f>
        <v>31107</v>
      </c>
      <c r="C1477" s="2" t="s">
        <v>573</v>
      </c>
      <c r="D1477" s="2" t="str">
        <f t="shared" si="22"/>
        <v>Error?</v>
      </c>
    </row>
    <row r="1478" spans="1:4" x14ac:dyDescent="0.2">
      <c r="A1478" s="5">
        <v>1417</v>
      </c>
      <c r="B1478" s="138">
        <f>'Expenditures 15-22'!K235</f>
        <v>10961</v>
      </c>
      <c r="C1478" s="2" t="s">
        <v>573</v>
      </c>
      <c r="D1478" s="2" t="str">
        <f t="shared" si="22"/>
        <v>Error?</v>
      </c>
    </row>
    <row r="1479" spans="1:4" x14ac:dyDescent="0.2">
      <c r="A1479" s="5">
        <v>1418</v>
      </c>
      <c r="B1479" s="138">
        <f>'Expenditures 15-22'!K236</f>
        <v>2226</v>
      </c>
      <c r="C1479" s="2" t="s">
        <v>573</v>
      </c>
      <c r="D1479" s="2" t="str">
        <f t="shared" si="22"/>
        <v>Error?</v>
      </c>
    </row>
    <row r="1480" spans="1:4" x14ac:dyDescent="0.2">
      <c r="A1480" s="5">
        <v>1419</v>
      </c>
      <c r="B1480" s="138">
        <f>'Expenditures 15-22'!K237</f>
        <v>5478</v>
      </c>
      <c r="C1480" s="2" t="s">
        <v>573</v>
      </c>
      <c r="D1480" s="2" t="str">
        <f t="shared" si="22"/>
        <v>Error?</v>
      </c>
    </row>
    <row r="1481" spans="1:4" x14ac:dyDescent="0.2">
      <c r="A1481" s="5">
        <v>1420</v>
      </c>
      <c r="B1481" s="138">
        <f>'Expenditures 15-22'!K238</f>
        <v>65142</v>
      </c>
      <c r="C1481" s="2" t="s">
        <v>573</v>
      </c>
      <c r="D1481" s="2" t="str">
        <f t="shared" si="22"/>
        <v>Error?</v>
      </c>
    </row>
    <row r="1482" spans="1:4" x14ac:dyDescent="0.2">
      <c r="A1482" s="5">
        <v>1421</v>
      </c>
      <c r="B1482" s="138">
        <f>'Expenditures 15-22'!K240</f>
        <v>781</v>
      </c>
      <c r="C1482" s="2" t="s">
        <v>573</v>
      </c>
      <c r="D1482" s="2" t="str">
        <f t="shared" si="22"/>
        <v>Error?</v>
      </c>
    </row>
    <row r="1483" spans="1:4" x14ac:dyDescent="0.2">
      <c r="A1483" s="5">
        <v>1422</v>
      </c>
      <c r="B1483" s="138">
        <f>'Expenditures 15-22'!K241</f>
        <v>14048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14829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2948</v>
      </c>
      <c r="C1487" s="2" t="s">
        <v>573</v>
      </c>
      <c r="D1487" s="2" t="str">
        <f t="shared" si="22"/>
        <v>Error?</v>
      </c>
    </row>
    <row r="1488" spans="1:4" x14ac:dyDescent="0.2">
      <c r="A1488" s="5">
        <v>1427</v>
      </c>
      <c r="B1488" s="138">
        <f>'Expenditures 15-22'!K257</f>
        <v>29962</v>
      </c>
      <c r="C1488" s="2" t="s">
        <v>573</v>
      </c>
      <c r="D1488" s="2" t="str">
        <f t="shared" si="22"/>
        <v>Error?</v>
      </c>
    </row>
    <row r="1489" spans="1:4" x14ac:dyDescent="0.2">
      <c r="A1489" s="5">
        <v>1428</v>
      </c>
      <c r="B1489" s="138">
        <f>'Expenditures 15-22'!K259</f>
        <v>39829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39829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42098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73308</v>
      </c>
      <c r="C1495" s="2" t="s">
        <v>573</v>
      </c>
      <c r="D1495" s="2" t="str">
        <f t="shared" si="22"/>
        <v>Error?</v>
      </c>
    </row>
    <row r="1496" spans="1:4" x14ac:dyDescent="0.2">
      <c r="A1496" s="5">
        <v>1435</v>
      </c>
      <c r="B1496" s="138">
        <f>'Expenditures 15-22'!K267</f>
        <v>98241</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213647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363409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567008</v>
      </c>
      <c r="C1517" s="2" t="s">
        <v>573</v>
      </c>
      <c r="D1517" s="2" t="str">
        <f t="shared" si="22"/>
        <v>Error?</v>
      </c>
    </row>
    <row r="1518" spans="1:4" x14ac:dyDescent="0.2">
      <c r="A1518" s="5">
        <v>1457</v>
      </c>
      <c r="B1518" s="138">
        <f>'Expenditures 15-22'!K296</f>
        <v>12328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4180848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4633932</v>
      </c>
      <c r="C1630" s="2" t="s">
        <v>573</v>
      </c>
      <c r="D1630" s="2" t="str">
        <f t="shared" si="24"/>
        <v>Error?</v>
      </c>
    </row>
    <row r="1631" spans="1:4" x14ac:dyDescent="0.2">
      <c r="A1631" s="5">
        <v>1570</v>
      </c>
      <c r="B1631" s="138">
        <f>'Acct Summary 7-8'!D79</f>
        <v>777582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912442</v>
      </c>
      <c r="C1644" s="2" t="s">
        <v>573</v>
      </c>
      <c r="D1644" s="2" t="str">
        <f t="shared" si="24"/>
        <v>Error?</v>
      </c>
    </row>
    <row r="1645" spans="1:4" x14ac:dyDescent="0.2">
      <c r="A1645" s="5">
        <v>1584</v>
      </c>
      <c r="B1645" s="138">
        <f>'Acct Summary 7-8'!E79</f>
        <v>53999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43393</v>
      </c>
      <c r="C1658" s="2" t="s">
        <v>573</v>
      </c>
      <c r="D1658" s="2" t="str">
        <f t="shared" si="24"/>
        <v>Error?</v>
      </c>
    </row>
    <row r="1659" spans="1:4" x14ac:dyDescent="0.2">
      <c r="A1659" s="5">
        <v>1598</v>
      </c>
      <c r="B1659" s="138">
        <f>'Acct Summary 7-8'!F79</f>
        <v>1010284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868148</v>
      </c>
      <c r="C1672" s="2" t="s">
        <v>573</v>
      </c>
      <c r="D1672" s="2" t="str">
        <f t="shared" si="25"/>
        <v>Error?</v>
      </c>
    </row>
    <row r="1673" spans="1:4" x14ac:dyDescent="0.2">
      <c r="A1673" s="5">
        <v>1612</v>
      </c>
      <c r="B1673" s="138">
        <f>'Acct Summary 7-8'!G79</f>
        <v>267712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280040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6525870</v>
      </c>
      <c r="C1744" s="2" t="s">
        <v>573</v>
      </c>
      <c r="D1744" s="2" t="str">
        <f t="shared" si="26"/>
        <v>Error?</v>
      </c>
    </row>
    <row r="1745" spans="1:5" x14ac:dyDescent="0.2">
      <c r="A1745" s="5">
        <v>1684</v>
      </c>
      <c r="B1745" s="138">
        <f>'Tax Sched 23'!B5</f>
        <v>1709871</v>
      </c>
      <c r="C1745" s="2" t="s">
        <v>573</v>
      </c>
      <c r="D1745" s="2" t="str">
        <f t="shared" si="26"/>
        <v>Error?</v>
      </c>
    </row>
    <row r="1746" spans="1:5" x14ac:dyDescent="0.2">
      <c r="A1746" s="5">
        <v>1685</v>
      </c>
      <c r="B1746" s="138">
        <f>'Tax Sched 23'!B6</f>
        <v>2587943</v>
      </c>
      <c r="C1746" s="2" t="s">
        <v>573</v>
      </c>
      <c r="D1746" s="2" t="str">
        <f t="shared" si="26"/>
        <v>Error?</v>
      </c>
    </row>
    <row r="1747" spans="1:5" x14ac:dyDescent="0.2">
      <c r="A1747" s="5">
        <v>1686</v>
      </c>
      <c r="B1747" s="138">
        <f>'Tax Sched 23'!B7</f>
        <v>525760</v>
      </c>
      <c r="C1747" s="2" t="s">
        <v>573</v>
      </c>
      <c r="D1747" s="2" t="str">
        <f t="shared" si="26"/>
        <v>Error?</v>
      </c>
    </row>
    <row r="1748" spans="1:5" x14ac:dyDescent="0.2">
      <c r="A1748" s="5">
        <v>1687</v>
      </c>
      <c r="B1748" s="138">
        <f>'Tax Sched 23'!B8</f>
        <v>230003</v>
      </c>
      <c r="C1748" s="2" t="s">
        <v>573</v>
      </c>
      <c r="D1748" s="2" t="str">
        <f t="shared" si="26"/>
        <v>Error?</v>
      </c>
    </row>
    <row r="1749" spans="1:5" x14ac:dyDescent="0.2">
      <c r="A1749" s="5">
        <v>1688</v>
      </c>
      <c r="B1749" s="138">
        <f>'Tax Sched 23'!B10</f>
        <v>135296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108237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12146338</v>
      </c>
      <c r="C1759" s="2" t="s">
        <v>573</v>
      </c>
      <c r="D1759" s="2" t="str">
        <f t="shared" si="26"/>
        <v>Error?</v>
      </c>
    </row>
    <row r="1760" spans="1:5" x14ac:dyDescent="0.2">
      <c r="A1760" s="5">
        <v>1699</v>
      </c>
      <c r="B1760" s="138">
        <f>'Tax Sched 23'!D4</f>
        <v>6525870</v>
      </c>
      <c r="C1760" s="2" t="s">
        <v>573</v>
      </c>
      <c r="D1760" s="2" t="str">
        <f t="shared" si="26"/>
        <v>Error?</v>
      </c>
    </row>
    <row r="1761" spans="1:5" x14ac:dyDescent="0.2">
      <c r="A1761" s="5">
        <v>1700</v>
      </c>
      <c r="B1761" s="138">
        <f>'Tax Sched 23'!D5</f>
        <v>1709871</v>
      </c>
      <c r="C1761" s="2" t="s">
        <v>573</v>
      </c>
      <c r="D1761" s="2" t="str">
        <f t="shared" si="26"/>
        <v>Error?</v>
      </c>
    </row>
    <row r="1762" spans="1:5" s="8" customFormat="1" x14ac:dyDescent="0.2">
      <c r="A1762" s="5">
        <v>1701</v>
      </c>
      <c r="B1762" s="138">
        <f>'Tax Sched 23'!D6</f>
        <v>2587943</v>
      </c>
      <c r="C1762" s="2" t="s">
        <v>573</v>
      </c>
      <c r="D1762" s="2" t="str">
        <f t="shared" si="26"/>
        <v>Error?</v>
      </c>
      <c r="E1762" s="9"/>
    </row>
    <row r="1763" spans="1:5" x14ac:dyDescent="0.2">
      <c r="A1763" s="5">
        <v>1702</v>
      </c>
      <c r="B1763" s="138">
        <f>'Tax Sched 23'!D7</f>
        <v>525760</v>
      </c>
      <c r="C1763" s="2" t="s">
        <v>573</v>
      </c>
      <c r="D1763" s="2" t="str">
        <f t="shared" si="26"/>
        <v>Error?</v>
      </c>
    </row>
    <row r="1764" spans="1:5" x14ac:dyDescent="0.2">
      <c r="A1764" s="5">
        <v>1703</v>
      </c>
      <c r="B1764" s="138">
        <f>'Tax Sched 23'!D8</f>
        <v>230003</v>
      </c>
      <c r="C1764" s="2" t="s">
        <v>573</v>
      </c>
      <c r="D1764" s="2" t="str">
        <f t="shared" si="26"/>
        <v>Error?</v>
      </c>
    </row>
    <row r="1765" spans="1:5" x14ac:dyDescent="0.2">
      <c r="A1765" s="5">
        <v>1704</v>
      </c>
      <c r="B1765" s="138">
        <f>'Tax Sched 23'!D10</f>
        <v>135296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108237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12146338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6738378</v>
      </c>
      <c r="C1792" s="2" t="s">
        <v>573</v>
      </c>
      <c r="D1792" s="2" t="str">
        <f t="shared" si="27"/>
        <v>Error?</v>
      </c>
    </row>
    <row r="1793" spans="1:4" x14ac:dyDescent="0.2">
      <c r="A1793" s="5">
        <v>1732</v>
      </c>
      <c r="B1793" s="138">
        <f>'Tax Sched 23'!F5</f>
        <v>1746108</v>
      </c>
      <c r="C1793" s="2" t="s">
        <v>573</v>
      </c>
      <c r="D1793" s="2" t="str">
        <f t="shared" si="27"/>
        <v>Error?</v>
      </c>
    </row>
    <row r="1794" spans="1:4" x14ac:dyDescent="0.2">
      <c r="A1794" s="5">
        <v>1733</v>
      </c>
      <c r="B1794" s="138">
        <f>'Tax Sched 23'!F6</f>
        <v>2541926</v>
      </c>
      <c r="C1794" s="2" t="s">
        <v>573</v>
      </c>
      <c r="D1794" s="2" t="str">
        <f t="shared" si="27"/>
        <v>Error?</v>
      </c>
    </row>
    <row r="1795" spans="1:4" x14ac:dyDescent="0.2">
      <c r="A1795" s="5">
        <v>1734</v>
      </c>
      <c r="B1795" s="138">
        <f>'Tax Sched 23'!F7</f>
        <v>551141</v>
      </c>
      <c r="C1795" s="2" t="s">
        <v>573</v>
      </c>
      <c r="D1795" s="2" t="str">
        <f t="shared" si="27"/>
        <v>Error?</v>
      </c>
    </row>
    <row r="1796" spans="1:4" x14ac:dyDescent="0.2">
      <c r="A1796" s="5">
        <v>1735</v>
      </c>
      <c r="B1796" s="138">
        <f>'Tax Sched 23'!F8</f>
        <v>227022</v>
      </c>
      <c r="C1796" s="2" t="s">
        <v>573</v>
      </c>
      <c r="D1796" s="2" t="str">
        <f t="shared" si="27"/>
        <v>Error?</v>
      </c>
    </row>
    <row r="1797" spans="1:4" x14ac:dyDescent="0.2">
      <c r="A1797" s="5">
        <v>1736</v>
      </c>
      <c r="B1797" s="138">
        <f>'Tax Sched 23'!F10</f>
        <v>117786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110339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12375853</v>
      </c>
      <c r="C1807" s="2" t="s">
        <v>573</v>
      </c>
      <c r="D1807" s="2" t="str">
        <f t="shared" si="27"/>
        <v>Error?</v>
      </c>
    </row>
    <row r="1808" spans="1:4" x14ac:dyDescent="0.2">
      <c r="A1808" s="5">
        <v>1747</v>
      </c>
      <c r="B1808" s="138">
        <f>'Tax Sched 23'!E4</f>
        <v>6738378</v>
      </c>
      <c r="D1808" s="2" t="str">
        <f t="shared" si="27"/>
        <v>Error?</v>
      </c>
    </row>
    <row r="1809" spans="1:4" x14ac:dyDescent="0.2">
      <c r="A1809" s="5">
        <v>1748</v>
      </c>
      <c r="B1809" s="138">
        <f>'Tax Sched 23'!E5</f>
        <v>1746108</v>
      </c>
      <c r="D1809" s="2" t="str">
        <f t="shared" si="27"/>
        <v>Error?</v>
      </c>
    </row>
    <row r="1810" spans="1:4" x14ac:dyDescent="0.2">
      <c r="A1810" s="5">
        <v>1749</v>
      </c>
      <c r="B1810" s="138">
        <f>'Tax Sched 23'!E6</f>
        <v>2541926</v>
      </c>
      <c r="D1810" s="2" t="str">
        <f t="shared" si="27"/>
        <v>Error?</v>
      </c>
    </row>
    <row r="1811" spans="1:4" x14ac:dyDescent="0.2">
      <c r="A1811" s="5">
        <v>1750</v>
      </c>
      <c r="B1811" s="138">
        <f>'Tax Sched 23'!E7</f>
        <v>551141</v>
      </c>
      <c r="D1811" s="2" t="str">
        <f t="shared" si="27"/>
        <v>Error?</v>
      </c>
    </row>
    <row r="1812" spans="1:4" x14ac:dyDescent="0.2">
      <c r="A1812" s="5">
        <v>1751</v>
      </c>
      <c r="B1812" s="138">
        <f>'Tax Sched 23'!E8</f>
        <v>227022</v>
      </c>
      <c r="D1812" s="2" t="str">
        <f t="shared" si="27"/>
        <v>Error?</v>
      </c>
    </row>
    <row r="1813" spans="1:4" x14ac:dyDescent="0.2">
      <c r="A1813" s="5">
        <v>1752</v>
      </c>
      <c r="B1813" s="138">
        <f>'Tax Sched 23'!E10</f>
        <v>117786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110339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12375853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37885000</v>
      </c>
      <c r="C1939" s="2" t="s">
        <v>573</v>
      </c>
      <c r="D1939" s="2" t="str">
        <f t="shared" si="29"/>
        <v>Error?</v>
      </c>
    </row>
    <row r="1940" spans="1:5" x14ac:dyDescent="0.2">
      <c r="A1940" s="5">
        <v>1879</v>
      </c>
      <c r="B1940" s="138">
        <f>'Short-Term Long-Term Debt 24'!F49</f>
        <v>7780000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108237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108237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108237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1260494</v>
      </c>
      <c r="D2008" s="2" t="str">
        <f t="shared" si="30"/>
        <v>Error?</v>
      </c>
    </row>
    <row r="2009" spans="1:4" x14ac:dyDescent="0.2">
      <c r="A2009" s="5">
        <v>1948</v>
      </c>
      <c r="B2009" s="138">
        <f>'Cap Outlay Deprec 26'!C8</f>
        <v>68768999</v>
      </c>
      <c r="D2009" s="2" t="str">
        <f t="shared" si="30"/>
        <v>Error?</v>
      </c>
    </row>
    <row r="2010" spans="1:4" x14ac:dyDescent="0.2">
      <c r="A2010" s="5">
        <v>1949</v>
      </c>
      <c r="B2010" s="138">
        <f>'Cap Outlay Deprec 26'!C10</f>
        <v>4833141</v>
      </c>
      <c r="D2010" s="2" t="str">
        <f t="shared" si="30"/>
        <v>Error?</v>
      </c>
    </row>
    <row r="2011" spans="1:4" x14ac:dyDescent="0.2">
      <c r="A2011" s="5">
        <v>1950</v>
      </c>
      <c r="B2011" s="138">
        <f>'Cap Outlay Deprec 26'!C12</f>
        <v>7031577</v>
      </c>
      <c r="D2011" s="2" t="str">
        <f t="shared" si="30"/>
        <v>Error?</v>
      </c>
    </row>
    <row r="2012" spans="1:4" x14ac:dyDescent="0.2">
      <c r="A2012" s="5">
        <v>1951</v>
      </c>
      <c r="B2012" s="138">
        <f>'Cap Outlay Deprec 26'!C13</f>
        <v>2654558</v>
      </c>
      <c r="D2012" s="2" t="str">
        <f t="shared" si="30"/>
        <v>Error?</v>
      </c>
    </row>
    <row r="2013" spans="1:4" x14ac:dyDescent="0.2">
      <c r="A2013" s="5">
        <v>1952</v>
      </c>
      <c r="B2013" s="138">
        <f>'Cap Outlay Deprec 26'!C16</f>
        <v>84599989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365048</v>
      </c>
      <c r="D2015" s="2" t="str">
        <f t="shared" si="30"/>
        <v>Error?</v>
      </c>
    </row>
    <row r="2016" spans="1:4" x14ac:dyDescent="0.2">
      <c r="A2016" s="5">
        <v>1955</v>
      </c>
      <c r="B2016" s="138">
        <f>'Cap Outlay Deprec 26'!D10</f>
        <v>41607</v>
      </c>
      <c r="D2016" s="2" t="str">
        <f t="shared" si="30"/>
        <v>Error?</v>
      </c>
    </row>
    <row r="2017" spans="1:4" x14ac:dyDescent="0.2">
      <c r="A2017" s="5">
        <v>1956</v>
      </c>
      <c r="B2017" s="138">
        <f>'Cap Outlay Deprec 26'!D12</f>
        <v>119543</v>
      </c>
      <c r="D2017" s="2" t="str">
        <f t="shared" si="30"/>
        <v>Error?</v>
      </c>
    </row>
    <row r="2018" spans="1:4" x14ac:dyDescent="0.2">
      <c r="A2018" s="5">
        <v>1957</v>
      </c>
      <c r="B2018" s="138">
        <f>'Cap Outlay Deprec 26'!D13</f>
        <v>264736</v>
      </c>
      <c r="D2018" s="2" t="str">
        <f t="shared" si="30"/>
        <v>Error?</v>
      </c>
    </row>
    <row r="2019" spans="1:4" x14ac:dyDescent="0.2">
      <c r="A2019" s="5">
        <v>1958</v>
      </c>
      <c r="B2019" s="138">
        <f>'Cap Outlay Deprec 26'!D16</f>
        <v>790934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151568</v>
      </c>
      <c r="D2024" s="2" t="str">
        <f t="shared" si="30"/>
        <v>Error?</v>
      </c>
    </row>
    <row r="2025" spans="1:4" x14ac:dyDescent="0.2">
      <c r="A2025" s="5">
        <v>1964</v>
      </c>
      <c r="B2025" s="138">
        <f>'Cap Outlay Deprec 26'!E16</f>
        <v>202788</v>
      </c>
      <c r="C2025" s="2" t="s">
        <v>573</v>
      </c>
      <c r="D2025" s="2" t="str">
        <f t="shared" si="30"/>
        <v>Error?</v>
      </c>
    </row>
    <row r="2026" spans="1:4" x14ac:dyDescent="0.2">
      <c r="A2026" s="5">
        <v>1965</v>
      </c>
      <c r="B2026" s="138">
        <f>'Cap Outlay Deprec 26'!F5</f>
        <v>1260494</v>
      </c>
      <c r="C2026" s="2" t="s">
        <v>573</v>
      </c>
      <c r="D2026" s="2" t="str">
        <f t="shared" si="30"/>
        <v>Error?</v>
      </c>
    </row>
    <row r="2027" spans="1:4" x14ac:dyDescent="0.2">
      <c r="A2027" s="5">
        <v>1966</v>
      </c>
      <c r="B2027" s="138">
        <f>'Cap Outlay Deprec 26'!F8</f>
        <v>69134047</v>
      </c>
      <c r="C2027" s="2" t="s">
        <v>573</v>
      </c>
      <c r="D2027" s="2" t="str">
        <f t="shared" si="30"/>
        <v>Error?</v>
      </c>
    </row>
    <row r="2028" spans="1:4" x14ac:dyDescent="0.2">
      <c r="A2028" s="5">
        <v>1967</v>
      </c>
      <c r="B2028" s="138">
        <f>'Cap Outlay Deprec 26'!F10</f>
        <v>4874748</v>
      </c>
      <c r="C2028" s="2" t="s">
        <v>573</v>
      </c>
      <c r="D2028" s="2" t="str">
        <f t="shared" si="30"/>
        <v>Error?</v>
      </c>
    </row>
    <row r="2029" spans="1:4" x14ac:dyDescent="0.2">
      <c r="A2029" s="5">
        <v>1968</v>
      </c>
      <c r="B2029" s="138">
        <f>'Cap Outlay Deprec 26'!F12</f>
        <v>7151120</v>
      </c>
      <c r="C2029" s="2" t="s">
        <v>573</v>
      </c>
      <c r="D2029" s="2" t="str">
        <f t="shared" si="30"/>
        <v>Error?</v>
      </c>
    </row>
    <row r="2030" spans="1:4" x14ac:dyDescent="0.2">
      <c r="A2030" s="5">
        <v>1969</v>
      </c>
      <c r="B2030" s="138">
        <f>'Cap Outlay Deprec 26'!F13</f>
        <v>2767726</v>
      </c>
      <c r="C2030" s="2" t="s">
        <v>573</v>
      </c>
      <c r="D2030" s="2" t="str">
        <f t="shared" si="30"/>
        <v>Error?</v>
      </c>
    </row>
    <row r="2031" spans="1:4" x14ac:dyDescent="0.2">
      <c r="A2031" s="5">
        <v>1970</v>
      </c>
      <c r="B2031" s="138">
        <f>'Cap Outlay Deprec 26'!F16</f>
        <v>85188135</v>
      </c>
      <c r="C2031" s="2" t="s">
        <v>573</v>
      </c>
      <c r="D2031" s="2" t="str">
        <f t="shared" si="30"/>
        <v>Error?</v>
      </c>
    </row>
    <row r="2032" spans="1:4" x14ac:dyDescent="0.2">
      <c r="A2032" s="10">
        <v>1971</v>
      </c>
      <c r="D2032" s="2" t="str">
        <f t="shared" si="30"/>
        <v>OK</v>
      </c>
    </row>
    <row r="2033" spans="1:4" x14ac:dyDescent="0.2">
      <c r="A2033" s="5">
        <v>1972</v>
      </c>
      <c r="B2033" s="138">
        <f>'Cap Outlay Deprec 26'!H8</f>
        <v>19683538</v>
      </c>
      <c r="D2033" s="2" t="str">
        <f t="shared" si="30"/>
        <v>Error?</v>
      </c>
    </row>
    <row r="2034" spans="1:4" x14ac:dyDescent="0.2">
      <c r="A2034" s="5">
        <v>1973</v>
      </c>
      <c r="B2034" s="138">
        <f>'Cap Outlay Deprec 26'!H10</f>
        <v>2970394</v>
      </c>
      <c r="D2034" s="2" t="str">
        <f t="shared" si="30"/>
        <v>Error?</v>
      </c>
    </row>
    <row r="2035" spans="1:4" x14ac:dyDescent="0.2">
      <c r="A2035" s="5">
        <v>1974</v>
      </c>
      <c r="B2035" s="138">
        <f>'Cap Outlay Deprec 26'!H12</f>
        <v>6053031</v>
      </c>
      <c r="D2035" s="2" t="str">
        <f t="shared" si="30"/>
        <v>Error?</v>
      </c>
    </row>
    <row r="2036" spans="1:4" x14ac:dyDescent="0.2">
      <c r="A2036" s="5">
        <v>1975</v>
      </c>
      <c r="B2036" s="138">
        <f>'Cap Outlay Deprec 26'!H13</f>
        <v>2307171</v>
      </c>
      <c r="D2036" s="2" t="str">
        <f t="shared" si="30"/>
        <v>Error?</v>
      </c>
    </row>
    <row r="2037" spans="1:4" x14ac:dyDescent="0.2">
      <c r="A2037" s="5">
        <v>1976</v>
      </c>
      <c r="B2037" s="138">
        <f>'Cap Outlay Deprec 26'!H16</f>
        <v>31014134</v>
      </c>
      <c r="C2037" s="2" t="s">
        <v>573</v>
      </c>
      <c r="D2037" s="2" t="str">
        <f t="shared" si="30"/>
        <v>Error?</v>
      </c>
    </row>
    <row r="2038" spans="1:4" x14ac:dyDescent="0.2">
      <c r="A2038" s="10">
        <v>1977</v>
      </c>
      <c r="D2038" s="2" t="str">
        <f t="shared" si="30"/>
        <v>OK</v>
      </c>
    </row>
    <row r="2039" spans="1:4" x14ac:dyDescent="0.2">
      <c r="A2039" s="5">
        <v>1978</v>
      </c>
      <c r="B2039" s="138">
        <f>'Cap Outlay Deprec 26'!I8</f>
        <v>1369743</v>
      </c>
      <c r="D2039" s="2" t="str">
        <f t="shared" si="30"/>
        <v>Error?</v>
      </c>
    </row>
    <row r="2040" spans="1:4" x14ac:dyDescent="0.2">
      <c r="A2040" s="5">
        <v>1979</v>
      </c>
      <c r="B2040" s="138">
        <f>'Cap Outlay Deprec 26'!I10</f>
        <v>200749</v>
      </c>
      <c r="D2040" s="2" t="str">
        <f t="shared" si="30"/>
        <v>Error?</v>
      </c>
    </row>
    <row r="2041" spans="1:4" x14ac:dyDescent="0.2">
      <c r="A2041" s="5">
        <v>1980</v>
      </c>
      <c r="B2041" s="138">
        <f>'Cap Outlay Deprec 26'!I12</f>
        <v>290599</v>
      </c>
      <c r="D2041" s="2" t="str">
        <f t="shared" si="30"/>
        <v>Error?</v>
      </c>
    </row>
    <row r="2042" spans="1:4" x14ac:dyDescent="0.2">
      <c r="A2042" s="5">
        <v>1981</v>
      </c>
      <c r="B2042" s="138">
        <f>'Cap Outlay Deprec 26'!I13</f>
        <v>187616</v>
      </c>
      <c r="D2042" s="2" t="str">
        <f t="shared" si="30"/>
        <v>Error?</v>
      </c>
    </row>
    <row r="2043" spans="1:4" x14ac:dyDescent="0.2">
      <c r="A2043" s="5">
        <v>1982</v>
      </c>
      <c r="B2043" s="138">
        <f>'Cap Outlay Deprec 26'!I16</f>
        <v>2048707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151568</v>
      </c>
      <c r="D2048" s="2" t="str">
        <f t="shared" si="31"/>
        <v>Error?</v>
      </c>
    </row>
    <row r="2049" spans="1:4" x14ac:dyDescent="0.2">
      <c r="A2049" s="5">
        <v>1988</v>
      </c>
      <c r="B2049" s="138">
        <f>'Cap Outlay Deprec 26'!J16</f>
        <v>151568</v>
      </c>
      <c r="C2049" s="2" t="s">
        <v>573</v>
      </c>
      <c r="D2049" s="2" t="str">
        <f t="shared" si="31"/>
        <v>Error?</v>
      </c>
    </row>
    <row r="2050" spans="1:4" x14ac:dyDescent="0.2">
      <c r="A2050" s="10">
        <v>1989</v>
      </c>
      <c r="D2050" s="2" t="str">
        <f t="shared" si="31"/>
        <v>OK</v>
      </c>
    </row>
    <row r="2051" spans="1:4" x14ac:dyDescent="0.2">
      <c r="A2051" s="5">
        <v>1990</v>
      </c>
      <c r="B2051" s="138">
        <f>'Cap Outlay Deprec 26'!K8</f>
        <v>21053281</v>
      </c>
      <c r="C2051" s="2" t="s">
        <v>573</v>
      </c>
      <c r="D2051" s="2" t="str">
        <f t="shared" si="31"/>
        <v>Error?</v>
      </c>
    </row>
    <row r="2052" spans="1:4" x14ac:dyDescent="0.2">
      <c r="A2052" s="5">
        <v>1991</v>
      </c>
      <c r="B2052" s="138">
        <f>'Cap Outlay Deprec 26'!K10</f>
        <v>3171143</v>
      </c>
      <c r="C2052" s="2" t="s">
        <v>573</v>
      </c>
      <c r="D2052" s="2" t="str">
        <f t="shared" si="31"/>
        <v>Error?</v>
      </c>
    </row>
    <row r="2053" spans="1:4" x14ac:dyDescent="0.2">
      <c r="A2053" s="5">
        <v>1992</v>
      </c>
      <c r="B2053" s="138">
        <f>'Cap Outlay Deprec 26'!K12</f>
        <v>6343630</v>
      </c>
      <c r="C2053" s="2" t="s">
        <v>573</v>
      </c>
      <c r="D2053" s="2" t="str">
        <f t="shared" si="31"/>
        <v>Error?</v>
      </c>
    </row>
    <row r="2054" spans="1:4" x14ac:dyDescent="0.2">
      <c r="A2054" s="5">
        <v>1993</v>
      </c>
      <c r="B2054" s="138">
        <f>'Cap Outlay Deprec 26'!K13</f>
        <v>2343219</v>
      </c>
      <c r="C2054" s="2" t="s">
        <v>573</v>
      </c>
      <c r="D2054" s="2" t="str">
        <f t="shared" si="31"/>
        <v>Error?</v>
      </c>
    </row>
    <row r="2055" spans="1:4" x14ac:dyDescent="0.2">
      <c r="A2055" s="5">
        <v>1994</v>
      </c>
      <c r="B2055" s="138">
        <f>'Cap Outlay Deprec 26'!K16</f>
        <v>32911273</v>
      </c>
      <c r="C2055" s="2" t="s">
        <v>573</v>
      </c>
      <c r="D2055" s="2" t="str">
        <f t="shared" si="31"/>
        <v>Error?</v>
      </c>
    </row>
    <row r="2056" spans="1:4" x14ac:dyDescent="0.2">
      <c r="A2056" s="5">
        <v>1995</v>
      </c>
      <c r="B2056" s="138">
        <f>'Cap Outlay Deprec 26'!L5</f>
        <v>1260494</v>
      </c>
      <c r="C2056" s="2" t="s">
        <v>573</v>
      </c>
      <c r="D2056" s="2" t="str">
        <f t="shared" si="31"/>
        <v>Error?</v>
      </c>
    </row>
    <row r="2057" spans="1:4" x14ac:dyDescent="0.2">
      <c r="A2057" s="5">
        <v>1996</v>
      </c>
      <c r="B2057" s="138">
        <f>'Cap Outlay Deprec 26'!L8</f>
        <v>48080766</v>
      </c>
      <c r="C2057" s="2" t="s">
        <v>573</v>
      </c>
      <c r="D2057" s="2" t="str">
        <f t="shared" si="31"/>
        <v>Error?</v>
      </c>
    </row>
    <row r="2058" spans="1:4" x14ac:dyDescent="0.2">
      <c r="A2058" s="5">
        <v>1997</v>
      </c>
      <c r="B2058" s="138">
        <f>'Cap Outlay Deprec 26'!L10</f>
        <v>1703605</v>
      </c>
      <c r="C2058" s="2" t="s">
        <v>573</v>
      </c>
      <c r="D2058" s="2" t="str">
        <f t="shared" si="31"/>
        <v>Error?</v>
      </c>
    </row>
    <row r="2059" spans="1:4" x14ac:dyDescent="0.2">
      <c r="A2059" s="5">
        <v>1998</v>
      </c>
      <c r="B2059" s="138">
        <f>'Cap Outlay Deprec 26'!L12</f>
        <v>807490</v>
      </c>
      <c r="C2059" s="2" t="s">
        <v>573</v>
      </c>
      <c r="D2059" s="2" t="str">
        <f t="shared" si="31"/>
        <v>Error?</v>
      </c>
    </row>
    <row r="2060" spans="1:4" x14ac:dyDescent="0.2">
      <c r="A2060" s="5">
        <v>1999</v>
      </c>
      <c r="B2060" s="138">
        <f>'Cap Outlay Deprec 26'!L13</f>
        <v>424507</v>
      </c>
      <c r="C2060" s="2" t="s">
        <v>573</v>
      </c>
      <c r="D2060" s="2" t="str">
        <f t="shared" si="31"/>
        <v>Error?</v>
      </c>
    </row>
    <row r="2061" spans="1:4" x14ac:dyDescent="0.2">
      <c r="A2061" s="5">
        <v>2000</v>
      </c>
      <c r="B2061" s="138">
        <f>'Cap Outlay Deprec 26'!L16</f>
        <v>52276862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161540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305852</v>
      </c>
      <c r="C2088" s="2" t="s">
        <v>573</v>
      </c>
      <c r="D2088" s="2" t="str">
        <f t="shared" si="31"/>
        <v>Error?</v>
      </c>
    </row>
    <row r="2089" spans="1:4" x14ac:dyDescent="0.2">
      <c r="A2089" s="5">
        <v>2028</v>
      </c>
      <c r="B2089" s="138">
        <f>'Expenditures 15-22'!K92</f>
        <v>101217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868148</v>
      </c>
      <c r="D2475" s="2" t="str">
        <f t="shared" si="37"/>
        <v>Error?</v>
      </c>
    </row>
    <row r="2476" spans="1:4" x14ac:dyDescent="0.2">
      <c r="A2476" s="10">
        <v>2415</v>
      </c>
      <c r="D2476" s="2" t="str">
        <f t="shared" si="37"/>
        <v>OK</v>
      </c>
    </row>
    <row r="2477" spans="1:4" x14ac:dyDescent="0.2">
      <c r="A2477" s="5">
        <v>2416</v>
      </c>
      <c r="B2477" s="138">
        <f>'Assets-Liab 5-6'!G38</f>
        <v>280040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43393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8287708</v>
      </c>
      <c r="C2551" s="2" t="s">
        <v>573</v>
      </c>
      <c r="D2551" s="2" t="str">
        <f t="shared" si="38"/>
        <v>Error?</v>
      </c>
    </row>
    <row r="2552" spans="1:4" x14ac:dyDescent="0.2">
      <c r="A2552" s="10">
        <v>2491</v>
      </c>
      <c r="D2552" s="2" t="str">
        <f t="shared" si="38"/>
        <v>OK</v>
      </c>
    </row>
    <row r="2553" spans="1:4" x14ac:dyDescent="0.2">
      <c r="A2553" s="5">
        <v>2492</v>
      </c>
      <c r="B2553" s="138">
        <f>'Acct Summary 7-8'!C6</f>
        <v>6783996</v>
      </c>
      <c r="C2553" s="2" t="s">
        <v>573</v>
      </c>
      <c r="D2553" s="2" t="str">
        <f t="shared" si="38"/>
        <v>Error?</v>
      </c>
    </row>
    <row r="2554" spans="1:4" x14ac:dyDescent="0.2">
      <c r="A2554" s="5">
        <v>2493</v>
      </c>
      <c r="B2554" s="138">
        <f>'Acct Summary 7-8'!C7</f>
        <v>949617</v>
      </c>
      <c r="C2554" s="2" t="s">
        <v>573</v>
      </c>
      <c r="D2554" s="2" t="str">
        <f t="shared" si="38"/>
        <v>Error?</v>
      </c>
    </row>
    <row r="2555" spans="1:4" x14ac:dyDescent="0.2">
      <c r="A2555" s="5">
        <v>2494</v>
      </c>
      <c r="B2555" s="138">
        <f>'Acct Summary 7-8'!C8</f>
        <v>16027222</v>
      </c>
      <c r="C2555" s="2" t="s">
        <v>573</v>
      </c>
      <c r="D2555" s="2" t="str">
        <f t="shared" si="38"/>
        <v>Error?</v>
      </c>
    </row>
    <row r="2556" spans="1:4" x14ac:dyDescent="0.2">
      <c r="A2556" s="5">
        <v>2495</v>
      </c>
      <c r="B2556" s="138">
        <f>'Acct Summary 7-8'!C12</f>
        <v>9601119</v>
      </c>
      <c r="C2556" s="2" t="s">
        <v>573</v>
      </c>
      <c r="D2556" s="2" t="str">
        <f t="shared" si="38"/>
        <v>Error?</v>
      </c>
    </row>
    <row r="2557" spans="1:4" x14ac:dyDescent="0.2">
      <c r="A2557" s="5">
        <v>2496</v>
      </c>
      <c r="B2557" s="138">
        <f>'Acct Summary 7-8'!C13</f>
        <v>5251712</v>
      </c>
      <c r="C2557" s="2" t="s">
        <v>573</v>
      </c>
      <c r="D2557" s="2" t="str">
        <f t="shared" si="38"/>
        <v>Error?</v>
      </c>
    </row>
    <row r="2558" spans="1:4" x14ac:dyDescent="0.2">
      <c r="A2558" s="5">
        <v>2497</v>
      </c>
      <c r="B2558" s="138">
        <f>'Acct Summary 7-8'!C14</f>
        <v>314238</v>
      </c>
      <c r="C2558" s="2" t="s">
        <v>573</v>
      </c>
      <c r="D2558" s="2" t="str">
        <f t="shared" si="38"/>
        <v>Error?</v>
      </c>
    </row>
    <row r="2559" spans="1:4" x14ac:dyDescent="0.2">
      <c r="A2559" s="5">
        <v>2498</v>
      </c>
      <c r="B2559" s="138">
        <f>'Acct Summary 7-8'!C15</f>
        <v>407069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15574138</v>
      </c>
      <c r="C2561" s="2" t="s">
        <v>573</v>
      </c>
      <c r="D2561" s="2" t="str">
        <f t="shared" si="39"/>
        <v>Error?</v>
      </c>
    </row>
    <row r="2562" spans="1:4" x14ac:dyDescent="0.2">
      <c r="A2562" s="5">
        <v>2501</v>
      </c>
      <c r="B2562" s="138">
        <f>'Acct Summary 7-8'!C20</f>
        <v>453084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1989271</v>
      </c>
      <c r="C2564" s="2" t="s">
        <v>573</v>
      </c>
      <c r="D2564" s="2" t="str">
        <f t="shared" si="39"/>
        <v>Error?</v>
      </c>
    </row>
    <row r="2565" spans="1:4" x14ac:dyDescent="0.2">
      <c r="A2565" s="10">
        <v>2504</v>
      </c>
      <c r="D2565" s="2" t="str">
        <f t="shared" si="39"/>
        <v>OK</v>
      </c>
    </row>
    <row r="2566" spans="1:4" x14ac:dyDescent="0.2">
      <c r="A2566" s="5">
        <v>2505</v>
      </c>
      <c r="B2566" s="138">
        <f>'Acct Summary 7-8'!D6</f>
        <v>269500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2258771</v>
      </c>
      <c r="C2568" s="2" t="s">
        <v>573</v>
      </c>
      <c r="D2568" s="2" t="str">
        <f t="shared" si="39"/>
        <v>Error?</v>
      </c>
    </row>
    <row r="2569" spans="1:4" x14ac:dyDescent="0.2">
      <c r="A2569" s="5">
        <v>2508</v>
      </c>
      <c r="B2569" s="138">
        <f>'Acct Summary 7-8'!D13</f>
        <v>2323911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2323911</v>
      </c>
      <c r="C2573" s="2" t="s">
        <v>573</v>
      </c>
      <c r="D2573" s="2" t="str">
        <f t="shared" si="39"/>
        <v>Error?</v>
      </c>
    </row>
    <row r="2574" spans="1:4" x14ac:dyDescent="0.2">
      <c r="A2574" s="5">
        <v>2513</v>
      </c>
      <c r="B2574" s="138">
        <f>'Acct Summary 7-8'!D20</f>
        <v>-65140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561516</v>
      </c>
      <c r="C2591" s="2" t="s">
        <v>573</v>
      </c>
      <c r="D2591" s="2" t="str">
        <f t="shared" si="39"/>
        <v>Error?</v>
      </c>
    </row>
    <row r="2592" spans="1:4" x14ac:dyDescent="0.2">
      <c r="A2592" s="10">
        <v>2531</v>
      </c>
      <c r="D2592" s="2" t="str">
        <f t="shared" si="39"/>
        <v>OK</v>
      </c>
    </row>
    <row r="2593" spans="1:4" x14ac:dyDescent="0.2">
      <c r="A2593" s="5">
        <v>2532</v>
      </c>
      <c r="B2593" s="138">
        <f>'Acct Summary 7-8'!F6</f>
        <v>506308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1067824</v>
      </c>
      <c r="C2595" s="2" t="s">
        <v>573</v>
      </c>
      <c r="D2595" s="2" t="str">
        <f t="shared" si="39"/>
        <v>Error?</v>
      </c>
    </row>
    <row r="2596" spans="1:4" x14ac:dyDescent="0.2">
      <c r="A2596" s="5">
        <v>2535</v>
      </c>
      <c r="B2596" s="138">
        <f>'Acct Summary 7-8'!F13</f>
        <v>1209960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1209960</v>
      </c>
      <c r="C2600" s="2" t="s">
        <v>573</v>
      </c>
      <c r="D2600" s="2" t="str">
        <f t="shared" si="39"/>
        <v>Error?</v>
      </c>
    </row>
    <row r="2601" spans="1:4" x14ac:dyDescent="0.2">
      <c r="A2601" s="5">
        <v>2540</v>
      </c>
      <c r="B2601" s="138">
        <f>'Acct Summary 7-8'!F20</f>
        <v>-142136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579336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579336</v>
      </c>
      <c r="C2606" s="2" t="s">
        <v>573</v>
      </c>
      <c r="D2606" s="2" t="str">
        <f t="shared" si="39"/>
        <v>Error?</v>
      </c>
    </row>
    <row r="2607" spans="1:4" x14ac:dyDescent="0.2">
      <c r="A2607" s="5">
        <v>2546</v>
      </c>
      <c r="B2607" s="138">
        <f>'Acct Summary 7-8'!G12</f>
        <v>203599</v>
      </c>
      <c r="C2607" s="2" t="s">
        <v>573</v>
      </c>
      <c r="D2607" s="2" t="str">
        <f t="shared" si="39"/>
        <v>Error?</v>
      </c>
    </row>
    <row r="2608" spans="1:4" x14ac:dyDescent="0.2">
      <c r="A2608" s="5">
        <v>2547</v>
      </c>
      <c r="B2608" s="138">
        <f>'Acct Summary 7-8'!G13</f>
        <v>363409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567008</v>
      </c>
      <c r="C2612" s="2" t="s">
        <v>573</v>
      </c>
      <c r="D2612" s="2" t="str">
        <f t="shared" si="39"/>
        <v>Error?</v>
      </c>
    </row>
    <row r="2613" spans="1:4" x14ac:dyDescent="0.2">
      <c r="A2613" s="5">
        <v>2552</v>
      </c>
      <c r="B2613" s="138">
        <f>'Acct Summary 7-8'!G20</f>
        <v>12328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2625048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2753460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10544066</v>
      </c>
      <c r="C2634" s="2" t="s">
        <v>573</v>
      </c>
      <c r="D2634" s="2" t="str">
        <f t="shared" si="40"/>
        <v>Error?</v>
      </c>
    </row>
    <row r="2635" spans="1:4" x14ac:dyDescent="0.2">
      <c r="A2635" s="5">
        <v>2574</v>
      </c>
      <c r="B2635" s="138">
        <f>'Acct Summary 7-8'!E17</f>
        <v>10544066</v>
      </c>
      <c r="C2635" s="2" t="s">
        <v>573</v>
      </c>
      <c r="D2635" s="2" t="str">
        <f t="shared" si="40"/>
        <v>Error?</v>
      </c>
    </row>
    <row r="2636" spans="1:4" x14ac:dyDescent="0.2">
      <c r="A2636" s="5">
        <v>2575</v>
      </c>
      <c r="B2636" s="138">
        <f>'Acct Summary 7-8'!E20</f>
        <v>-7790606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183346</v>
      </c>
      <c r="D2718" s="2" t="str">
        <f t="shared" si="41"/>
        <v>Error?</v>
      </c>
    </row>
    <row r="2719" spans="1:4" x14ac:dyDescent="0.2">
      <c r="A2719" s="5">
        <v>2658</v>
      </c>
      <c r="B2719" s="138">
        <f>'Expenditures 15-22'!D51</f>
        <v>13930</v>
      </c>
      <c r="D2719" s="2" t="str">
        <f t="shared" si="41"/>
        <v>Error?</v>
      </c>
    </row>
    <row r="2720" spans="1:4" x14ac:dyDescent="0.2">
      <c r="A2720" s="5">
        <v>2659</v>
      </c>
      <c r="B2720" s="138">
        <f>'Expenditures 15-22'!E51</f>
        <v>1669</v>
      </c>
      <c r="D2720" s="2" t="str">
        <f t="shared" si="41"/>
        <v>Error?</v>
      </c>
    </row>
    <row r="2721" spans="1:4" x14ac:dyDescent="0.2">
      <c r="A2721" s="5">
        <v>2660</v>
      </c>
      <c r="B2721" s="138">
        <f>'Expenditures 15-22'!F51</f>
        <v>2381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425</v>
      </c>
      <c r="D2723" s="2" t="str">
        <f t="shared" si="41"/>
        <v>Error?</v>
      </c>
    </row>
    <row r="2724" spans="1:4" x14ac:dyDescent="0.2">
      <c r="A2724" s="5">
        <v>2663</v>
      </c>
      <c r="B2724" s="138">
        <f>'Expenditures 15-22'!K51</f>
        <v>201751</v>
      </c>
      <c r="C2724" s="2" t="s">
        <v>573</v>
      </c>
      <c r="D2724" s="2" t="str">
        <f t="shared" si="41"/>
        <v>Error?</v>
      </c>
    </row>
    <row r="2725" spans="1:4" x14ac:dyDescent="0.2">
      <c r="A2725" s="5">
        <v>2664</v>
      </c>
      <c r="B2725" s="138">
        <f>'Expenditures 15-22'!D247</f>
        <v>8654</v>
      </c>
      <c r="D2725" s="2" t="str">
        <f t="shared" si="41"/>
        <v>Error?</v>
      </c>
    </row>
    <row r="2726" spans="1:4" x14ac:dyDescent="0.2">
      <c r="A2726" s="5">
        <v>2665</v>
      </c>
      <c r="B2726" s="138">
        <f>'Expenditures 15-22'!K247</f>
        <v>8654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144312</v>
      </c>
      <c r="C2789" s="2" t="s">
        <v>573</v>
      </c>
      <c r="D2789" s="2" t="str">
        <f t="shared" si="42"/>
        <v>Error?</v>
      </c>
    </row>
    <row r="2790" spans="1:4" x14ac:dyDescent="0.2">
      <c r="A2790" s="5">
        <v>2729</v>
      </c>
      <c r="B2790" s="138">
        <f>'Expenditures 15-22'!E102</f>
        <v>144312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5057</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1340253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1342881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443080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47769</v>
      </c>
      <c r="D2908" s="2" t="str">
        <f t="shared" si="44"/>
        <v>Error?</v>
      </c>
    </row>
    <row r="2909" spans="1:4" x14ac:dyDescent="0.2">
      <c r="A2909" s="10">
        <v>2848</v>
      </c>
      <c r="D2909" s="2" t="str">
        <f t="shared" si="44"/>
        <v>OK</v>
      </c>
    </row>
    <row r="2910" spans="1:4" x14ac:dyDescent="0.2">
      <c r="A2910" s="5">
        <v>2849</v>
      </c>
      <c r="B2910" s="138">
        <f>'Assets-Liab 5-6'!I34</f>
        <v>47769</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1295112</v>
      </c>
      <c r="D2912" s="2" t="str">
        <f t="shared" si="44"/>
        <v>Error?</v>
      </c>
    </row>
    <row r="2913" spans="1:4" x14ac:dyDescent="0.2">
      <c r="A2913" s="5">
        <v>2852</v>
      </c>
      <c r="B2913" s="138">
        <f>'Assets-Liab 5-6'!I41</f>
        <v>1342881</v>
      </c>
      <c r="C2913" s="2" t="s">
        <v>573</v>
      </c>
      <c r="D2913" s="2" t="str">
        <f t="shared" si="44"/>
        <v>Error?</v>
      </c>
    </row>
    <row r="2914" spans="1:4" x14ac:dyDescent="0.2">
      <c r="A2914" s="5">
        <v>2853</v>
      </c>
      <c r="B2914" s="138">
        <f>'Assets-Liab 5-6'!L33</f>
        <v>443080</v>
      </c>
      <c r="D2914" s="2" t="str">
        <f t="shared" si="44"/>
        <v>Error?</v>
      </c>
    </row>
    <row r="2915" spans="1:4" x14ac:dyDescent="0.2">
      <c r="A2915" s="10">
        <v>2854</v>
      </c>
      <c r="D2915" s="2" t="str">
        <f t="shared" si="44"/>
        <v>OK</v>
      </c>
    </row>
    <row r="2916" spans="1:4" x14ac:dyDescent="0.2">
      <c r="A2916" s="5">
        <v>2855</v>
      </c>
      <c r="B2916" s="138">
        <f>'Assets-Liab 5-6'!L34</f>
        <v>443080</v>
      </c>
      <c r="C2916" s="2" t="s">
        <v>573</v>
      </c>
      <c r="D2916" s="2" t="str">
        <f t="shared" si="44"/>
        <v>Error?</v>
      </c>
    </row>
    <row r="2917" spans="1:4" x14ac:dyDescent="0.2">
      <c r="A2917" s="5">
        <v>2856</v>
      </c>
      <c r="B2917" s="138">
        <f>'Assets-Liab 5-6'!L41</f>
        <v>443080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124137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20175</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161540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124137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161540</v>
      </c>
      <c r="C2976" s="2" t="s">
        <v>573</v>
      </c>
      <c r="D2976" s="2" t="str">
        <f t="shared" si="45"/>
        <v>Error?</v>
      </c>
    </row>
    <row r="2977" spans="1:4" x14ac:dyDescent="0.2">
      <c r="A2977" s="5">
        <v>2916</v>
      </c>
      <c r="B2977" s="138">
        <f>'Expenditures 15-22'!K82</f>
        <v>20175</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7780000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163399</v>
      </c>
      <c r="C3225" s="2" t="s">
        <v>573</v>
      </c>
      <c r="D3225" s="2" t="str">
        <f t="shared" si="49"/>
        <v>Error?</v>
      </c>
    </row>
    <row r="3226" spans="1:4" x14ac:dyDescent="0.2">
      <c r="A3226" s="5">
        <v>3165</v>
      </c>
      <c r="B3226" s="138">
        <f>'Acct Summary 7-8'!I8</f>
        <v>163399</v>
      </c>
      <c r="C3226" s="2" t="s">
        <v>573</v>
      </c>
      <c r="D3226" s="2" t="str">
        <f t="shared" si="49"/>
        <v>Error?</v>
      </c>
    </row>
    <row r="3227" spans="1:4" x14ac:dyDescent="0.2">
      <c r="A3227" s="5">
        <v>3166</v>
      </c>
      <c r="B3227" s="138">
        <f>'Acct Summary 7-8'!I20</f>
        <v>163399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453084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200000</v>
      </c>
      <c r="C3238" s="2" t="s">
        <v>573</v>
      </c>
      <c r="D3238" s="2" t="str">
        <f t="shared" si="49"/>
        <v>Error?</v>
      </c>
    </row>
    <row r="3239" spans="1:4" x14ac:dyDescent="0.2">
      <c r="A3239" s="5">
        <v>3178</v>
      </c>
      <c r="B3239" s="138">
        <f>'Acct Summary 7-8'!D78</f>
        <v>134860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-142136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12328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7780000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7780000</v>
      </c>
      <c r="C3277" s="2" t="s">
        <v>573</v>
      </c>
      <c r="D3277" s="2" t="str">
        <f t="shared" si="50"/>
        <v>Error?</v>
      </c>
    </row>
    <row r="3278" spans="1:4" x14ac:dyDescent="0.2">
      <c r="A3278" s="5">
        <v>3217</v>
      </c>
      <c r="B3278" s="138">
        <f>'Acct Summary 7-8'!E78</f>
        <v>-10606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200000</v>
      </c>
      <c r="C3318" s="2" t="s">
        <v>573</v>
      </c>
      <c r="D3318" s="2" t="str">
        <f t="shared" si="50"/>
        <v>Error?</v>
      </c>
    </row>
    <row r="3319" spans="1:4" x14ac:dyDescent="0.2">
      <c r="A3319" s="5">
        <v>3258</v>
      </c>
      <c r="B3319" s="138">
        <f>'Acct Summary 7-8'!I77</f>
        <v>-200000</v>
      </c>
      <c r="C3319" s="2" t="s">
        <v>573</v>
      </c>
      <c r="D3319" s="2" t="str">
        <f t="shared" si="50"/>
        <v>Error?</v>
      </c>
    </row>
    <row r="3320" spans="1:4" x14ac:dyDescent="0.2">
      <c r="A3320" s="5">
        <v>3259</v>
      </c>
      <c r="B3320" s="138">
        <f>'Acct Summary 7-8'!I78</f>
        <v>-36601</v>
      </c>
      <c r="C3320" s="2" t="s">
        <v>573</v>
      </c>
      <c r="D3320" s="2" t="str">
        <f t="shared" si="50"/>
        <v>Error?</v>
      </c>
    </row>
    <row r="3321" spans="1:4" x14ac:dyDescent="0.2">
      <c r="A3321" s="5">
        <v>3260</v>
      </c>
      <c r="B3321" s="138">
        <f>'Acct Summary 7-8'!I79</f>
        <v>1331713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1295112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1230018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138608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80492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20484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1478866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110437</v>
      </c>
      <c r="D3387" s="2" t="str">
        <f t="shared" si="51"/>
        <v>Error?</v>
      </c>
    </row>
    <row r="3388" spans="1:4" x14ac:dyDescent="0.2">
      <c r="A3388" s="5">
        <v>3327</v>
      </c>
      <c r="B3388" s="138">
        <f>'Expenditures 15-22'!D217</f>
        <v>65242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110437</v>
      </c>
      <c r="C3390" s="2" t="s">
        <v>573</v>
      </c>
      <c r="D3390" s="2" t="str">
        <f t="shared" si="51"/>
        <v>Error?</v>
      </c>
    </row>
    <row r="3391" spans="1:4" x14ac:dyDescent="0.2">
      <c r="A3391" s="5">
        <v>3330</v>
      </c>
      <c r="B3391" s="138">
        <f>'Expenditures 15-22'!K217</f>
        <v>65242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5901</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886431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256340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13951</v>
      </c>
      <c r="D3417" s="2" t="str">
        <f t="shared" si="52"/>
        <v>Error?</v>
      </c>
    </row>
    <row r="3418" spans="1:4" x14ac:dyDescent="0.2">
      <c r="A3418" s="10">
        <v>3357</v>
      </c>
      <c r="D3418" s="2" t="str">
        <f t="shared" si="52"/>
        <v>OK</v>
      </c>
    </row>
    <row r="3419" spans="1:4" x14ac:dyDescent="0.2">
      <c r="A3419" s="5">
        <v>3358</v>
      </c>
      <c r="B3419" s="138">
        <f>'Assets-Liab 5-6'!F4</f>
        <v>186893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443080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323358</v>
      </c>
      <c r="C3446" s="2" t="s">
        <v>573</v>
      </c>
      <c r="D3446" s="2" t="str">
        <f t="shared" si="52"/>
        <v>Error?</v>
      </c>
    </row>
    <row r="3447" spans="1:4" x14ac:dyDescent="0.2">
      <c r="A3447" s="5">
        <v>3386</v>
      </c>
      <c r="B3447" s="138">
        <f>'Tax Sched 23'!D16</f>
        <v>323358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343153</v>
      </c>
      <c r="C3449" s="2" t="s">
        <v>573</v>
      </c>
      <c r="D3449" s="2" t="str">
        <f t="shared" si="52"/>
        <v>Error?</v>
      </c>
    </row>
    <row r="3450" spans="1:4" x14ac:dyDescent="0.2">
      <c r="A3450" s="5">
        <v>3389</v>
      </c>
      <c r="B3450" s="138">
        <f>'Tax Sched 23'!E16</f>
        <v>343153</v>
      </c>
      <c r="D3450" s="2" t="str">
        <f t="shared" si="52"/>
        <v>Error?</v>
      </c>
    </row>
    <row r="3451" spans="1:4" x14ac:dyDescent="0.2">
      <c r="A3451" s="5">
        <v>3390</v>
      </c>
      <c r="B3451" s="138">
        <f>'Cap Outlay Deprec 26'!C15</f>
        <v>51220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51220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20045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20045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20045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20045</v>
      </c>
      <c r="C3568" s="2" t="s">
        <v>573</v>
      </c>
      <c r="D3568" s="2" t="str">
        <f t="shared" si="54"/>
        <v>Error?</v>
      </c>
    </row>
    <row r="3569" spans="1:4" x14ac:dyDescent="0.2">
      <c r="A3569" s="5">
        <v>3508</v>
      </c>
      <c r="B3569" s="138">
        <f>'Acct Summary 7-8'!K4</f>
        <v>342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342</v>
      </c>
      <c r="C3571" s="2" t="s">
        <v>573</v>
      </c>
      <c r="D3571" s="2" t="str">
        <f t="shared" si="54"/>
        <v>Error?</v>
      </c>
    </row>
    <row r="3572" spans="1:4" x14ac:dyDescent="0.2">
      <c r="A3572" s="5">
        <v>3511</v>
      </c>
      <c r="B3572" s="138">
        <f>'Acct Summary 7-8'!K13</f>
        <v>7995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7995</v>
      </c>
      <c r="C3575" s="2" t="s">
        <v>573</v>
      </c>
      <c r="D3575" s="2" t="str">
        <f t="shared" si="54"/>
        <v>Error?</v>
      </c>
    </row>
    <row r="3576" spans="1:4" x14ac:dyDescent="0.2">
      <c r="A3576" s="5">
        <v>3515</v>
      </c>
      <c r="B3576" s="138">
        <f>'Acct Summary 7-8'!K20</f>
        <v>-7653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-7653</v>
      </c>
      <c r="C3588" s="2" t="s">
        <v>573</v>
      </c>
      <c r="D3588" s="2" t="str">
        <f t="shared" si="55"/>
        <v>Error?</v>
      </c>
    </row>
    <row r="3589" spans="1:4" x14ac:dyDescent="0.2">
      <c r="A3589" s="5">
        <v>3528</v>
      </c>
      <c r="B3589" s="138">
        <f>'Acct Summary 7-8'!K79</f>
        <v>27698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20045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7995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7995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7995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7995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7995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7995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7995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-7653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7134814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23162036</v>
      </c>
      <c r="C4122" s="2" t="s">
        <v>573</v>
      </c>
      <c r="D4122" s="2" t="str">
        <f t="shared" si="63"/>
        <v>Error?</v>
      </c>
    </row>
    <row r="4123" spans="1:4" x14ac:dyDescent="0.2">
      <c r="A4123" s="5">
        <v>4062</v>
      </c>
      <c r="B4123" s="138">
        <f>'Acct Summary 7-8'!D10</f>
        <v>2258771</v>
      </c>
      <c r="C4123" s="2" t="s">
        <v>573</v>
      </c>
      <c r="D4123" s="2" t="str">
        <f t="shared" si="63"/>
        <v>Error?</v>
      </c>
    </row>
    <row r="4124" spans="1:4" x14ac:dyDescent="0.2">
      <c r="A4124" s="5">
        <v>4063</v>
      </c>
      <c r="B4124" s="138">
        <f>'Acct Summary 7-8'!E10</f>
        <v>2753460</v>
      </c>
      <c r="C4124" s="2" t="s">
        <v>573</v>
      </c>
      <c r="D4124" s="2" t="str">
        <f t="shared" si="63"/>
        <v>Error?</v>
      </c>
    </row>
    <row r="4125" spans="1:4" x14ac:dyDescent="0.2">
      <c r="A4125" s="5">
        <v>4064</v>
      </c>
      <c r="B4125" s="138">
        <f>'Acct Summary 7-8'!F10</f>
        <v>1067824</v>
      </c>
      <c r="C4125" s="2" t="s">
        <v>573</v>
      </c>
      <c r="D4125" s="2" t="str">
        <f t="shared" si="63"/>
        <v>Error?</v>
      </c>
    </row>
    <row r="4126" spans="1:4" x14ac:dyDescent="0.2">
      <c r="A4126" s="5">
        <v>4065</v>
      </c>
      <c r="B4126" s="138">
        <f>'Acct Summary 7-8'!G10</f>
        <v>579336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163399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342</v>
      </c>
      <c r="C4130" s="2" t="s">
        <v>573</v>
      </c>
      <c r="D4130" s="2" t="str">
        <f t="shared" si="63"/>
        <v>Error?</v>
      </c>
    </row>
    <row r="4131" spans="1:4" x14ac:dyDescent="0.2">
      <c r="A4131" s="5">
        <v>4070</v>
      </c>
      <c r="B4131" s="138">
        <f>'Acct Summary 7-8'!C18</f>
        <v>7134814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22708952</v>
      </c>
      <c r="C4136" s="2" t="s">
        <v>573</v>
      </c>
      <c r="D4136" s="2" t="str">
        <f t="shared" si="63"/>
        <v>Error?</v>
      </c>
    </row>
    <row r="4137" spans="1:4" x14ac:dyDescent="0.2">
      <c r="A4137" s="5">
        <v>4076</v>
      </c>
      <c r="B4137" s="138">
        <f>'Acct Summary 7-8'!D19</f>
        <v>2323911</v>
      </c>
      <c r="C4137" s="2" t="s">
        <v>573</v>
      </c>
      <c r="D4137" s="2" t="str">
        <f t="shared" si="63"/>
        <v>Error?</v>
      </c>
    </row>
    <row r="4138" spans="1:4" x14ac:dyDescent="0.2">
      <c r="A4138" s="5">
        <v>4077</v>
      </c>
      <c r="B4138" s="138">
        <f>'Acct Summary 7-8'!E19</f>
        <v>10544066</v>
      </c>
      <c r="C4138" s="2" t="s">
        <v>573</v>
      </c>
      <c r="D4138" s="2" t="str">
        <f t="shared" si="63"/>
        <v>Error?</v>
      </c>
    </row>
    <row r="4139" spans="1:4" x14ac:dyDescent="0.2">
      <c r="A4139" s="5">
        <v>4078</v>
      </c>
      <c r="B4139" s="138">
        <f>'Acct Summary 7-8'!F19</f>
        <v>1209960</v>
      </c>
      <c r="C4139" s="2" t="s">
        <v>573</v>
      </c>
      <c r="D4139" s="2" t="str">
        <f t="shared" si="63"/>
        <v>Error?</v>
      </c>
    </row>
    <row r="4140" spans="1:4" x14ac:dyDescent="0.2">
      <c r="A4140" s="5">
        <v>4079</v>
      </c>
      <c r="B4140" s="138">
        <f>'Acct Summary 7-8'!G19</f>
        <v>567008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7995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36740000</v>
      </c>
      <c r="C4171" s="2" t="s">
        <v>573</v>
      </c>
      <c r="D4171" s="2" t="str">
        <f t="shared" si="64"/>
        <v>Error?</v>
      </c>
    </row>
    <row r="4172" spans="1:4" x14ac:dyDescent="0.2">
      <c r="A4172" s="5">
        <v>4111</v>
      </c>
      <c r="B4172" s="138">
        <f>'Short-Term Long-Term Debt 24'!J49</f>
        <v>36696607</v>
      </c>
      <c r="C4172" s="2" t="s">
        <v>573</v>
      </c>
      <c r="D4172" s="2" t="str">
        <f t="shared" si="64"/>
        <v>Error?</v>
      </c>
    </row>
    <row r="4173" spans="1:4" x14ac:dyDescent="0.2">
      <c r="A4173" s="5">
        <v>4112</v>
      </c>
      <c r="B4173" s="138">
        <f>'Short-Term Long-Term Debt 24'!H49</f>
        <v>8925000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2442.7999999999997</v>
      </c>
      <c r="C4265" s="2" t="s">
        <v>573</v>
      </c>
      <c r="D4265" s="2" t="str">
        <f t="shared" si="65"/>
        <v>Error?</v>
      </c>
      <c r="E4265" s="128"/>
    </row>
    <row r="4266" spans="1:5" x14ac:dyDescent="0.2">
      <c r="A4266" s="12">
        <v>4205</v>
      </c>
      <c r="B4266" s="138">
        <f>('FP Info 3'!F10)*100000</f>
        <v>633</v>
      </c>
      <c r="C4266" s="2" t="s">
        <v>573</v>
      </c>
      <c r="D4266" s="2" t="str">
        <f t="shared" si="65"/>
        <v>Error?</v>
      </c>
      <c r="E4266" s="128"/>
    </row>
    <row r="4267" spans="1:5" x14ac:dyDescent="0.2">
      <c r="A4267" s="12">
        <v>4206</v>
      </c>
      <c r="B4267" s="138">
        <f>('FP Info 3'!H10)*100000</f>
        <v>199.8</v>
      </c>
      <c r="C4267" s="2" t="s">
        <v>573</v>
      </c>
      <c r="D4267" s="2" t="str">
        <f t="shared" si="65"/>
        <v>Error?</v>
      </c>
      <c r="E4267" s="128"/>
    </row>
    <row r="4268" spans="1:5" x14ac:dyDescent="0.2">
      <c r="A4268" s="12">
        <v>4207</v>
      </c>
      <c r="B4268" s="138">
        <f>('FP Info 3'!J10)*100000</f>
        <v>3275.9999999999995</v>
      </c>
      <c r="C4268" s="2" t="s">
        <v>573</v>
      </c>
      <c r="D4268" s="2" t="str">
        <f t="shared" si="65"/>
        <v>Error?</v>
      </c>
    </row>
    <row r="4269" spans="1:5" x14ac:dyDescent="0.2">
      <c r="A4269" s="12">
        <v>4208</v>
      </c>
      <c r="B4269" s="138">
        <f>'FP Info 3'!J16</f>
        <v>7709634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41578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70240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24058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128412</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42.7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128412</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1689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32136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275846487</v>
      </c>
      <c r="D4995" s="2" t="str">
        <f t="shared" si="77"/>
        <v>Error?</v>
      </c>
    </row>
    <row r="4996" spans="1:4" x14ac:dyDescent="0.2">
      <c r="A4996" s="12">
        <v>4935</v>
      </c>
      <c r="B4996" s="138">
        <f>'FP Info 3'!H31</f>
        <v>38066815.206</v>
      </c>
      <c r="D4996" s="2" t="str">
        <f t="shared" si="77"/>
        <v>Error?</v>
      </c>
    </row>
    <row r="4997" spans="1:4" x14ac:dyDescent="0.2">
      <c r="A4997" s="12">
        <v>4936</v>
      </c>
      <c r="B4997" s="138">
        <f>'FP Info 3'!H37</f>
        <v>36740000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6525870</v>
      </c>
      <c r="D5061" s="2" t="str">
        <f t="shared" si="78"/>
        <v>Error?</v>
      </c>
    </row>
    <row r="5062" spans="1:4" x14ac:dyDescent="0.2">
      <c r="A5062" s="10">
        <v>5001</v>
      </c>
      <c r="D5062" s="2" t="str">
        <f t="shared" si="78"/>
        <v>OK</v>
      </c>
    </row>
    <row r="5063" spans="1:4" x14ac:dyDescent="0.2">
      <c r="A5063" s="5">
        <v>5002</v>
      </c>
      <c r="B5063" s="138">
        <f>'Revenues 9-14'!C7</f>
        <v>108237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6634107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68229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68229</v>
      </c>
      <c r="C5087" s="2" t="s">
        <v>573</v>
      </c>
      <c r="D5087" s="2" t="str">
        <f t="shared" si="78"/>
        <v>Error?</v>
      </c>
    </row>
    <row r="5088" spans="1:4" x14ac:dyDescent="0.2">
      <c r="A5088" s="5">
        <v>5027</v>
      </c>
      <c r="B5088" s="138">
        <f>'Revenues 9-14'!C65</f>
        <v>135970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135970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525273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781052</v>
      </c>
      <c r="C5096" s="2" t="s">
        <v>573</v>
      </c>
      <c r="D5096" s="2" t="str">
        <f t="shared" si="78"/>
        <v>Error?</v>
      </c>
    </row>
    <row r="5097" spans="1:4" x14ac:dyDescent="0.2">
      <c r="A5097" s="5">
        <v>5036</v>
      </c>
      <c r="B5097" s="138">
        <f>'Revenues 9-14'!C77</f>
        <v>85019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69575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154594</v>
      </c>
      <c r="C5102" s="2" t="s">
        <v>573</v>
      </c>
      <c r="D5102" s="2" t="str">
        <f t="shared" si="78"/>
        <v>Error?</v>
      </c>
    </row>
    <row r="5103" spans="1:4" x14ac:dyDescent="0.2">
      <c r="A5103" s="5">
        <v>5042</v>
      </c>
      <c r="B5103" s="138">
        <f>'Revenues 9-14'!C84</f>
        <v>447081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447081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47700</v>
      </c>
      <c r="D5119" s="2" t="str">
        <f t="shared" ref="D5119:D5182" si="79">IF(ISBLANK(B5119),"OK",IF(A5119-B5119=0,"OK","Error?"))</f>
        <v>Error?</v>
      </c>
    </row>
    <row r="5120" spans="1:4" x14ac:dyDescent="0.2">
      <c r="A5120" s="5">
        <v>5059</v>
      </c>
      <c r="B5120" s="138">
        <f>'Revenues 9-14'!C108</f>
        <v>66675</v>
      </c>
      <c r="C5120" s="2" t="s">
        <v>573</v>
      </c>
      <c r="D5120" s="2" t="str">
        <f t="shared" si="79"/>
        <v>Error?</v>
      </c>
    </row>
    <row r="5121" spans="1:4" x14ac:dyDescent="0.2">
      <c r="A5121" s="5">
        <v>5060</v>
      </c>
      <c r="B5121" s="138">
        <f>'Revenues 9-14'!C109</f>
        <v>8287708</v>
      </c>
      <c r="C5121" s="2" t="s">
        <v>573</v>
      </c>
      <c r="D5121" s="2" t="str">
        <f t="shared" si="79"/>
        <v>Error?</v>
      </c>
    </row>
    <row r="5122" spans="1:4" x14ac:dyDescent="0.2">
      <c r="A5122" s="5">
        <v>5061</v>
      </c>
      <c r="B5122" s="138">
        <f>'Revenues 9-14'!C111</f>
        <v>5901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5901</v>
      </c>
      <c r="C5125" s="2" t="s">
        <v>573</v>
      </c>
      <c r="D5125" s="2" t="str">
        <f t="shared" si="79"/>
        <v>Error?</v>
      </c>
    </row>
    <row r="5126" spans="1:4" x14ac:dyDescent="0.2">
      <c r="A5126" s="5">
        <v>5065</v>
      </c>
      <c r="B5126" s="138">
        <f>'Revenues 9-14'!C117</f>
        <v>6682591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6682591</v>
      </c>
      <c r="C5132" s="2" t="s">
        <v>573</v>
      </c>
      <c r="D5132" s="2" t="str">
        <f t="shared" si="79"/>
        <v>Error?</v>
      </c>
    </row>
    <row r="5133" spans="1:4" x14ac:dyDescent="0.2">
      <c r="A5133" s="5">
        <v>5072</v>
      </c>
      <c r="B5133" s="138">
        <f>'Revenues 9-14'!C125</f>
        <v>53705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4095</v>
      </c>
      <c r="D5137" s="2" t="str">
        <f t="shared" si="79"/>
        <v>Error?</v>
      </c>
    </row>
    <row r="5138" spans="1:4" x14ac:dyDescent="0.2">
      <c r="A5138" s="10">
        <v>5077</v>
      </c>
      <c r="D5138" s="2" t="str">
        <f t="shared" si="79"/>
        <v>OK</v>
      </c>
    </row>
    <row r="5139" spans="1:4" x14ac:dyDescent="0.2">
      <c r="A5139" s="5">
        <v>5078</v>
      </c>
      <c r="B5139" s="138">
        <f>'Revenues 9-14'!C129</f>
        <v>2537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60337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1219</v>
      </c>
      <c r="D5167" s="2" t="str">
        <f t="shared" si="79"/>
        <v>Error?</v>
      </c>
    </row>
    <row r="5168" spans="1:4" x14ac:dyDescent="0.2">
      <c r="A5168" s="5">
        <v>5107</v>
      </c>
      <c r="B5168" s="138">
        <f>'Revenues 9-14'!C148</f>
        <v>38160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101405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6783996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83477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83477</v>
      </c>
      <c r="C5246" s="2" t="s">
        <v>573</v>
      </c>
      <c r="D5246" s="2" t="str">
        <f t="shared" si="80"/>
        <v>Error?</v>
      </c>
    </row>
    <row r="5247" spans="1:4" x14ac:dyDescent="0.2">
      <c r="A5247" s="5">
        <v>5186</v>
      </c>
      <c r="B5247" s="138">
        <f>'Revenues 9-14'!C200</f>
        <v>244877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24058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244877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11978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409679</v>
      </c>
      <c r="D5278" s="2" t="str">
        <f t="shared" si="81"/>
        <v>Error?</v>
      </c>
    </row>
    <row r="5279" spans="1:4" x14ac:dyDescent="0.2">
      <c r="A5279" s="5">
        <v>5218</v>
      </c>
      <c r="B5279" s="138">
        <f>'Revenues 9-14'!C214</f>
        <v>27097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448754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4497</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949617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949617</v>
      </c>
      <c r="C5326" s="2" t="s">
        <v>573</v>
      </c>
      <c r="D5326" s="2" t="str">
        <f t="shared" si="82"/>
        <v>Error?</v>
      </c>
    </row>
    <row r="5327" spans="1:5" x14ac:dyDescent="0.2">
      <c r="A5327" s="5">
        <v>5266</v>
      </c>
      <c r="B5327" s="138">
        <f>'Revenues 9-14'!C268</f>
        <v>16027222</v>
      </c>
      <c r="C5327" s="2" t="s">
        <v>573</v>
      </c>
      <c r="D5327" s="2" t="str">
        <f t="shared" si="82"/>
        <v>Error?</v>
      </c>
    </row>
    <row r="5328" spans="1:5" x14ac:dyDescent="0.2">
      <c r="A5328" s="5">
        <v>5267</v>
      </c>
      <c r="B5328" s="138">
        <f>'Revenues 9-14'!D5</f>
        <v>1709871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1709871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103647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103647</v>
      </c>
      <c r="C5339" s="2" t="s">
        <v>573</v>
      </c>
      <c r="D5339" s="2" t="str">
        <f t="shared" si="82"/>
        <v>Error?</v>
      </c>
    </row>
    <row r="5340" spans="1:4" x14ac:dyDescent="0.2">
      <c r="A5340" s="5">
        <v>5279</v>
      </c>
      <c r="B5340" s="138">
        <f>'Revenues 9-14'!D65</f>
        <v>48782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48782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58316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31575</v>
      </c>
      <c r="D5354" s="2" t="str">
        <f t="shared" si="82"/>
        <v>Error?</v>
      </c>
    </row>
    <row r="5355" spans="1:4" x14ac:dyDescent="0.2">
      <c r="A5355" s="5">
        <v>5294</v>
      </c>
      <c r="B5355" s="138">
        <f>'Revenues 9-14'!D108</f>
        <v>126971</v>
      </c>
      <c r="C5355" s="2" t="s">
        <v>573</v>
      </c>
      <c r="D5355" s="2" t="str">
        <f t="shared" si="82"/>
        <v>Error?</v>
      </c>
    </row>
    <row r="5356" spans="1:4" x14ac:dyDescent="0.2">
      <c r="A5356" s="5">
        <v>5295</v>
      </c>
      <c r="B5356" s="138">
        <f>'Revenues 9-14'!D109</f>
        <v>1989271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269500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269500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269500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2258771</v>
      </c>
      <c r="C5508" s="2" t="s">
        <v>573</v>
      </c>
      <c r="D5508" s="2" t="str">
        <f t="shared" si="85"/>
        <v>Error?</v>
      </c>
    </row>
    <row r="5509" spans="1:4" x14ac:dyDescent="0.2">
      <c r="A5509" s="5">
        <v>5448</v>
      </c>
      <c r="B5509" s="138">
        <f>'Revenues 9-14'!E5</f>
        <v>2587943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2587943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23155</v>
      </c>
      <c r="D5519" s="2" t="str">
        <f t="shared" si="85"/>
        <v>Error?</v>
      </c>
    </row>
    <row r="5520" spans="1:4" x14ac:dyDescent="0.2">
      <c r="A5520" s="5">
        <v>5459</v>
      </c>
      <c r="B5520" s="138">
        <f>'Revenues 9-14'!E66</f>
        <v>13950</v>
      </c>
      <c r="D5520" s="2" t="str">
        <f t="shared" si="85"/>
        <v>Error?</v>
      </c>
    </row>
    <row r="5521" spans="1:4" x14ac:dyDescent="0.2">
      <c r="A5521" s="5">
        <v>5460</v>
      </c>
      <c r="B5521" s="138">
        <f>'Revenues 9-14'!E67</f>
        <v>37105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2625048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2753460</v>
      </c>
      <c r="C5552" s="2" t="s">
        <v>573</v>
      </c>
      <c r="D5552" s="2" t="str">
        <f t="shared" si="85"/>
        <v>Error?</v>
      </c>
    </row>
    <row r="5553" spans="1:4" x14ac:dyDescent="0.2">
      <c r="A5553" s="5">
        <v>5492</v>
      </c>
      <c r="B5553" s="138">
        <f>'Revenues 9-14'!F5</f>
        <v>525760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525760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25888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25888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1662</v>
      </c>
      <c r="D5586" s="2" t="str">
        <f t="shared" si="86"/>
        <v>Error?</v>
      </c>
    </row>
    <row r="5587" spans="1:4" x14ac:dyDescent="0.2">
      <c r="A5587" s="5">
        <v>5526</v>
      </c>
      <c r="B5587" s="138">
        <f>'Revenues 9-14'!F108</f>
        <v>9868</v>
      </c>
      <c r="C5587" s="2" t="s">
        <v>573</v>
      </c>
      <c r="D5587" s="2" t="str">
        <f t="shared" si="86"/>
        <v>Error?</v>
      </c>
    </row>
    <row r="5588" spans="1:4" x14ac:dyDescent="0.2">
      <c r="A5588" s="5">
        <v>5527</v>
      </c>
      <c r="B5588" s="138">
        <f>'Revenues 9-14'!F109</f>
        <v>561516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265050</v>
      </c>
      <c r="D5615" s="2" t="str">
        <f t="shared" si="86"/>
        <v>Error?</v>
      </c>
    </row>
    <row r="5616" spans="1:4" x14ac:dyDescent="0.2">
      <c r="A5616" s="10">
        <v>5555</v>
      </c>
      <c r="D5616" s="2" t="str">
        <f t="shared" si="86"/>
        <v>OK</v>
      </c>
    </row>
    <row r="5617" spans="1:5" x14ac:dyDescent="0.2">
      <c r="A5617" s="5">
        <v>5556</v>
      </c>
      <c r="B5617" s="138">
        <f>'Revenues 9-14'!F153</f>
        <v>186258</v>
      </c>
      <c r="D5617" s="2" t="str">
        <f t="shared" si="86"/>
        <v>Error?</v>
      </c>
    </row>
    <row r="5618" spans="1:5" x14ac:dyDescent="0.2">
      <c r="A5618" s="5">
        <v>5557</v>
      </c>
      <c r="B5618" s="138">
        <f>'Revenues 9-14'!F155</f>
        <v>451308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451308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506308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1067824</v>
      </c>
      <c r="C5720" s="2" t="s">
        <v>573</v>
      </c>
      <c r="D5720" s="2" t="str">
        <f t="shared" si="88"/>
        <v>Error?</v>
      </c>
    </row>
    <row r="5721" spans="1:4" x14ac:dyDescent="0.2">
      <c r="A5721" s="5">
        <v>5660</v>
      </c>
      <c r="B5721" s="138">
        <f>'Revenues 9-14'!G5</f>
        <v>230003</v>
      </c>
      <c r="D5721" s="2" t="str">
        <f t="shared" si="88"/>
        <v>Error?</v>
      </c>
    </row>
    <row r="5722" spans="1:4" x14ac:dyDescent="0.2">
      <c r="A5722" s="5">
        <v>5661</v>
      </c>
      <c r="B5722" s="138">
        <f>'Revenues 9-14'!G7</f>
        <v>0</v>
      </c>
      <c r="D5722" s="2" t="str">
        <f t="shared" si="88"/>
        <v>Error?</v>
      </c>
    </row>
    <row r="5723" spans="1:4" x14ac:dyDescent="0.2">
      <c r="A5723" s="5">
        <v>5662</v>
      </c>
      <c r="B5723" s="138">
        <f>'Revenues 9-14'!G8</f>
        <v>323358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553361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19950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19950</v>
      </c>
      <c r="C5730" s="2" t="s">
        <v>573</v>
      </c>
      <c r="D5730" s="2" t="str">
        <f t="shared" si="88"/>
        <v>Error?</v>
      </c>
    </row>
    <row r="5731" spans="1:4" x14ac:dyDescent="0.2">
      <c r="A5731" s="5">
        <v>5670</v>
      </c>
      <c r="B5731" s="138">
        <f>'Revenues 9-14'!G65</f>
        <v>6025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6025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579336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135296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135296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28103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28103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163399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342</v>
      </c>
      <c r="C6023" s="2" t="s">
        <v>573</v>
      </c>
      <c r="D6023" s="2" t="str">
        <f t="shared" si="93"/>
        <v>Error?</v>
      </c>
    </row>
    <row r="6024" spans="1:5" x14ac:dyDescent="0.2">
      <c r="A6024" s="5">
        <v>5963</v>
      </c>
      <c r="B6024" s="138">
        <f>'Revenues 9-14'!G109</f>
        <v>579336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163399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342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255779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31894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2278.2600000000002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15192</v>
      </c>
      <c r="D6113" s="2" t="str">
        <f t="shared" si="94"/>
        <v>Error?</v>
      </c>
      <c r="E6113" s="2" t="s">
        <v>190</v>
      </c>
    </row>
    <row r="6114" spans="1:5" x14ac:dyDescent="0.2">
      <c r="A6114">
        <v>6053</v>
      </c>
      <c r="B6114" s="138">
        <f>'Assets-Liab 5-6'!D11</f>
        <v>106</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453084</v>
      </c>
      <c r="D6267" s="2" t="str">
        <f t="shared" si="96"/>
        <v>Error?</v>
      </c>
      <c r="E6267" s="2" t="s">
        <v>190</v>
      </c>
    </row>
    <row r="6268" spans="1:5" x14ac:dyDescent="0.2">
      <c r="A6268">
        <v>6207</v>
      </c>
      <c r="B6268" s="138">
        <f>'Acct Summary 7-8'!D82</f>
        <v>134860</v>
      </c>
      <c r="D6268" s="2" t="str">
        <f t="shared" si="96"/>
        <v>Error?</v>
      </c>
      <c r="E6268" s="2" t="s">
        <v>190</v>
      </c>
    </row>
    <row r="6269" spans="1:5" x14ac:dyDescent="0.2">
      <c r="A6269">
        <v>6208</v>
      </c>
      <c r="B6269" s="138">
        <f>'Acct Summary 7-8'!E82</f>
        <v>-10606</v>
      </c>
      <c r="D6269" s="2" t="str">
        <f t="shared" si="96"/>
        <v>Error?</v>
      </c>
      <c r="E6269" s="2" t="s">
        <v>190</v>
      </c>
    </row>
    <row r="6270" spans="1:5" x14ac:dyDescent="0.2">
      <c r="A6270">
        <v>6209</v>
      </c>
      <c r="B6270" s="138">
        <f>'Acct Summary 7-8'!F82</f>
        <v>-142136</v>
      </c>
      <c r="D6270" s="2" t="str">
        <f t="shared" si="96"/>
        <v>Error?</v>
      </c>
      <c r="E6270" s="2" t="s">
        <v>190</v>
      </c>
    </row>
    <row r="6271" spans="1:5" x14ac:dyDescent="0.2">
      <c r="A6271">
        <v>6210</v>
      </c>
      <c r="B6271" s="138">
        <f>'Acct Summary 7-8'!G82</f>
        <v>12328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-36601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-7653</v>
      </c>
      <c r="D6275" s="2" t="str">
        <f t="shared" si="97"/>
        <v>Error?</v>
      </c>
      <c r="E6275" s="2" t="s">
        <v>190</v>
      </c>
    </row>
    <row r="6276" spans="1:5" x14ac:dyDescent="0.2">
      <c r="A6276">
        <v>6215</v>
      </c>
      <c r="B6276" s="138">
        <f>'Acct Summary 7-8'!C83</f>
        <v>9.7775280258752179E-2</v>
      </c>
      <c r="D6276" s="2" t="str">
        <f t="shared" si="97"/>
        <v>Error?</v>
      </c>
      <c r="E6276" s="2" t="s">
        <v>190</v>
      </c>
    </row>
    <row r="6277" spans="1:5" x14ac:dyDescent="0.2">
      <c r="A6277">
        <v>6216</v>
      </c>
      <c r="B6277" s="138">
        <f>'Acct Summary 7-8'!D83</f>
        <v>0.14780117530758119</v>
      </c>
      <c r="D6277" s="2" t="str">
        <f t="shared" si="97"/>
        <v>Error?</v>
      </c>
      <c r="E6277" s="2" t="s">
        <v>190</v>
      </c>
    </row>
    <row r="6278" spans="1:5" x14ac:dyDescent="0.2">
      <c r="A6278">
        <v>6217</v>
      </c>
      <c r="B6278" s="138">
        <f>'Acct Summary 7-8'!E83</f>
        <v>-0.24441730232986889</v>
      </c>
      <c r="D6278" s="2" t="str">
        <f t="shared" si="97"/>
        <v>Error?</v>
      </c>
      <c r="E6278" s="2" t="s">
        <v>190</v>
      </c>
    </row>
    <row r="6279" spans="1:5" x14ac:dyDescent="0.2">
      <c r="A6279">
        <v>6218</v>
      </c>
      <c r="B6279" s="138">
        <f>'Acct Summary 7-8'!F83</f>
        <v>-0.16372323613024509</v>
      </c>
      <c r="D6279" s="2" t="str">
        <f t="shared" si="97"/>
        <v>Error?</v>
      </c>
      <c r="E6279" s="2" t="s">
        <v>190</v>
      </c>
    </row>
    <row r="6280" spans="1:5" x14ac:dyDescent="0.2">
      <c r="A6280">
        <v>6219</v>
      </c>
      <c r="B6280" s="138">
        <f>'Acct Summary 7-8'!G83</f>
        <v>4.4022282531066992E-2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-2.8260876279426028E-2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-0.38179097031678721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12976</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18975</v>
      </c>
      <c r="D6330" s="2" t="str">
        <f t="shared" si="97"/>
        <v>Error?</v>
      </c>
      <c r="E6330" s="2" t="s">
        <v>190</v>
      </c>
    </row>
    <row r="6331" spans="1:5" x14ac:dyDescent="0.2">
      <c r="A6331">
        <v>6270</v>
      </c>
      <c r="B6331" s="138">
        <f>'Revenues 9-14'!D100</f>
        <v>24104</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8206</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128412</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128412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28278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9264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1170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3049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38712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2287</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2287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274216</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274216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276503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101217</v>
      </c>
      <c r="D6989" s="2" t="str">
        <f t="shared" si="108"/>
        <v>Error?</v>
      </c>
    </row>
    <row r="6990" spans="1:4" x14ac:dyDescent="0.2">
      <c r="A6990">
        <v>6929</v>
      </c>
      <c r="B6990" s="138">
        <f>'Expenditures 15-22'!K89</f>
        <v>101217</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101217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315215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72562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72562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72562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72562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18360</v>
      </c>
      <c r="D7091" s="2" t="str">
        <f t="shared" si="109"/>
        <v>Error?</v>
      </c>
    </row>
    <row r="7092" spans="1:4" x14ac:dyDescent="0.2">
      <c r="A7092">
        <v>7031</v>
      </c>
      <c r="B7092" s="138">
        <f>'Expenditures 15-22'!K253</f>
        <v>18360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1879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387777</v>
      </c>
      <c r="D7624" s="2" t="str">
        <f t="shared" si="124"/>
        <v>Error?</v>
      </c>
      <c r="E7624" s="2" t="s">
        <v>19</v>
      </c>
    </row>
    <row r="7625" spans="1:5" x14ac:dyDescent="0.2">
      <c r="A7625">
        <f t="shared" si="123"/>
        <v>7564</v>
      </c>
      <c r="B7625" s="138">
        <f>'Cap Outlay Deprec 26'!I17</f>
        <v>38777.699999999997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2087484.7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38160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38160</v>
      </c>
      <c r="D7719" s="2" t="str">
        <f t="shared" si="126"/>
        <v>Error?</v>
      </c>
      <c r="E7719" s="2" t="s">
        <v>827</v>
      </c>
    </row>
    <row r="7720" spans="1:6" x14ac:dyDescent="0.2">
      <c r="A7720">
        <v>7659</v>
      </c>
      <c r="B7720" s="138">
        <f>'Rest Tax Levies-Tort Im 25'!H14</f>
        <v>108237</v>
      </c>
      <c r="D7720" s="2" t="str">
        <f t="shared" si="126"/>
        <v>Error?</v>
      </c>
      <c r="E7720" s="2" t="s">
        <v>827</v>
      </c>
    </row>
    <row r="7721" spans="1:6" x14ac:dyDescent="0.2">
      <c r="A7721">
        <v>7660</v>
      </c>
      <c r="B7721" s="138">
        <f>'Rest Tax Levies-Tort Im 25'!K14</f>
        <v>38160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128412</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200000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1835023</v>
      </c>
      <c r="D7797" s="2" t="str">
        <f t="shared" si="127"/>
        <v>Error?</v>
      </c>
      <c r="E7797" s="4" t="s">
        <v>1904</v>
      </c>
    </row>
    <row r="7798" spans="1:5" x14ac:dyDescent="0.2">
      <c r="A7798">
        <v>7737</v>
      </c>
      <c r="B7798" s="138">
        <f>'Contracts Paid in CY 29'!F141</f>
        <v>200000</v>
      </c>
      <c r="D7798" s="2" t="str">
        <f t="shared" si="127"/>
        <v>Error?</v>
      </c>
      <c r="E7798" s="4" t="s">
        <v>1904</v>
      </c>
    </row>
    <row r="7799" spans="1:5" x14ac:dyDescent="0.2">
      <c r="A7799">
        <v>7738</v>
      </c>
      <c r="B7799" s="138">
        <f>'Contracts Paid in CY 29'!G141</f>
        <v>1270023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1989</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Rochester CUSD 3A</v>
      </c>
      <c r="B7" s="2404"/>
      <c r="C7" s="2404"/>
      <c r="D7" s="2405"/>
      <c r="E7" s="2406" t="str">
        <f>COVER!A13</f>
        <v>51084003A26</v>
      </c>
      <c r="F7" s="2407"/>
      <c r="G7" s="2413" t="str">
        <f>COVER!T23</f>
        <v>060-004845</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Pehlman and Dold, P.C.</v>
      </c>
      <c r="H9" s="2419"/>
      <c r="I9" s="2419"/>
      <c r="J9" s="2419"/>
      <c r="K9" s="2419"/>
      <c r="L9" s="2420"/>
    </row>
    <row r="10" spans="1:29" ht="13.5" customHeight="1" x14ac:dyDescent="0.2">
      <c r="A10" s="2393" t="str">
        <f>COVER!A38</f>
        <v>Russell Clover</v>
      </c>
      <c r="B10" s="2394"/>
      <c r="C10" s="2394"/>
      <c r="D10" s="2394"/>
      <c r="E10" s="2394"/>
      <c r="F10" s="2395"/>
      <c r="G10" s="2387" t="str">
        <f>COVER!T17</f>
        <v>100 North Amos Avenue</v>
      </c>
      <c r="H10" s="2388"/>
      <c r="I10" s="2388"/>
      <c r="J10" s="2388"/>
      <c r="K10" s="2388"/>
      <c r="L10" s="2389"/>
    </row>
    <row r="11" spans="1:29" ht="13.5" customHeight="1" x14ac:dyDescent="0.2">
      <c r="A11" s="1184" t="s">
        <v>1519</v>
      </c>
      <c r="B11" s="1185"/>
      <c r="C11" s="1186"/>
      <c r="D11" s="1191"/>
      <c r="E11" s="1186"/>
      <c r="F11" s="1190"/>
      <c r="G11" s="2387" t="str">
        <f>COVER!T19</f>
        <v>Springfield</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jnichols@p-dcpas.com</v>
      </c>
      <c r="J13" s="2400"/>
      <c r="K13" s="2400"/>
      <c r="L13" s="2401"/>
    </row>
    <row r="14" spans="1:29" ht="13.5" customHeight="1" x14ac:dyDescent="0.2">
      <c r="A14" s="2387" t="str">
        <f>COVER!A19</f>
        <v>#4 Rocket Drive</v>
      </c>
      <c r="B14" s="2388"/>
      <c r="C14" s="2388"/>
      <c r="D14" s="2388"/>
      <c r="E14" s="2388"/>
      <c r="F14" s="2389"/>
      <c r="G14" s="1195" t="s">
        <v>1185</v>
      </c>
      <c r="H14" s="1193"/>
      <c r="I14" s="1193"/>
      <c r="J14" s="1193"/>
      <c r="K14" s="1193"/>
      <c r="L14" s="1194"/>
    </row>
    <row r="15" spans="1:29" ht="13.5" customHeight="1" x14ac:dyDescent="0.2">
      <c r="A15" s="2387" t="str">
        <f>COVER!A21</f>
        <v>Rochester</v>
      </c>
      <c r="B15" s="2388"/>
      <c r="C15" s="2388"/>
      <c r="D15" s="2388"/>
      <c r="E15" s="2388"/>
      <c r="F15" s="2389"/>
      <c r="G15" s="2384" t="str">
        <f>COVER!T15</f>
        <v>Jamie Nichols</v>
      </c>
      <c r="H15" s="2385"/>
      <c r="I15" s="2385"/>
      <c r="J15" s="2385"/>
      <c r="K15" s="2385"/>
      <c r="L15" s="2386"/>
    </row>
    <row r="16" spans="1:29" ht="12.2" customHeight="1" x14ac:dyDescent="0.2">
      <c r="A16" s="2409">
        <f>COVER!A25</f>
        <v>62563</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(217) 787-0563</v>
      </c>
      <c r="H18" s="2404"/>
      <c r="I18" s="2404"/>
      <c r="J18" s="2404"/>
      <c r="K18" s="2403" t="str">
        <f>COVER!X21</f>
        <v>(217) 787-9266</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2075</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2075</v>
      </c>
      <c r="C26" s="1202" t="s">
        <v>1699</v>
      </c>
    </row>
    <row r="27" spans="1:13" s="1198" customFormat="1" ht="9" customHeight="1" x14ac:dyDescent="0.2">
      <c r="B27" s="1203"/>
      <c r="C27" s="1202"/>
    </row>
    <row r="28" spans="1:13" s="1198" customFormat="1" ht="12.2" customHeight="1" x14ac:dyDescent="0.2">
      <c r="A28" s="1205"/>
      <c r="B28" s="1201" t="s">
        <v>2075</v>
      </c>
      <c r="C28" s="1202" t="s">
        <v>1700</v>
      </c>
    </row>
    <row r="29" spans="1:13" s="1198" customFormat="1" ht="9" customHeight="1" x14ac:dyDescent="0.2">
      <c r="A29" s="1205"/>
      <c r="B29" s="1203"/>
      <c r="C29" s="1202"/>
    </row>
    <row r="30" spans="1:13" s="1198" customFormat="1" ht="12.2" customHeight="1" x14ac:dyDescent="0.2">
      <c r="B30" s="1201" t="s">
        <v>2075</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2075</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2075</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2075</v>
      </c>
      <c r="C38" s="1202" t="s">
        <v>1566</v>
      </c>
    </row>
    <row r="39" spans="1:8" ht="9" customHeight="1" x14ac:dyDescent="0.2">
      <c r="B39" s="1203"/>
      <c r="C39" s="1206"/>
    </row>
    <row r="40" spans="1:8" s="1198" customFormat="1" ht="13.5" customHeight="1" x14ac:dyDescent="0.2">
      <c r="B40" s="1201" t="s">
        <v>2075</v>
      </c>
      <c r="C40" s="1202" t="s">
        <v>1567</v>
      </c>
    </row>
    <row r="41" spans="1:8" ht="9" customHeight="1" x14ac:dyDescent="0.2">
      <c r="A41" s="1207"/>
      <c r="B41" s="1203"/>
      <c r="C41" s="1206"/>
    </row>
    <row r="42" spans="1:8" s="1198" customFormat="1" ht="13.5" customHeight="1" x14ac:dyDescent="0.2">
      <c r="B42" s="1201" t="s">
        <v>2075</v>
      </c>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Rochester CUSD 3A</v>
      </c>
      <c r="B1" s="2402"/>
      <c r="C1" s="2402"/>
      <c r="D1" s="2402"/>
    </row>
    <row r="2" spans="1:11" s="1212" customFormat="1" ht="12.75" x14ac:dyDescent="0.2">
      <c r="A2" s="2426" t="str">
        <f>'Single Audit Cover'!E7</f>
        <v>51084003A26</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0" sqref="D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Rochester CUSD 3A</v>
      </c>
      <c r="B1" s="2429"/>
      <c r="C1" s="2429"/>
      <c r="D1" s="2429"/>
      <c r="E1" s="2429"/>
    </row>
    <row r="2" spans="1:5" x14ac:dyDescent="0.2">
      <c r="A2" s="2430" t="str">
        <f>'Single Audit Cover'!E7</f>
        <v>51084003A26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1078029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31894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-70240</v>
      </c>
    </row>
    <row r="19" spans="1:4" ht="13.5" thickBot="1" x14ac:dyDescent="0.25">
      <c r="A19" s="1262" t="s">
        <v>1235</v>
      </c>
      <c r="D19" s="1263">
        <f>SUM(D10:D17)</f>
        <v>1039683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t="s">
        <v>2117</v>
      </c>
      <c r="B24" s="2431"/>
      <c r="D24" s="1265">
        <v>-128412</v>
      </c>
    </row>
    <row r="25" spans="1:4" x14ac:dyDescent="0.2">
      <c r="A25" s="2428" t="s">
        <v>2118</v>
      </c>
      <c r="B25" s="2428"/>
      <c r="D25" s="1265">
        <v>1732</v>
      </c>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913003</v>
      </c>
    </row>
    <row r="33" spans="1:4" x14ac:dyDescent="0.2">
      <c r="D33" s="1266"/>
    </row>
    <row r="34" spans="1:4" x14ac:dyDescent="0.2">
      <c r="A34" s="317" t="s">
        <v>1232</v>
      </c>
    </row>
    <row r="35" spans="1:4" x14ac:dyDescent="0.2">
      <c r="A35" s="317" t="s">
        <v>1231</v>
      </c>
      <c r="B35" s="1255" t="s">
        <v>1230</v>
      </c>
      <c r="D35" s="1267">
        <v>913003</v>
      </c>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913003</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M25" sqref="M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Rochester CUSD 3A</v>
      </c>
      <c r="C1" s="2433"/>
      <c r="D1" s="2433"/>
      <c r="E1" s="2433"/>
      <c r="F1" s="2433"/>
      <c r="G1" s="2433"/>
      <c r="H1" s="2433"/>
      <c r="I1" s="2433"/>
      <c r="J1" s="2433"/>
      <c r="K1" s="2433"/>
      <c r="L1" s="2433"/>
      <c r="M1" s="2433"/>
    </row>
    <row r="2" spans="2:14" ht="15" x14ac:dyDescent="0.2">
      <c r="B2" s="2434" t="str">
        <f>'Single Audit Cover'!E7</f>
        <v>51084003A26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2119</v>
      </c>
      <c r="C11" s="1335"/>
      <c r="D11" s="1336"/>
      <c r="E11" s="1337"/>
      <c r="F11" s="1337"/>
      <c r="G11" s="1337"/>
      <c r="H11" s="1337"/>
      <c r="I11" s="1337"/>
      <c r="J11" s="1337"/>
      <c r="K11" s="1337"/>
      <c r="L11" s="1337">
        <f>+G11+I11+K11</f>
        <v>0</v>
      </c>
      <c r="M11" s="1337"/>
    </row>
    <row r="12" spans="2:14" ht="20.100000000000001" customHeight="1" x14ac:dyDescent="0.2">
      <c r="B12" s="1334" t="s">
        <v>2120</v>
      </c>
      <c r="C12" s="1338"/>
      <c r="D12" s="1339"/>
      <c r="E12" s="1340"/>
      <c r="F12" s="1340"/>
      <c r="G12" s="1340"/>
      <c r="H12" s="1340"/>
      <c r="I12" s="1340"/>
      <c r="J12" s="1340"/>
      <c r="K12" s="1340"/>
      <c r="L12" s="1337">
        <f t="shared" ref="L12:L27" si="0">+G12+I12+K12</f>
        <v>0</v>
      </c>
      <c r="M12" s="1340"/>
    </row>
    <row r="13" spans="2:14" ht="20.100000000000001" customHeight="1" x14ac:dyDescent="0.2">
      <c r="B13" s="1334" t="s">
        <v>2121</v>
      </c>
      <c r="C13" s="1338" t="s">
        <v>2127</v>
      </c>
      <c r="D13" s="1339" t="s">
        <v>2130</v>
      </c>
      <c r="E13" s="1340">
        <v>131544</v>
      </c>
      <c r="F13" s="1340">
        <v>67899</v>
      </c>
      <c r="G13" s="1340">
        <v>199443</v>
      </c>
      <c r="H13" s="1340"/>
      <c r="I13" s="1340"/>
      <c r="J13" s="1340"/>
      <c r="K13" s="1340"/>
      <c r="L13" s="1337">
        <f t="shared" si="0"/>
        <v>199443</v>
      </c>
      <c r="M13" s="1340">
        <v>307662</v>
      </c>
    </row>
    <row r="14" spans="2:14" ht="20.100000000000001" customHeight="1" x14ac:dyDescent="0.2">
      <c r="B14" s="1334" t="s">
        <v>2121</v>
      </c>
      <c r="C14" s="1338" t="s">
        <v>2127</v>
      </c>
      <c r="D14" s="1339" t="s">
        <v>2131</v>
      </c>
      <c r="E14" s="1340"/>
      <c r="F14" s="1340">
        <v>163548</v>
      </c>
      <c r="G14" s="1340"/>
      <c r="H14" s="1340"/>
      <c r="I14" s="1340">
        <v>219409</v>
      </c>
      <c r="J14" s="1340"/>
      <c r="K14" s="1340"/>
      <c r="L14" s="1337">
        <f t="shared" si="0"/>
        <v>219409</v>
      </c>
      <c r="M14" s="1340">
        <v>277907</v>
      </c>
    </row>
    <row r="15" spans="2:14" ht="20.100000000000001" customHeight="1" x14ac:dyDescent="0.2">
      <c r="B15" s="1334" t="s">
        <v>2141</v>
      </c>
      <c r="C15" s="1338" t="s">
        <v>2127</v>
      </c>
      <c r="D15" s="1339" t="s">
        <v>2142</v>
      </c>
      <c r="E15" s="1340"/>
      <c r="F15" s="1340">
        <v>13430</v>
      </c>
      <c r="G15" s="1340"/>
      <c r="H15" s="1340"/>
      <c r="I15" s="1340">
        <v>20588</v>
      </c>
      <c r="J15" s="1340"/>
      <c r="K15" s="1340"/>
      <c r="L15" s="1337">
        <f t="shared" ref="L15" si="1">+G15+I15+K15</f>
        <v>20588</v>
      </c>
      <c r="M15" s="1340">
        <v>35858</v>
      </c>
    </row>
    <row r="16" spans="2:14" ht="20.100000000000001" customHeight="1" x14ac:dyDescent="0.2">
      <c r="B16" s="1334" t="s">
        <v>2122</v>
      </c>
      <c r="C16" s="1338"/>
      <c r="D16" s="1339"/>
      <c r="E16" s="1340">
        <v>131544</v>
      </c>
      <c r="F16" s="1340">
        <v>244877</v>
      </c>
      <c r="G16" s="1340">
        <v>199443</v>
      </c>
      <c r="H16" s="1340"/>
      <c r="I16" s="1340">
        <v>239997</v>
      </c>
      <c r="J16" s="1340"/>
      <c r="K16" s="1340"/>
      <c r="L16" s="1337">
        <f t="shared" ref="L16:L26" si="2">+G16+I16+K16</f>
        <v>439440</v>
      </c>
      <c r="M16" s="1340"/>
    </row>
    <row r="17" spans="2:14" ht="20.100000000000001" customHeight="1" x14ac:dyDescent="0.2">
      <c r="B17" s="1334" t="s">
        <v>2123</v>
      </c>
      <c r="C17" s="1338"/>
      <c r="D17" s="1339"/>
      <c r="E17" s="1340"/>
      <c r="F17" s="1340"/>
      <c r="G17" s="1340"/>
      <c r="H17" s="1340"/>
      <c r="I17" s="1340"/>
      <c r="J17" s="1340"/>
      <c r="K17" s="1340"/>
      <c r="L17" s="1337">
        <f t="shared" si="2"/>
        <v>0</v>
      </c>
      <c r="M17" s="1340"/>
    </row>
    <row r="18" spans="2:14" ht="20.100000000000001" customHeight="1" x14ac:dyDescent="0.2">
      <c r="B18" s="1334" t="s">
        <v>2124</v>
      </c>
      <c r="C18" s="1338" t="s">
        <v>2128</v>
      </c>
      <c r="D18" s="1339" t="s">
        <v>2132</v>
      </c>
      <c r="E18" s="1340"/>
      <c r="F18" s="1340">
        <v>27097</v>
      </c>
      <c r="G18" s="1340"/>
      <c r="H18" s="1340"/>
      <c r="I18" s="1340">
        <v>27097</v>
      </c>
      <c r="J18" s="1340"/>
      <c r="K18" s="1340"/>
      <c r="L18" s="1337">
        <f t="shared" si="2"/>
        <v>27097</v>
      </c>
      <c r="M18" s="1340" t="s">
        <v>2174</v>
      </c>
    </row>
    <row r="19" spans="2:14" ht="20.100000000000001" customHeight="1" x14ac:dyDescent="0.2">
      <c r="B19" s="1334" t="s">
        <v>2124</v>
      </c>
      <c r="C19" s="1338" t="s">
        <v>2128</v>
      </c>
      <c r="D19" s="1339" t="s">
        <v>2133</v>
      </c>
      <c r="E19" s="1340"/>
      <c r="F19" s="1340"/>
      <c r="G19" s="1340"/>
      <c r="H19" s="1340"/>
      <c r="I19" s="1340"/>
      <c r="J19" s="1340"/>
      <c r="K19" s="1340"/>
      <c r="L19" s="1337">
        <f t="shared" si="2"/>
        <v>0</v>
      </c>
      <c r="M19" s="1340" t="s">
        <v>2174</v>
      </c>
    </row>
    <row r="20" spans="2:14" ht="20.100000000000001" customHeight="1" x14ac:dyDescent="0.2">
      <c r="B20" s="1334" t="s">
        <v>2125</v>
      </c>
      <c r="C20" s="1338" t="s">
        <v>2128</v>
      </c>
      <c r="D20" s="1339" t="s">
        <v>2134</v>
      </c>
      <c r="E20" s="1340">
        <v>332433</v>
      </c>
      <c r="F20" s="1340">
        <v>82098</v>
      </c>
      <c r="G20" s="1340">
        <v>414531</v>
      </c>
      <c r="H20" s="1340"/>
      <c r="I20" s="1340"/>
      <c r="J20" s="1340"/>
      <c r="K20" s="1340"/>
      <c r="L20" s="1337">
        <f t="shared" si="2"/>
        <v>414531</v>
      </c>
      <c r="M20" s="1340">
        <v>421333</v>
      </c>
    </row>
    <row r="21" spans="2:14" ht="20.100000000000001" customHeight="1" x14ac:dyDescent="0.2">
      <c r="B21" s="1334" t="s">
        <v>2125</v>
      </c>
      <c r="C21" s="1338" t="s">
        <v>2128</v>
      </c>
      <c r="D21" s="1339" t="s">
        <v>2135</v>
      </c>
      <c r="E21" s="1340"/>
      <c r="F21" s="1340">
        <v>327581</v>
      </c>
      <c r="G21" s="1340"/>
      <c r="H21" s="1340"/>
      <c r="I21" s="1340">
        <v>413733</v>
      </c>
      <c r="J21" s="1340"/>
      <c r="K21" s="1340"/>
      <c r="L21" s="1337">
        <f t="shared" si="2"/>
        <v>413733</v>
      </c>
      <c r="M21" s="1340">
        <v>441748</v>
      </c>
    </row>
    <row r="22" spans="2:14" ht="20.100000000000001" customHeight="1" x14ac:dyDescent="0.2">
      <c r="B22" s="1334" t="s">
        <v>2129</v>
      </c>
      <c r="C22" s="1338"/>
      <c r="D22" s="1339"/>
      <c r="E22" s="1340">
        <v>332433</v>
      </c>
      <c r="F22" s="1340">
        <v>436776</v>
      </c>
      <c r="G22" s="1340">
        <v>414531</v>
      </c>
      <c r="H22" s="1340"/>
      <c r="I22" s="1340">
        <v>440830</v>
      </c>
      <c r="J22" s="1340"/>
      <c r="K22" s="1340"/>
      <c r="L22" s="1337">
        <f t="shared" si="2"/>
        <v>855361</v>
      </c>
      <c r="M22" s="1340"/>
    </row>
    <row r="23" spans="2:14" ht="20.100000000000001" customHeight="1" x14ac:dyDescent="0.2">
      <c r="B23" s="1334" t="s">
        <v>2136</v>
      </c>
      <c r="C23" s="1338" t="s">
        <v>2138</v>
      </c>
      <c r="D23" s="1339" t="s">
        <v>2139</v>
      </c>
      <c r="E23" s="1340">
        <v>5707</v>
      </c>
      <c r="F23" s="1340">
        <v>6800</v>
      </c>
      <c r="G23" s="1340">
        <v>12507</v>
      </c>
      <c r="H23" s="1340"/>
      <c r="I23" s="1340"/>
      <c r="J23" s="1340"/>
      <c r="K23" s="1340"/>
      <c r="L23" s="1337">
        <f t="shared" si="2"/>
        <v>12507</v>
      </c>
      <c r="M23" s="1340">
        <v>12627</v>
      </c>
    </row>
    <row r="24" spans="2:14" ht="20.100000000000001" customHeight="1" x14ac:dyDescent="0.2">
      <c r="B24" s="1334" t="s">
        <v>2136</v>
      </c>
      <c r="C24" s="1338" t="s">
        <v>2138</v>
      </c>
      <c r="D24" s="1339" t="s">
        <v>2140</v>
      </c>
      <c r="E24" s="1340"/>
      <c r="F24" s="1340">
        <v>5178</v>
      </c>
      <c r="G24" s="1340"/>
      <c r="H24" s="1340"/>
      <c r="I24" s="1340">
        <v>5419</v>
      </c>
      <c r="J24" s="1340"/>
      <c r="K24" s="1340"/>
      <c r="L24" s="1337">
        <f t="shared" si="2"/>
        <v>5419</v>
      </c>
      <c r="M24" s="1340">
        <v>7631</v>
      </c>
    </row>
    <row r="25" spans="2:14" ht="20.100000000000001" customHeight="1" x14ac:dyDescent="0.2">
      <c r="B25" s="1334" t="s">
        <v>2126</v>
      </c>
      <c r="C25" s="1338"/>
      <c r="D25" s="1339"/>
      <c r="E25" s="1340">
        <v>5707</v>
      </c>
      <c r="F25" s="1340">
        <v>11978</v>
      </c>
      <c r="G25" s="1340">
        <v>12507</v>
      </c>
      <c r="H25" s="1340"/>
      <c r="I25" s="1340">
        <v>5419</v>
      </c>
      <c r="J25" s="1340"/>
      <c r="K25" s="1340"/>
      <c r="L25" s="1337">
        <f t="shared" si="2"/>
        <v>17926</v>
      </c>
      <c r="M25" s="1340"/>
    </row>
    <row r="26" spans="2:14" ht="20.100000000000001" customHeight="1" x14ac:dyDescent="0.2">
      <c r="B26" s="1334" t="s">
        <v>2137</v>
      </c>
      <c r="C26" s="1338"/>
      <c r="D26" s="1339"/>
      <c r="E26" s="1340">
        <v>338140</v>
      </c>
      <c r="F26" s="1340">
        <v>448754</v>
      </c>
      <c r="G26" s="1340">
        <v>427038</v>
      </c>
      <c r="H26" s="1340"/>
      <c r="I26" s="1340">
        <v>446249</v>
      </c>
      <c r="J26" s="1340"/>
      <c r="K26" s="1340"/>
      <c r="L26" s="1337">
        <f t="shared" si="2"/>
        <v>873287</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M22" sqref="M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Rochester CUSD 3A</v>
      </c>
      <c r="C1" s="2433"/>
      <c r="D1" s="2433"/>
      <c r="E1" s="2433"/>
      <c r="F1" s="2433"/>
      <c r="G1" s="2433"/>
      <c r="H1" s="2433"/>
      <c r="I1" s="2433"/>
      <c r="J1" s="2433"/>
      <c r="K1" s="2433"/>
      <c r="L1" s="2433"/>
      <c r="M1" s="2433"/>
    </row>
    <row r="2" spans="2:14" ht="15" x14ac:dyDescent="0.2">
      <c r="B2" s="2434" t="str">
        <f>'Single Audit Cover'!E7</f>
        <v>51084003A26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2143</v>
      </c>
      <c r="C12" s="1338" t="s">
        <v>2144</v>
      </c>
      <c r="D12" s="1339" t="s">
        <v>2145</v>
      </c>
      <c r="E12" s="1340">
        <v>1813</v>
      </c>
      <c r="F12" s="1340">
        <v>7883</v>
      </c>
      <c r="G12" s="1340">
        <v>9696</v>
      </c>
      <c r="H12" s="1340"/>
      <c r="I12" s="1340"/>
      <c r="J12" s="1340"/>
      <c r="K12" s="1340"/>
      <c r="L12" s="1337">
        <f t="shared" ref="L12:L27" si="0">+G12+I12+K12</f>
        <v>9696</v>
      </c>
      <c r="M12" s="1340">
        <v>10000</v>
      </c>
    </row>
    <row r="13" spans="2:14" ht="20.100000000000001" customHeight="1" x14ac:dyDescent="0.2">
      <c r="B13" s="1334" t="s">
        <v>2143</v>
      </c>
      <c r="C13" s="1338" t="s">
        <v>2144</v>
      </c>
      <c r="D13" s="1339" t="s">
        <v>2146</v>
      </c>
      <c r="E13" s="1340"/>
      <c r="F13" s="1340">
        <v>16175</v>
      </c>
      <c r="G13" s="1340"/>
      <c r="H13" s="1340"/>
      <c r="I13" s="1340">
        <v>25763</v>
      </c>
      <c r="J13" s="1340"/>
      <c r="K13" s="1340"/>
      <c r="L13" s="1337">
        <f t="shared" si="0"/>
        <v>25763</v>
      </c>
      <c r="M13" s="1340">
        <v>26406</v>
      </c>
    </row>
    <row r="14" spans="2:14" ht="20.100000000000001" customHeight="1" x14ac:dyDescent="0.2">
      <c r="B14" s="1334" t="s">
        <v>2147</v>
      </c>
      <c r="C14" s="1338"/>
      <c r="D14" s="1339"/>
      <c r="E14" s="1340">
        <v>1813</v>
      </c>
      <c r="F14" s="1340">
        <v>24058</v>
      </c>
      <c r="G14" s="1340">
        <v>9696</v>
      </c>
      <c r="H14" s="1340"/>
      <c r="I14" s="1340">
        <v>25763</v>
      </c>
      <c r="J14" s="1340"/>
      <c r="K14" s="1340"/>
      <c r="L14" s="1337">
        <f t="shared" si="0"/>
        <v>35459</v>
      </c>
      <c r="M14" s="1340"/>
    </row>
    <row r="15" spans="2:14" ht="20.100000000000001" customHeight="1" x14ac:dyDescent="0.2">
      <c r="B15" s="1334" t="s">
        <v>2148</v>
      </c>
      <c r="C15" s="1338" t="s">
        <v>2149</v>
      </c>
      <c r="D15" s="1339" t="s">
        <v>2150</v>
      </c>
      <c r="E15" s="1340">
        <v>4832</v>
      </c>
      <c r="F15" s="1340">
        <v>3216</v>
      </c>
      <c r="G15" s="1340">
        <v>8048</v>
      </c>
      <c r="H15" s="1340"/>
      <c r="I15" s="1340"/>
      <c r="J15" s="1340"/>
      <c r="K15" s="1340"/>
      <c r="L15" s="1337">
        <f t="shared" si="0"/>
        <v>8048</v>
      </c>
      <c r="M15" s="1340">
        <v>62270</v>
      </c>
    </row>
    <row r="16" spans="2:14" ht="20.100000000000001" customHeight="1" x14ac:dyDescent="0.2">
      <c r="B16" s="1334" t="s">
        <v>2148</v>
      </c>
      <c r="C16" s="1338" t="s">
        <v>2149</v>
      </c>
      <c r="D16" s="1339" t="s">
        <v>2151</v>
      </c>
      <c r="E16" s="1340"/>
      <c r="F16" s="1340">
        <v>1281</v>
      </c>
      <c r="G16" s="1340"/>
      <c r="H16" s="1340"/>
      <c r="I16" s="1340">
        <v>13589</v>
      </c>
      <c r="J16" s="1340"/>
      <c r="K16" s="1340"/>
      <c r="L16" s="1337">
        <f t="shared" ref="L16:L26" si="1">+G16+I16+K16</f>
        <v>13589</v>
      </c>
      <c r="M16" s="1340">
        <v>75751</v>
      </c>
    </row>
    <row r="17" spans="2:14" ht="20.100000000000001" customHeight="1" x14ac:dyDescent="0.2">
      <c r="B17" s="1334" t="s">
        <v>2152</v>
      </c>
      <c r="C17" s="1338"/>
      <c r="D17" s="1339"/>
      <c r="E17" s="1340">
        <v>4832</v>
      </c>
      <c r="F17" s="1340">
        <v>4497</v>
      </c>
      <c r="G17" s="1340">
        <v>8048</v>
      </c>
      <c r="H17" s="1340"/>
      <c r="I17" s="1340">
        <v>13589</v>
      </c>
      <c r="J17" s="1340"/>
      <c r="K17" s="1340"/>
      <c r="L17" s="1337">
        <f t="shared" si="1"/>
        <v>21637</v>
      </c>
      <c r="M17" s="1340"/>
    </row>
    <row r="18" spans="2:14" ht="20.100000000000001" customHeight="1" x14ac:dyDescent="0.2">
      <c r="B18" s="1334" t="s">
        <v>2153</v>
      </c>
      <c r="C18" s="1338"/>
      <c r="D18" s="1339"/>
      <c r="E18" s="1340">
        <v>476329</v>
      </c>
      <c r="F18" s="1340">
        <v>722186</v>
      </c>
      <c r="G18" s="1340">
        <v>644225</v>
      </c>
      <c r="H18" s="1340"/>
      <c r="I18" s="1340">
        <v>725598</v>
      </c>
      <c r="J18" s="1340"/>
      <c r="K18" s="1340"/>
      <c r="L18" s="1337">
        <f t="shared" si="1"/>
        <v>1369823</v>
      </c>
      <c r="M18" s="1340"/>
    </row>
    <row r="19" spans="2:14" ht="20.100000000000001" customHeight="1" x14ac:dyDescent="0.2">
      <c r="B19" s="1334" t="s">
        <v>2154</v>
      </c>
      <c r="C19" s="1338"/>
      <c r="D19" s="1339"/>
      <c r="E19" s="1340"/>
      <c r="F19" s="1340"/>
      <c r="G19" s="1340"/>
      <c r="H19" s="1340"/>
      <c r="I19" s="1340"/>
      <c r="J19" s="1340"/>
      <c r="K19" s="1340"/>
      <c r="L19" s="1337">
        <f t="shared" si="1"/>
        <v>0</v>
      </c>
      <c r="M19" s="1340"/>
    </row>
    <row r="20" spans="2:14" ht="20.100000000000001" customHeight="1" x14ac:dyDescent="0.2">
      <c r="B20" s="1334" t="s">
        <v>2155</v>
      </c>
      <c r="C20" s="1338">
        <v>84.126000000000005</v>
      </c>
      <c r="D20" s="1339"/>
      <c r="E20" s="1340">
        <v>28315</v>
      </c>
      <c r="F20" s="1340"/>
      <c r="G20" s="1340">
        <v>28315</v>
      </c>
      <c r="H20" s="1340"/>
      <c r="I20" s="1340"/>
      <c r="J20" s="1340"/>
      <c r="K20" s="1340"/>
      <c r="L20" s="1337">
        <f t="shared" si="1"/>
        <v>28315</v>
      </c>
      <c r="M20" s="1340">
        <v>28315</v>
      </c>
    </row>
    <row r="21" spans="2:14" ht="20.100000000000001" customHeight="1" x14ac:dyDescent="0.2">
      <c r="B21" s="1334" t="s">
        <v>2155</v>
      </c>
      <c r="C21" s="1338">
        <v>84.126000000000005</v>
      </c>
      <c r="D21" s="1339" t="s">
        <v>2156</v>
      </c>
      <c r="E21" s="1340"/>
      <c r="F21" s="1340">
        <v>32136</v>
      </c>
      <c r="G21" s="1340"/>
      <c r="H21" s="1340"/>
      <c r="I21" s="1340">
        <v>39819</v>
      </c>
      <c r="J21" s="1340"/>
      <c r="K21" s="1340"/>
      <c r="L21" s="1337">
        <f t="shared" si="1"/>
        <v>39819</v>
      </c>
      <c r="M21" s="1340">
        <v>39819</v>
      </c>
    </row>
    <row r="22" spans="2:14" ht="20.100000000000001" customHeight="1" x14ac:dyDescent="0.2">
      <c r="B22" s="1334" t="s">
        <v>2157</v>
      </c>
      <c r="C22" s="1338"/>
      <c r="D22" s="1339"/>
      <c r="E22" s="1340">
        <v>28315</v>
      </c>
      <c r="F22" s="1340">
        <v>32136</v>
      </c>
      <c r="G22" s="1340">
        <v>28315</v>
      </c>
      <c r="H22" s="1340"/>
      <c r="I22" s="1340">
        <v>39819</v>
      </c>
      <c r="J22" s="1340"/>
      <c r="K22" s="1340"/>
      <c r="L22" s="1337">
        <f t="shared" si="1"/>
        <v>68134</v>
      </c>
      <c r="M22" s="1340"/>
    </row>
    <row r="23" spans="2:14" ht="20.100000000000001" customHeight="1" x14ac:dyDescent="0.2">
      <c r="B23" s="1334"/>
      <c r="C23" s="1338"/>
      <c r="D23" s="1339"/>
      <c r="E23" s="1340"/>
      <c r="F23" s="1340"/>
      <c r="G23" s="1340"/>
      <c r="H23" s="1340"/>
      <c r="I23" s="1340"/>
      <c r="J23" s="1340"/>
      <c r="K23" s="1340"/>
      <c r="L23" s="1337">
        <f t="shared" si="1"/>
        <v>0</v>
      </c>
      <c r="M23" s="1340"/>
    </row>
    <row r="24" spans="2:14" ht="20.100000000000001" customHeight="1" x14ac:dyDescent="0.2">
      <c r="B24" s="1334" t="s">
        <v>2158</v>
      </c>
      <c r="C24" s="1338"/>
      <c r="D24" s="1339"/>
      <c r="E24" s="1340">
        <v>504644</v>
      </c>
      <c r="F24" s="1340">
        <v>754322</v>
      </c>
      <c r="G24" s="1340">
        <v>672540</v>
      </c>
      <c r="H24" s="1340"/>
      <c r="I24" s="1340">
        <v>765417</v>
      </c>
      <c r="J24" s="1340"/>
      <c r="K24" s="1340"/>
      <c r="L24" s="1337">
        <f t="shared" si="1"/>
        <v>1437957</v>
      </c>
      <c r="M24" s="1340"/>
    </row>
    <row r="25" spans="2:14" ht="20.100000000000001" customHeight="1" x14ac:dyDescent="0.2">
      <c r="B25" s="1334"/>
      <c r="C25" s="1338"/>
      <c r="D25" s="1339"/>
      <c r="E25" s="1340"/>
      <c r="F25" s="1340"/>
      <c r="G25" s="1340"/>
      <c r="H25" s="1340"/>
      <c r="I25" s="1340"/>
      <c r="J25" s="1340"/>
      <c r="K25" s="1340"/>
      <c r="L25" s="1337">
        <f t="shared" si="1"/>
        <v>0</v>
      </c>
      <c r="M25" s="1340"/>
    </row>
    <row r="26" spans="2:14" ht="20.100000000000001" customHeight="1" x14ac:dyDescent="0.2">
      <c r="B26" s="1334"/>
      <c r="C26" s="1338"/>
      <c r="D26" s="1339"/>
      <c r="E26" s="1340"/>
      <c r="F26" s="1340"/>
      <c r="G26" s="1340"/>
      <c r="H26" s="1340"/>
      <c r="I26" s="1340"/>
      <c r="J26" s="1340"/>
      <c r="K26" s="1340"/>
      <c r="L26" s="1337">
        <f t="shared" si="1"/>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35374</v>
      </c>
      <c r="I53" s="237" t="s">
        <v>1483</v>
      </c>
    </row>
    <row r="54" spans="1:10" s="181" customFormat="1" x14ac:dyDescent="0.2">
      <c r="A54" s="219"/>
      <c r="B54" s="220" t="s">
        <v>2075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2084</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2085</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2189</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M25" sqref="M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Rochester CUSD 3A</v>
      </c>
      <c r="C1" s="2433"/>
      <c r="D1" s="2433"/>
      <c r="E1" s="2433"/>
      <c r="F1" s="2433"/>
      <c r="G1" s="2433"/>
      <c r="H1" s="2433"/>
      <c r="I1" s="2433"/>
      <c r="J1" s="2433"/>
      <c r="K1" s="2433"/>
      <c r="L1" s="2433"/>
      <c r="M1" s="2433"/>
    </row>
    <row r="2" spans="2:14" ht="15" x14ac:dyDescent="0.2">
      <c r="B2" s="2434" t="str">
        <f>'Single Audit Cover'!E7</f>
        <v>51084003A26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2159</v>
      </c>
      <c r="C11" s="1335"/>
      <c r="D11" s="1336"/>
      <c r="E11" s="1337"/>
      <c r="F11" s="1337"/>
      <c r="G11" s="1337"/>
      <c r="H11" s="1337"/>
      <c r="I11" s="1337"/>
      <c r="J11" s="1337"/>
      <c r="K11" s="1337"/>
      <c r="L11" s="1337">
        <f>+G11+I11+K11</f>
        <v>0</v>
      </c>
      <c r="M11" s="1337"/>
    </row>
    <row r="12" spans="2:14" ht="20.100000000000001" customHeight="1" x14ac:dyDescent="0.2">
      <c r="B12" s="1334" t="s">
        <v>2160</v>
      </c>
      <c r="C12" s="1338"/>
      <c r="D12" s="1339"/>
      <c r="E12" s="1340"/>
      <c r="F12" s="1340"/>
      <c r="G12" s="1340"/>
      <c r="H12" s="1340"/>
      <c r="I12" s="1340"/>
      <c r="J12" s="1340"/>
      <c r="K12" s="1340"/>
      <c r="L12" s="1337">
        <f t="shared" ref="L12:L27" si="0">+G12+I12+K12</f>
        <v>0</v>
      </c>
      <c r="M12" s="1340"/>
    </row>
    <row r="13" spans="2:14" ht="20.100000000000001" customHeight="1" x14ac:dyDescent="0.2">
      <c r="B13" s="1334" t="s">
        <v>2161</v>
      </c>
      <c r="C13" s="1338">
        <v>10.555</v>
      </c>
      <c r="D13" s="1339">
        <v>2018</v>
      </c>
      <c r="E13" s="1340">
        <v>21389</v>
      </c>
      <c r="F13" s="1340"/>
      <c r="G13" s="1340">
        <v>21389</v>
      </c>
      <c r="H13" s="1340"/>
      <c r="I13" s="1340"/>
      <c r="J13" s="1340"/>
      <c r="K13" s="1340"/>
      <c r="L13" s="1337">
        <f t="shared" si="0"/>
        <v>21389</v>
      </c>
      <c r="M13" s="1340" t="s">
        <v>2174</v>
      </c>
    </row>
    <row r="14" spans="2:14" ht="20.100000000000001" customHeight="1" x14ac:dyDescent="0.2">
      <c r="B14" s="1334" t="s">
        <v>2162</v>
      </c>
      <c r="C14" s="1338">
        <v>10.555</v>
      </c>
      <c r="D14" s="1339">
        <v>2018</v>
      </c>
      <c r="E14" s="1340">
        <v>12919</v>
      </c>
      <c r="F14" s="1340"/>
      <c r="G14" s="1340">
        <v>12919</v>
      </c>
      <c r="H14" s="1340"/>
      <c r="I14" s="1340"/>
      <c r="J14" s="1340"/>
      <c r="K14" s="1340"/>
      <c r="L14" s="1337">
        <f t="shared" si="0"/>
        <v>12919</v>
      </c>
      <c r="M14" s="1340" t="s">
        <v>2174</v>
      </c>
    </row>
    <row r="15" spans="2:14" ht="20.100000000000001" customHeight="1" x14ac:dyDescent="0.2">
      <c r="B15" s="1334" t="s">
        <v>2161</v>
      </c>
      <c r="C15" s="1338">
        <v>10.555</v>
      </c>
      <c r="D15" s="1339">
        <v>2019</v>
      </c>
      <c r="E15" s="1340"/>
      <c r="F15" s="1340">
        <v>17953</v>
      </c>
      <c r="G15" s="1340"/>
      <c r="H15" s="1340"/>
      <c r="I15" s="1340">
        <v>17953</v>
      </c>
      <c r="J15" s="1340"/>
      <c r="K15" s="1340"/>
      <c r="L15" s="1337">
        <f t="shared" si="0"/>
        <v>17953</v>
      </c>
      <c r="M15" s="1340" t="s">
        <v>2174</v>
      </c>
    </row>
    <row r="16" spans="2:14" ht="20.100000000000001" customHeight="1" x14ac:dyDescent="0.2">
      <c r="B16" s="1334" t="s">
        <v>2163</v>
      </c>
      <c r="C16" s="1338">
        <v>10.555</v>
      </c>
      <c r="D16" s="1339">
        <v>2019</v>
      </c>
      <c r="E16" s="1340"/>
      <c r="F16" s="1340">
        <v>13942</v>
      </c>
      <c r="G16" s="1340"/>
      <c r="H16" s="1340"/>
      <c r="I16" s="1340">
        <v>13942</v>
      </c>
      <c r="J16" s="1340"/>
      <c r="K16" s="1340"/>
      <c r="L16" s="1337">
        <f t="shared" ref="L16:L26" si="1">+G16+I16+K16</f>
        <v>13942</v>
      </c>
      <c r="M16" s="1340" t="s">
        <v>2174</v>
      </c>
    </row>
    <row r="17" spans="2:14" ht="20.100000000000001" customHeight="1" x14ac:dyDescent="0.2">
      <c r="B17" s="1334" t="s">
        <v>1058</v>
      </c>
      <c r="C17" s="1338">
        <v>10.555</v>
      </c>
      <c r="D17" s="1339" t="s">
        <v>2164</v>
      </c>
      <c r="E17" s="1340">
        <v>77442</v>
      </c>
      <c r="F17" s="1340">
        <v>16865</v>
      </c>
      <c r="G17" s="1340">
        <v>87123</v>
      </c>
      <c r="H17" s="1340"/>
      <c r="I17" s="1340">
        <v>7185</v>
      </c>
      <c r="J17" s="1340"/>
      <c r="K17" s="1340"/>
      <c r="L17" s="1337">
        <f t="shared" si="1"/>
        <v>94308</v>
      </c>
      <c r="M17" s="1340" t="s">
        <v>2174</v>
      </c>
    </row>
    <row r="18" spans="2:14" ht="20.100000000000001" customHeight="1" x14ac:dyDescent="0.2">
      <c r="B18" s="1334" t="s">
        <v>1058</v>
      </c>
      <c r="C18" s="1338">
        <v>10.555</v>
      </c>
      <c r="D18" s="1339" t="s">
        <v>2165</v>
      </c>
      <c r="E18" s="1340"/>
      <c r="F18" s="1340">
        <v>66611</v>
      </c>
      <c r="G18" s="1340"/>
      <c r="H18" s="1340"/>
      <c r="I18" s="1340">
        <v>74938</v>
      </c>
      <c r="J18" s="1340"/>
      <c r="K18" s="1340"/>
      <c r="L18" s="1337">
        <f t="shared" si="1"/>
        <v>74938</v>
      </c>
      <c r="M18" s="1340" t="s">
        <v>2174</v>
      </c>
    </row>
    <row r="19" spans="2:14" ht="20.100000000000001" customHeight="1" x14ac:dyDescent="0.2">
      <c r="B19" s="1334" t="s">
        <v>2166</v>
      </c>
      <c r="C19" s="1338"/>
      <c r="D19" s="1339"/>
      <c r="E19" s="1340">
        <v>111750</v>
      </c>
      <c r="F19" s="1340">
        <v>115371</v>
      </c>
      <c r="G19" s="1340">
        <v>121431</v>
      </c>
      <c r="H19" s="1340"/>
      <c r="I19" s="1340">
        <v>114018</v>
      </c>
      <c r="J19" s="1340"/>
      <c r="K19" s="1340"/>
      <c r="L19" s="1337">
        <f t="shared" si="1"/>
        <v>235449</v>
      </c>
      <c r="M19" s="1340"/>
    </row>
    <row r="20" spans="2:14" ht="20.100000000000001" customHeight="1" x14ac:dyDescent="0.2">
      <c r="B20" s="1334"/>
      <c r="C20" s="1338"/>
      <c r="D20" s="1339"/>
      <c r="E20" s="1340"/>
      <c r="F20" s="1340"/>
      <c r="G20" s="1340"/>
      <c r="H20" s="1340"/>
      <c r="I20" s="1340"/>
      <c r="J20" s="1340"/>
      <c r="K20" s="1340"/>
      <c r="L20" s="1337">
        <f t="shared" si="1"/>
        <v>0</v>
      </c>
      <c r="M20" s="1340"/>
    </row>
    <row r="21" spans="2:14" ht="20.100000000000001" customHeight="1" x14ac:dyDescent="0.2">
      <c r="B21" s="1334" t="s">
        <v>2167</v>
      </c>
      <c r="C21" s="1338"/>
      <c r="D21" s="1339"/>
      <c r="E21" s="1340"/>
      <c r="F21" s="1340"/>
      <c r="G21" s="1340"/>
      <c r="H21" s="1340"/>
      <c r="I21" s="1340"/>
      <c r="J21" s="1340"/>
      <c r="K21" s="1340"/>
      <c r="L21" s="1337">
        <f t="shared" si="1"/>
        <v>0</v>
      </c>
      <c r="M21" s="1340"/>
    </row>
    <row r="22" spans="2:14" ht="20.100000000000001" customHeight="1" x14ac:dyDescent="0.2">
      <c r="B22" s="1334" t="s">
        <v>2168</v>
      </c>
      <c r="C22" s="1338"/>
      <c r="D22" s="1339"/>
      <c r="E22" s="1340"/>
      <c r="F22" s="1340"/>
      <c r="G22" s="1340"/>
      <c r="H22" s="1340"/>
      <c r="I22" s="1340"/>
      <c r="J22" s="1340"/>
      <c r="K22" s="1340"/>
      <c r="L22" s="1337">
        <f t="shared" si="1"/>
        <v>0</v>
      </c>
      <c r="M22" s="1340"/>
    </row>
    <row r="23" spans="2:14" ht="20.100000000000001" customHeight="1" x14ac:dyDescent="0.2">
      <c r="B23" s="1334" t="s">
        <v>2169</v>
      </c>
      <c r="C23" s="1338">
        <v>93.778000000000006</v>
      </c>
      <c r="D23" s="1339">
        <v>2018</v>
      </c>
      <c r="E23" s="1340">
        <v>16220</v>
      </c>
      <c r="F23" s="1340">
        <v>22267</v>
      </c>
      <c r="G23" s="1340">
        <v>21627</v>
      </c>
      <c r="H23" s="1340"/>
      <c r="I23" s="1340">
        <v>16860</v>
      </c>
      <c r="J23" s="1340"/>
      <c r="K23" s="1340"/>
      <c r="L23" s="1337">
        <f t="shared" si="1"/>
        <v>38487</v>
      </c>
      <c r="M23" s="1340" t="s">
        <v>2174</v>
      </c>
    </row>
    <row r="24" spans="2:14" ht="20.100000000000001" customHeight="1" x14ac:dyDescent="0.2">
      <c r="B24" s="1334" t="s">
        <v>2169</v>
      </c>
      <c r="C24" s="1338">
        <v>93.778000000000006</v>
      </c>
      <c r="D24" s="1339">
        <v>2019</v>
      </c>
      <c r="E24" s="1340"/>
      <c r="F24" s="1340">
        <v>21043</v>
      </c>
      <c r="G24" s="1340"/>
      <c r="H24" s="1340"/>
      <c r="I24" s="1340">
        <v>26669</v>
      </c>
      <c r="J24" s="1340"/>
      <c r="K24" s="1340"/>
      <c r="L24" s="1337">
        <f t="shared" si="1"/>
        <v>26669</v>
      </c>
      <c r="M24" s="1340" t="s">
        <v>2174</v>
      </c>
    </row>
    <row r="25" spans="2:14" ht="20.100000000000001" customHeight="1" x14ac:dyDescent="0.2">
      <c r="B25" s="1334" t="s">
        <v>2170</v>
      </c>
      <c r="C25" s="1338"/>
      <c r="D25" s="1339"/>
      <c r="E25" s="1340">
        <v>16220</v>
      </c>
      <c r="F25" s="1340">
        <v>43310</v>
      </c>
      <c r="G25" s="1340">
        <v>21627</v>
      </c>
      <c r="H25" s="1340"/>
      <c r="I25" s="1340">
        <v>43530</v>
      </c>
      <c r="J25" s="1340"/>
      <c r="K25" s="1340"/>
      <c r="L25" s="1337">
        <f t="shared" si="1"/>
        <v>65157</v>
      </c>
      <c r="M25" s="1340"/>
    </row>
    <row r="26" spans="2:14" ht="20.100000000000001" customHeight="1" x14ac:dyDescent="0.2">
      <c r="B26" s="1334"/>
      <c r="C26" s="1338"/>
      <c r="D26" s="1339"/>
      <c r="E26" s="1340"/>
      <c r="F26" s="1340"/>
      <c r="G26" s="1340"/>
      <c r="H26" s="1340"/>
      <c r="I26" s="1340"/>
      <c r="J26" s="1340"/>
      <c r="K26" s="1340"/>
      <c r="L26" s="1337">
        <f t="shared" si="1"/>
        <v>0</v>
      </c>
      <c r="M26" s="1340"/>
    </row>
    <row r="27" spans="2:14" ht="20.100000000000001" customHeight="1" x14ac:dyDescent="0.2">
      <c r="B27" s="1334" t="s">
        <v>2171</v>
      </c>
      <c r="C27" s="1338"/>
      <c r="D27" s="1339"/>
      <c r="E27" s="1340">
        <v>632614</v>
      </c>
      <c r="F27" s="1340">
        <v>913003</v>
      </c>
      <c r="G27" s="1340">
        <v>815598</v>
      </c>
      <c r="H27" s="1340"/>
      <c r="I27" s="1340">
        <v>922965</v>
      </c>
      <c r="J27" s="1340"/>
      <c r="K27" s="1340"/>
      <c r="L27" s="1337">
        <f t="shared" si="0"/>
        <v>1738563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40"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Rochester CUSD 3A</v>
      </c>
      <c r="B1" s="2446"/>
      <c r="C1" s="2446"/>
      <c r="D1" s="2446"/>
      <c r="E1" s="2446"/>
      <c r="F1" s="2446"/>
    </row>
    <row r="2" spans="1:7" ht="13.5" customHeight="1" x14ac:dyDescent="0.2">
      <c r="A2" s="2434" t="str">
        <f>'Single Audit Cover'!E7</f>
        <v>51084003A26</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t="s">
        <v>2075</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2187</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17953</v>
      </c>
      <c r="D33" s="1903"/>
      <c r="E33" s="1283"/>
    </row>
    <row r="34" spans="1:6" ht="13.5" customHeight="1" x14ac:dyDescent="0.2">
      <c r="A34" s="328" t="s">
        <v>1838</v>
      </c>
      <c r="B34" s="328"/>
      <c r="C34" s="1286">
        <v>13942</v>
      </c>
      <c r="D34" s="1903" t="s">
        <v>1589</v>
      </c>
      <c r="E34" s="2440">
        <f>+C33+C34</f>
        <v>31895</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D30" sqref="D3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Rochester CUSD 3A</v>
      </c>
      <c r="C1" s="2461"/>
      <c r="D1" s="2461"/>
      <c r="E1" s="2461"/>
      <c r="F1" s="2461"/>
      <c r="G1" s="2461"/>
      <c r="H1" s="2461"/>
      <c r="I1" s="2461"/>
      <c r="J1" s="1406"/>
    </row>
    <row r="2" spans="2:10" s="317" customFormat="1" ht="12.75" customHeight="1" x14ac:dyDescent="0.2">
      <c r="B2" s="2462" t="str">
        <f>'Single Audit Cover'!E7</f>
        <v>51084003A26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820</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2075</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2075</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2075</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2075</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2075</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t="s">
        <v>2185</v>
      </c>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2075</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t="s">
        <v>2172</v>
      </c>
      <c r="C38" s="2456" t="s">
        <v>2173</v>
      </c>
      <c r="D38" s="2457"/>
      <c r="E38" s="2457"/>
      <c r="F38" s="2458"/>
      <c r="G38" s="2471">
        <v>446249</v>
      </c>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446249</v>
      </c>
      <c r="H43" s="2452"/>
      <c r="I43" s="2452"/>
    </row>
    <row r="44" spans="2:9" ht="12.75" customHeight="1" x14ac:dyDescent="0.2"/>
    <row r="45" spans="2:9" ht="12.75" customHeight="1" x14ac:dyDescent="0.2">
      <c r="B45" s="1419" t="s">
        <v>1841</v>
      </c>
      <c r="D45" s="2453">
        <v>922965</v>
      </c>
      <c r="E45" s="2454"/>
    </row>
    <row r="46" spans="2:9" ht="5.25" customHeight="1" x14ac:dyDescent="0.2">
      <c r="B46" s="1429"/>
      <c r="D46" s="1430"/>
      <c r="E46" s="1431"/>
    </row>
    <row r="47" spans="2:9" ht="12.75" customHeight="1" x14ac:dyDescent="0.2">
      <c r="B47" s="1297" t="s">
        <v>1594</v>
      </c>
      <c r="C47" s="1297"/>
      <c r="D47" s="1432">
        <f>+G43/D45</f>
        <v>0.48349504044032005</v>
      </c>
      <c r="E47" s="1433"/>
      <c r="F47" s="1434"/>
      <c r="I47" s="1435"/>
    </row>
    <row r="48" spans="2:9" ht="9.9499999999999993" customHeight="1" x14ac:dyDescent="0.2"/>
    <row r="49" spans="1:9" x14ac:dyDescent="0.2">
      <c r="B49" s="1365" t="s">
        <v>1273</v>
      </c>
      <c r="C49" s="1279"/>
      <c r="D49" s="1279"/>
      <c r="E49" s="2455">
        <v>750000</v>
      </c>
      <c r="F49" s="2455"/>
      <c r="G49" s="2455"/>
      <c r="H49" s="322"/>
    </row>
    <row r="51" spans="1:9" ht="13.5" customHeight="1" x14ac:dyDescent="0.2">
      <c r="B51" s="1365" t="s">
        <v>1272</v>
      </c>
      <c r="C51" s="1279"/>
      <c r="E51" s="1422" t="s">
        <v>2075</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Rochester CUSD 3A</v>
      </c>
      <c r="C1" s="2460"/>
      <c r="D1" s="2460"/>
      <c r="E1" s="2460"/>
      <c r="F1" s="2460"/>
      <c r="G1" s="2460"/>
      <c r="H1" s="2460"/>
      <c r="I1" s="2460"/>
      <c r="J1" s="2460"/>
      <c r="K1" s="2460"/>
      <c r="L1" s="1371"/>
      <c r="M1" s="1371"/>
    </row>
    <row r="2" spans="1:13" ht="12" customHeight="1" x14ac:dyDescent="0.2">
      <c r="B2" s="2462" t="str">
        <f>'Single Audit Cover'!E7</f>
        <v>51084003A26</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t="s">
        <v>2174</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Rochester CUSD 3A</v>
      </c>
      <c r="C1" s="2483"/>
      <c r="D1" s="2483"/>
      <c r="E1" s="2483"/>
      <c r="F1" s="2483"/>
      <c r="G1" s="2483"/>
      <c r="H1" s="2483"/>
      <c r="I1" s="2483"/>
      <c r="J1" s="2483"/>
      <c r="K1" s="2483"/>
      <c r="L1" s="1449"/>
    </row>
    <row r="2" spans="1:12" ht="12.75" customHeight="1" x14ac:dyDescent="0.2">
      <c r="B2" s="2484" t="str">
        <f>'Single Audit Cover'!E7</f>
        <v>51084003A26</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t="s">
        <v>2174</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Rochester CUSD 3A</v>
      </c>
      <c r="C1" s="2460"/>
      <c r="D1" s="2460"/>
      <c r="E1" s="1469"/>
    </row>
    <row r="2" spans="2:5" s="1279" customFormat="1" ht="12.75" customHeight="1" x14ac:dyDescent="0.2">
      <c r="B2" s="2462" t="str">
        <f>'Single Audit Cover'!E7</f>
        <v>51084003A26</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2186</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275846487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2.4427999999999998E-2</v>
      </c>
      <c r="E10" s="356" t="s">
        <v>1005</v>
      </c>
      <c r="F10" s="355">
        <v>6.3299999999999997E-3</v>
      </c>
      <c r="G10" s="356" t="s">
        <v>1005</v>
      </c>
      <c r="H10" s="355">
        <v>1.9980000000000002E-3</v>
      </c>
      <c r="I10" s="356" t="s">
        <v>1006</v>
      </c>
      <c r="J10" s="1732">
        <f>ROUND(D10+F10+H10,5)</f>
        <v>3.2759999999999997E-2</v>
      </c>
      <c r="K10" s="222"/>
      <c r="L10" s="355">
        <v>4.2700000000000002E-4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19517216</v>
      </c>
      <c r="E16" s="356"/>
      <c r="F16" s="1733">
        <f>SUM('Acct Summary 7-8'!C17,'Acct Summary 7-8'!D17,'Acct Summary 7-8'!F17)</f>
        <v>19108009</v>
      </c>
      <c r="G16" s="356"/>
      <c r="H16" s="1733">
        <f>SUM(D16-F16)</f>
        <v>409207</v>
      </c>
      <c r="I16" s="222"/>
      <c r="J16" s="1733">
        <f>SUM('Acct Summary 7-8'!C81,'Acct Summary 7-8'!D81,'Acct Summary 7-8'!F81,'Acct Summary 7-8'!I81)</f>
        <v>7709634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38066815.206</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36740000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Rochester CUSD 3A</v>
      </c>
      <c r="E7" s="391"/>
      <c r="G7" s="252"/>
      <c r="H7" s="387"/>
      <c r="I7" s="387"/>
      <c r="J7" s="387"/>
      <c r="K7" s="387"/>
      <c r="L7" s="329"/>
      <c r="M7" s="329"/>
      <c r="N7" s="329"/>
      <c r="O7" s="329"/>
      <c r="P7" s="329"/>
    </row>
    <row r="8" spans="1:18" ht="12.75" x14ac:dyDescent="0.2">
      <c r="A8" s="329"/>
      <c r="B8" s="329"/>
      <c r="C8" s="389" t="s">
        <v>1125</v>
      </c>
      <c r="D8" s="392" t="str">
        <f>COVER!A13</f>
        <v>51084003A26</v>
      </c>
      <c r="E8" s="393"/>
      <c r="G8" s="329"/>
      <c r="H8" s="329"/>
      <c r="I8" s="329"/>
      <c r="J8" s="329"/>
      <c r="K8" s="329"/>
      <c r="L8" s="329"/>
      <c r="M8" s="329"/>
      <c r="N8" s="329"/>
      <c r="O8" s="329"/>
      <c r="P8" s="329"/>
    </row>
    <row r="9" spans="1:18" ht="12.75" x14ac:dyDescent="0.2">
      <c r="A9" s="329"/>
      <c r="B9" s="329"/>
      <c r="C9" s="389" t="s">
        <v>713</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7709634</v>
      </c>
      <c r="I12" s="404"/>
      <c r="J12" s="404"/>
      <c r="K12" s="405">
        <f>TRUNC((H12/H13*100000),5)/100000</f>
        <v>0.39501709669999996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19517216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19108009</v>
      </c>
      <c r="I17" s="404"/>
      <c r="J17" s="416"/>
      <c r="K17" s="405">
        <f>TRUNC((H17/H18*100000),5)/100000</f>
        <v>0.97903353630000001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19517216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11451567</v>
      </c>
      <c r="I24" s="422"/>
      <c r="J24" s="422"/>
      <c r="K24" s="423">
        <f>TRUNC(((H24/H25*100000)/100000),2)</f>
        <v>215.75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53077.802779999998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7681221.2769999998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36740000</v>
      </c>
      <c r="I32" s="420"/>
      <c r="J32" s="420"/>
      <c r="K32" s="423">
        <f>TRUNC(100-((((H32/H33*100))*100)/100),2)</f>
        <v>3.48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38066815.206</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33" sqref="K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886431</v>
      </c>
      <c r="D4" s="466">
        <v>256340</v>
      </c>
      <c r="E4" s="466">
        <v>13951</v>
      </c>
      <c r="F4" s="466">
        <v>186893</v>
      </c>
      <c r="G4" s="466">
        <v>5441</v>
      </c>
      <c r="H4" s="466"/>
      <c r="I4" s="466">
        <v>2628</v>
      </c>
      <c r="J4" s="467"/>
      <c r="K4" s="466"/>
      <c r="L4" s="466">
        <v>443080</v>
      </c>
      <c r="M4" s="468"/>
      <c r="N4" s="469"/>
    </row>
    <row r="5" spans="1:14" x14ac:dyDescent="0.2">
      <c r="A5" s="463" t="s">
        <v>992</v>
      </c>
      <c r="B5" s="470">
        <v>120</v>
      </c>
      <c r="C5" s="465">
        <v>6509855</v>
      </c>
      <c r="D5" s="466">
        <v>1364143</v>
      </c>
      <c r="E5" s="466">
        <v>1060338</v>
      </c>
      <c r="F5" s="466">
        <v>905024</v>
      </c>
      <c r="G5" s="466">
        <v>505862</v>
      </c>
      <c r="H5" s="466"/>
      <c r="I5" s="466">
        <v>1340253</v>
      </c>
      <c r="J5" s="467"/>
      <c r="K5" s="471">
        <v>20045</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15192</v>
      </c>
      <c r="D11" s="467">
        <v>106</v>
      </c>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7411478</v>
      </c>
      <c r="D13" s="1737">
        <f t="shared" ref="D13:L13" si="0">SUM(D4:D12)</f>
        <v>1620589</v>
      </c>
      <c r="E13" s="1737">
        <f t="shared" si="0"/>
        <v>1074289</v>
      </c>
      <c r="F13" s="1737">
        <f t="shared" si="0"/>
        <v>1091917</v>
      </c>
      <c r="G13" s="1737">
        <f t="shared" si="0"/>
        <v>511303</v>
      </c>
      <c r="H13" s="1737">
        <f t="shared" si="0"/>
        <v>0</v>
      </c>
      <c r="I13" s="1737">
        <f t="shared" si="0"/>
        <v>1342881</v>
      </c>
      <c r="J13" s="1737">
        <f t="shared" si="0"/>
        <v>0</v>
      </c>
      <c r="K13" s="1737">
        <f t="shared" si="0"/>
        <v>20045</v>
      </c>
      <c r="L13" s="1737">
        <f t="shared" si="0"/>
        <v>443080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1260494</v>
      </c>
      <c r="N16" s="484"/>
    </row>
    <row r="17" spans="1:14" s="485" customFormat="1" ht="12.75" customHeight="1" x14ac:dyDescent="0.2">
      <c r="A17" s="482" t="s">
        <v>1403</v>
      </c>
      <c r="B17" s="483">
        <v>230</v>
      </c>
      <c r="C17" s="477"/>
      <c r="D17" s="477"/>
      <c r="E17" s="477"/>
      <c r="F17" s="477"/>
      <c r="G17" s="477"/>
      <c r="H17" s="477"/>
      <c r="I17" s="477"/>
      <c r="J17" s="477"/>
      <c r="K17" s="477"/>
      <c r="L17" s="477"/>
      <c r="M17" s="467">
        <v>69134047</v>
      </c>
      <c r="N17" s="484"/>
    </row>
    <row r="18" spans="1:14" s="485" customFormat="1" ht="12.75" customHeight="1" x14ac:dyDescent="0.2">
      <c r="A18" s="482" t="s">
        <v>1404</v>
      </c>
      <c r="B18" s="483">
        <v>240</v>
      </c>
      <c r="C18" s="477"/>
      <c r="D18" s="477"/>
      <c r="E18" s="477"/>
      <c r="F18" s="477"/>
      <c r="G18" s="477"/>
      <c r="H18" s="477"/>
      <c r="I18" s="477"/>
      <c r="J18" s="477"/>
      <c r="K18" s="477"/>
      <c r="L18" s="477"/>
      <c r="M18" s="467">
        <v>4874748</v>
      </c>
      <c r="N18" s="484"/>
    </row>
    <row r="19" spans="1:14" s="485" customFormat="1" ht="12.75" customHeight="1" x14ac:dyDescent="0.2">
      <c r="A19" s="482" t="s">
        <v>1405</v>
      </c>
      <c r="B19" s="483">
        <v>250</v>
      </c>
      <c r="C19" s="477"/>
      <c r="D19" s="477"/>
      <c r="E19" s="477"/>
      <c r="F19" s="477"/>
      <c r="G19" s="477"/>
      <c r="H19" s="477"/>
      <c r="I19" s="477"/>
      <c r="J19" s="477"/>
      <c r="K19" s="477"/>
      <c r="L19" s="477"/>
      <c r="M19" s="467">
        <v>9918846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43393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36696607</v>
      </c>
    </row>
    <row r="23" spans="1:14" ht="13.5" customHeight="1" thickBot="1" x14ac:dyDescent="0.25">
      <c r="A23" s="1736" t="s">
        <v>643</v>
      </c>
      <c r="B23" s="1741"/>
      <c r="C23" s="468"/>
      <c r="D23" s="468"/>
      <c r="E23" s="468"/>
      <c r="F23" s="468"/>
      <c r="G23" s="468"/>
      <c r="H23" s="468"/>
      <c r="I23" s="468"/>
      <c r="J23" s="468"/>
      <c r="K23" s="468"/>
      <c r="L23" s="468"/>
      <c r="M23" s="1688">
        <f>SUM(M15:M22)</f>
        <v>85188135</v>
      </c>
      <c r="N23" s="1688">
        <f>SUM(N21:N22)</f>
        <v>36740000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v>250</v>
      </c>
      <c r="G31" s="467">
        <v>24</v>
      </c>
      <c r="H31" s="467"/>
      <c r="I31" s="467"/>
      <c r="J31" s="467"/>
      <c r="K31" s="467"/>
      <c r="L31" s="468"/>
      <c r="M31" s="468"/>
      <c r="N31" s="468"/>
    </row>
    <row r="32" spans="1:14" ht="13.5" customHeight="1" x14ac:dyDescent="0.2">
      <c r="A32" s="490" t="s">
        <v>652</v>
      </c>
      <c r="B32" s="491">
        <v>490</v>
      </c>
      <c r="C32" s="492">
        <v>2777546</v>
      </c>
      <c r="D32" s="492">
        <v>708147</v>
      </c>
      <c r="E32" s="474">
        <v>1030896</v>
      </c>
      <c r="F32" s="474">
        <v>223519</v>
      </c>
      <c r="G32" s="474">
        <v>231239</v>
      </c>
      <c r="H32" s="474"/>
      <c r="I32" s="474">
        <v>47769</v>
      </c>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443080</v>
      </c>
      <c r="M33" s="468"/>
      <c r="N33" s="469"/>
    </row>
    <row r="34" spans="1:14" ht="13.5" customHeight="1" thickBot="1" x14ac:dyDescent="0.25">
      <c r="A34" s="1738" t="s">
        <v>654</v>
      </c>
      <c r="B34" s="1739"/>
      <c r="C34" s="1740">
        <f>SUM(C25:C33)</f>
        <v>2777546</v>
      </c>
      <c r="D34" s="1740">
        <f t="shared" ref="D34:K34" si="1">SUM(D25:D33)</f>
        <v>708147</v>
      </c>
      <c r="E34" s="1740">
        <f t="shared" si="1"/>
        <v>1030896</v>
      </c>
      <c r="F34" s="1740">
        <f t="shared" si="1"/>
        <v>223769</v>
      </c>
      <c r="G34" s="1740">
        <f t="shared" si="1"/>
        <v>231263</v>
      </c>
      <c r="H34" s="1740">
        <f t="shared" si="1"/>
        <v>0</v>
      </c>
      <c r="I34" s="1740">
        <f t="shared" si="1"/>
        <v>47769</v>
      </c>
      <c r="J34" s="1740">
        <f t="shared" si="1"/>
        <v>0</v>
      </c>
      <c r="K34" s="1740">
        <f t="shared" si="1"/>
        <v>0</v>
      </c>
      <c r="L34" s="1721">
        <f>SUM(L33)</f>
        <v>443080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36740000</v>
      </c>
    </row>
    <row r="37" spans="1:14" ht="13.5" thickBot="1" x14ac:dyDescent="0.25">
      <c r="A37" s="1736" t="s">
        <v>653</v>
      </c>
      <c r="B37" s="1741"/>
      <c r="C37" s="477"/>
      <c r="D37" s="477"/>
      <c r="E37" s="477"/>
      <c r="F37" s="477"/>
      <c r="G37" s="477"/>
      <c r="H37" s="477"/>
      <c r="I37" s="477"/>
      <c r="J37" s="477"/>
      <c r="K37" s="477"/>
      <c r="L37" s="480"/>
      <c r="M37" s="468"/>
      <c r="N37" s="1688">
        <f>SUM(N36:N36)</f>
        <v>36740000</v>
      </c>
    </row>
    <row r="38" spans="1:14" s="329" customFormat="1" ht="13.5" customHeight="1" thickTop="1" x14ac:dyDescent="0.2">
      <c r="A38" s="496" t="s">
        <v>420</v>
      </c>
      <c r="B38" s="483">
        <v>714</v>
      </c>
      <c r="C38" s="466"/>
      <c r="D38" s="466"/>
      <c r="E38" s="466">
        <v>43393</v>
      </c>
      <c r="F38" s="466">
        <v>868148</v>
      </c>
      <c r="G38" s="466">
        <v>280040</v>
      </c>
      <c r="H38" s="466"/>
      <c r="I38" s="466"/>
      <c r="J38" s="467"/>
      <c r="K38" s="466">
        <v>20045</v>
      </c>
      <c r="L38" s="481"/>
      <c r="M38" s="497"/>
      <c r="N38" s="497"/>
    </row>
    <row r="39" spans="1:14" s="329" customFormat="1" ht="13.5" customHeight="1" x14ac:dyDescent="0.2">
      <c r="A39" s="496" t="s">
        <v>342</v>
      </c>
      <c r="B39" s="483">
        <v>730</v>
      </c>
      <c r="C39" s="466">
        <v>4633932</v>
      </c>
      <c r="D39" s="466">
        <v>912442</v>
      </c>
      <c r="E39" s="466"/>
      <c r="F39" s="466"/>
      <c r="G39" s="466"/>
      <c r="H39" s="466"/>
      <c r="I39" s="466">
        <v>1295112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85188135</v>
      </c>
      <c r="N40" s="497"/>
    </row>
    <row r="41" spans="1:14" ht="13.5" customHeight="1" thickBot="1" x14ac:dyDescent="0.25">
      <c r="A41" s="1736" t="s">
        <v>655</v>
      </c>
      <c r="B41" s="1706"/>
      <c r="C41" s="1688">
        <f>(SUM(C34,C37,C38,C39))</f>
        <v>7411478</v>
      </c>
      <c r="D41" s="1688">
        <f t="shared" ref="D41:L41" si="2">SUM(D34,D37,D38:D39)</f>
        <v>1620589</v>
      </c>
      <c r="E41" s="1688">
        <f t="shared" si="2"/>
        <v>1074289</v>
      </c>
      <c r="F41" s="1688">
        <f t="shared" si="2"/>
        <v>1091917</v>
      </c>
      <c r="G41" s="1688">
        <f t="shared" si="2"/>
        <v>511303</v>
      </c>
      <c r="H41" s="1688">
        <f t="shared" si="2"/>
        <v>0</v>
      </c>
      <c r="I41" s="1688">
        <f t="shared" si="2"/>
        <v>1342881</v>
      </c>
      <c r="J41" s="1688">
        <f t="shared" si="2"/>
        <v>0</v>
      </c>
      <c r="K41" s="1688">
        <f t="shared" si="2"/>
        <v>20045</v>
      </c>
      <c r="L41" s="1688">
        <f t="shared" si="2"/>
        <v>443080</v>
      </c>
      <c r="M41" s="1688">
        <f>SUM(M40)</f>
        <v>85188135</v>
      </c>
      <c r="N41" s="1688">
        <f>SUM(N37)</f>
        <v>36740000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4" activePane="bottomLeft" state="frozen"/>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8287708</v>
      </c>
      <c r="D4" s="1742">
        <f>'Revenues 9-14'!D109</f>
        <v>1989271</v>
      </c>
      <c r="E4" s="1742">
        <f>'Revenues 9-14'!E109</f>
        <v>2625048</v>
      </c>
      <c r="F4" s="1742">
        <f>'Revenues 9-14'!F109</f>
        <v>561516</v>
      </c>
      <c r="G4" s="1742">
        <f>'Revenues 9-14'!G109</f>
        <v>579336</v>
      </c>
      <c r="H4" s="1742">
        <f>'Revenues 9-14'!H109</f>
        <v>0</v>
      </c>
      <c r="I4" s="1742">
        <f>'Revenues 9-14'!I109</f>
        <v>163399</v>
      </c>
      <c r="J4" s="1742">
        <f>'Revenues 9-14'!J109</f>
        <v>0</v>
      </c>
      <c r="K4" s="1742">
        <f>'Revenues 9-14'!K109</f>
        <v>342</v>
      </c>
      <c r="L4" s="347"/>
    </row>
    <row r="5" spans="1:13" ht="15.75" customHeight="1" x14ac:dyDescent="0.2">
      <c r="A5" s="1576" t="s">
        <v>1500</v>
      </c>
      <c r="B5" s="1577">
        <v>2000</v>
      </c>
      <c r="C5" s="1743">
        <f>'Revenues 9-14'!C114</f>
        <v>5901</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6783996</v>
      </c>
      <c r="D6" s="1743">
        <f>'Revenues 9-14'!D170</f>
        <v>269500</v>
      </c>
      <c r="E6" s="1743">
        <f>'Revenues 9-14'!E170</f>
        <v>0</v>
      </c>
      <c r="F6" s="1743">
        <f>'Revenues 9-14'!F170</f>
        <v>506308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949617</v>
      </c>
      <c r="D7" s="1743">
        <f>'Revenues 9-14'!D267</f>
        <v>0</v>
      </c>
      <c r="E7" s="1743">
        <f>'Revenues 9-14'!E267</f>
        <v>128412</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16027222</v>
      </c>
      <c r="D8" s="1688">
        <f t="shared" ref="D8:K8" si="0">SUM(D4:D7)</f>
        <v>2258771</v>
      </c>
      <c r="E8" s="1688">
        <f t="shared" si="0"/>
        <v>2753460</v>
      </c>
      <c r="F8" s="1688">
        <f t="shared" si="0"/>
        <v>1067824</v>
      </c>
      <c r="G8" s="1688">
        <f t="shared" si="0"/>
        <v>579336</v>
      </c>
      <c r="H8" s="1688">
        <f t="shared" si="0"/>
        <v>0</v>
      </c>
      <c r="I8" s="1688">
        <f t="shared" si="0"/>
        <v>163399</v>
      </c>
      <c r="J8" s="1688">
        <f t="shared" si="0"/>
        <v>0</v>
      </c>
      <c r="K8" s="1688">
        <f t="shared" si="0"/>
        <v>342</v>
      </c>
      <c r="L8" s="347"/>
    </row>
    <row r="9" spans="1:13" ht="15.75" thickTop="1" x14ac:dyDescent="0.2">
      <c r="A9" s="514" t="s">
        <v>1653</v>
      </c>
      <c r="B9" s="515">
        <v>3998</v>
      </c>
      <c r="C9" s="481">
        <v>7134814</v>
      </c>
      <c r="D9" s="516"/>
      <c r="E9" s="481"/>
      <c r="F9" s="481"/>
      <c r="G9" s="517"/>
      <c r="H9" s="481"/>
      <c r="I9" s="509" t="s">
        <v>1169</v>
      </c>
      <c r="J9" s="478"/>
      <c r="K9" s="481"/>
      <c r="L9" s="347"/>
    </row>
    <row r="10" spans="1:13" s="519" customFormat="1" ht="13.5" thickBot="1" x14ac:dyDescent="0.25">
      <c r="A10" s="1736" t="s">
        <v>1173</v>
      </c>
      <c r="B10" s="1709"/>
      <c r="C10" s="1688">
        <f>SUM(C8:C9)</f>
        <v>23162036</v>
      </c>
      <c r="D10" s="1688">
        <f t="shared" ref="D10:K10" si="1">SUM(D8:D9)</f>
        <v>2258771</v>
      </c>
      <c r="E10" s="1688">
        <f t="shared" si="1"/>
        <v>2753460</v>
      </c>
      <c r="F10" s="1688">
        <f t="shared" si="1"/>
        <v>1067824</v>
      </c>
      <c r="G10" s="1688">
        <f t="shared" si="1"/>
        <v>579336</v>
      </c>
      <c r="H10" s="1688">
        <f t="shared" si="1"/>
        <v>0</v>
      </c>
      <c r="I10" s="1688">
        <f t="shared" si="1"/>
        <v>163399</v>
      </c>
      <c r="J10" s="1688">
        <f t="shared" si="1"/>
        <v>0</v>
      </c>
      <c r="K10" s="1688">
        <f t="shared" si="1"/>
        <v>342</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9601119</v>
      </c>
      <c r="D12" s="520" t="s">
        <v>1169</v>
      </c>
      <c r="E12" s="468" t="s">
        <v>1169</v>
      </c>
      <c r="F12" s="468" t="s">
        <v>1169</v>
      </c>
      <c r="G12" s="1742">
        <f>'Expenditures 15-22'!K229</f>
        <v>203599</v>
      </c>
      <c r="H12" s="521"/>
      <c r="I12" s="468" t="s">
        <v>1169</v>
      </c>
      <c r="J12" s="468" t="s">
        <v>1169</v>
      </c>
      <c r="K12" s="521" t="s">
        <v>1169</v>
      </c>
      <c r="L12" s="347"/>
    </row>
    <row r="13" spans="1:13" ht="15.75" customHeight="1" x14ac:dyDescent="0.2">
      <c r="A13" s="1576" t="s">
        <v>457</v>
      </c>
      <c r="B13" s="1578">
        <v>2000</v>
      </c>
      <c r="C13" s="1743">
        <f>'Expenditures 15-22'!K74</f>
        <v>5251712</v>
      </c>
      <c r="D13" s="1743">
        <f>'Expenditures 15-22'!K129</f>
        <v>2323911</v>
      </c>
      <c r="E13" s="469" t="s">
        <v>1169</v>
      </c>
      <c r="F13" s="1743">
        <f>'Expenditures 15-22'!K184</f>
        <v>1209960</v>
      </c>
      <c r="G13" s="1743">
        <f>'Expenditures 15-22'!K279</f>
        <v>363409</v>
      </c>
      <c r="H13" s="1743">
        <f>'Expenditures 15-22'!K303</f>
        <v>0</v>
      </c>
      <c r="I13" s="468" t="s">
        <v>1169</v>
      </c>
      <c r="J13" s="1743">
        <f>'Expenditures 15-22'!K330</f>
        <v>0</v>
      </c>
      <c r="K13" s="1747">
        <f>'Expenditures 15-22'!K352</f>
        <v>7995</v>
      </c>
      <c r="L13" s="347"/>
    </row>
    <row r="14" spans="1:13" ht="15.75" customHeight="1" x14ac:dyDescent="0.2">
      <c r="A14" s="1576" t="s">
        <v>449</v>
      </c>
      <c r="B14" s="1578">
        <v>3000</v>
      </c>
      <c r="C14" s="1743">
        <f>'Expenditures 15-22'!K75</f>
        <v>314238</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407069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10544066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15574138</v>
      </c>
      <c r="D17" s="1688">
        <f t="shared" si="2"/>
        <v>2323911</v>
      </c>
      <c r="E17" s="1688">
        <f t="shared" si="2"/>
        <v>10544066</v>
      </c>
      <c r="F17" s="1688">
        <f t="shared" si="2"/>
        <v>1209960</v>
      </c>
      <c r="G17" s="1688">
        <f t="shared" si="2"/>
        <v>567008</v>
      </c>
      <c r="H17" s="1688">
        <f t="shared" si="2"/>
        <v>0</v>
      </c>
      <c r="I17" s="468"/>
      <c r="J17" s="1688">
        <f>SUM(J12:J16)</f>
        <v>0</v>
      </c>
      <c r="K17" s="1688">
        <f>SUM(K12:K16)</f>
        <v>7995</v>
      </c>
      <c r="L17" s="347"/>
    </row>
    <row r="18" spans="1:12" ht="15" customHeight="1" thickTop="1" x14ac:dyDescent="0.2">
      <c r="A18" s="1744" t="s">
        <v>1654</v>
      </c>
      <c r="B18" s="1745">
        <v>4180</v>
      </c>
      <c r="C18" s="1742">
        <f t="shared" ref="C18:H18" si="3">C9</f>
        <v>7134814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22708952</v>
      </c>
      <c r="D19" s="1688">
        <f t="shared" si="4"/>
        <v>2323911</v>
      </c>
      <c r="E19" s="1688">
        <f t="shared" si="4"/>
        <v>10544066</v>
      </c>
      <c r="F19" s="1688">
        <f t="shared" si="4"/>
        <v>1209960</v>
      </c>
      <c r="G19" s="1688">
        <f t="shared" si="4"/>
        <v>567008</v>
      </c>
      <c r="H19" s="1688">
        <f t="shared" si="4"/>
        <v>0</v>
      </c>
      <c r="I19" s="468"/>
      <c r="J19" s="1688">
        <f>SUM(J17:J18)</f>
        <v>0</v>
      </c>
      <c r="K19" s="1688">
        <f>SUM(K17:K18)</f>
        <v>7995</v>
      </c>
      <c r="L19" s="347"/>
    </row>
    <row r="20" spans="1:12" ht="16.5" thickTop="1" thickBot="1" x14ac:dyDescent="0.25">
      <c r="A20" s="2126" t="s">
        <v>1655</v>
      </c>
      <c r="B20" s="2127"/>
      <c r="C20" s="1746">
        <f>C8-C17</f>
        <v>453084</v>
      </c>
      <c r="D20" s="1746">
        <f t="shared" ref="D20:K20" si="5">D8-D17</f>
        <v>-65140</v>
      </c>
      <c r="E20" s="1746">
        <f t="shared" si="5"/>
        <v>-7790606</v>
      </c>
      <c r="F20" s="1746">
        <f t="shared" si="5"/>
        <v>-142136</v>
      </c>
      <c r="G20" s="1746">
        <f t="shared" si="5"/>
        <v>12328</v>
      </c>
      <c r="H20" s="1746">
        <f t="shared" si="5"/>
        <v>0</v>
      </c>
      <c r="I20" s="1746">
        <f t="shared" si="5"/>
        <v>163399</v>
      </c>
      <c r="J20" s="1746">
        <f t="shared" si="5"/>
        <v>0</v>
      </c>
      <c r="K20" s="1746">
        <f t="shared" si="5"/>
        <v>-7653</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200000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v>7780000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200000</v>
      </c>
      <c r="E44" s="1703">
        <f t="shared" si="6"/>
        <v>7780000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200000</v>
      </c>
      <c r="J76" s="1703">
        <f t="shared" si="7"/>
        <v>0</v>
      </c>
      <c r="K76" s="1703">
        <f t="shared" si="7"/>
        <v>0</v>
      </c>
      <c r="L76" s="524"/>
    </row>
    <row r="77" spans="1:12" ht="14.25" thickTop="1" thickBot="1" x14ac:dyDescent="0.25">
      <c r="A77" s="2118" t="s">
        <v>1177</v>
      </c>
      <c r="B77" s="2119"/>
      <c r="C77" s="1703">
        <f t="shared" ref="C77:K77" si="8">C44-C76</f>
        <v>0</v>
      </c>
      <c r="D77" s="1703">
        <f t="shared" si="8"/>
        <v>200000</v>
      </c>
      <c r="E77" s="1703">
        <f t="shared" si="8"/>
        <v>7780000</v>
      </c>
      <c r="F77" s="1703">
        <f t="shared" si="8"/>
        <v>0</v>
      </c>
      <c r="G77" s="1703">
        <f t="shared" si="8"/>
        <v>0</v>
      </c>
      <c r="H77" s="1703">
        <f t="shared" si="8"/>
        <v>0</v>
      </c>
      <c r="I77" s="1703">
        <f t="shared" si="8"/>
        <v>-200000</v>
      </c>
      <c r="J77" s="1703">
        <f t="shared" si="8"/>
        <v>0</v>
      </c>
      <c r="K77" s="1703">
        <f t="shared" si="8"/>
        <v>0</v>
      </c>
      <c r="L77" s="347"/>
    </row>
    <row r="78" spans="1:12" ht="21.75" customHeight="1" thickTop="1" thickBot="1" x14ac:dyDescent="0.25">
      <c r="A78" s="2122" t="s">
        <v>597</v>
      </c>
      <c r="B78" s="2123"/>
      <c r="C78" s="1702">
        <f t="shared" ref="C78:K78" si="9">C20+C77</f>
        <v>453084</v>
      </c>
      <c r="D78" s="1702">
        <f t="shared" si="9"/>
        <v>134860</v>
      </c>
      <c r="E78" s="1702">
        <f t="shared" si="9"/>
        <v>-10606</v>
      </c>
      <c r="F78" s="1702">
        <f t="shared" si="9"/>
        <v>-142136</v>
      </c>
      <c r="G78" s="1702">
        <f t="shared" si="9"/>
        <v>12328</v>
      </c>
      <c r="H78" s="1702">
        <f t="shared" si="9"/>
        <v>0</v>
      </c>
      <c r="I78" s="1702">
        <f t="shared" si="9"/>
        <v>-36601</v>
      </c>
      <c r="J78" s="1702">
        <f t="shared" si="9"/>
        <v>0</v>
      </c>
      <c r="K78" s="1702">
        <f t="shared" si="9"/>
        <v>-7653</v>
      </c>
      <c r="L78" s="533"/>
    </row>
    <row r="79" spans="1:12" ht="13.5" thickTop="1" x14ac:dyDescent="0.2">
      <c r="A79" s="1494" t="s">
        <v>1949</v>
      </c>
      <c r="B79" s="534"/>
      <c r="C79" s="478">
        <v>4180848</v>
      </c>
      <c r="D79" s="535">
        <v>777582</v>
      </c>
      <c r="E79" s="535">
        <v>53999</v>
      </c>
      <c r="F79" s="535">
        <v>1010284</v>
      </c>
      <c r="G79" s="535">
        <v>267712</v>
      </c>
      <c r="H79" s="535"/>
      <c r="I79" s="535">
        <v>1331713</v>
      </c>
      <c r="J79" s="535"/>
      <c r="K79" s="535">
        <v>27698</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4633932</v>
      </c>
      <c r="D81" s="1688">
        <f>SUM(D78:D80)</f>
        <v>912442</v>
      </c>
      <c r="E81" s="1688">
        <f t="shared" ref="E81:K81" si="10">SUM(E78:E80)</f>
        <v>43393</v>
      </c>
      <c r="F81" s="1688">
        <f t="shared" si="10"/>
        <v>868148</v>
      </c>
      <c r="G81" s="1688">
        <f t="shared" si="10"/>
        <v>280040</v>
      </c>
      <c r="H81" s="1688">
        <f t="shared" si="10"/>
        <v>0</v>
      </c>
      <c r="I81" s="1688">
        <f t="shared" si="10"/>
        <v>1295112</v>
      </c>
      <c r="J81" s="1688">
        <f t="shared" si="10"/>
        <v>0</v>
      </c>
      <c r="K81" s="1688">
        <f t="shared" si="10"/>
        <v>20045</v>
      </c>
      <c r="L81" s="347"/>
    </row>
    <row r="82" spans="1:12" ht="0.75" customHeight="1" thickTop="1" thickBot="1" x14ac:dyDescent="0.25">
      <c r="A82" s="536" t="s">
        <v>343</v>
      </c>
      <c r="B82" s="537"/>
      <c r="C82" s="538">
        <f>(C81-C79)</f>
        <v>453084</v>
      </c>
      <c r="D82" s="538">
        <f t="shared" ref="D82:K82" si="11">(D81-D79)</f>
        <v>134860</v>
      </c>
      <c r="E82" s="538">
        <f t="shared" si="11"/>
        <v>-10606</v>
      </c>
      <c r="F82" s="538">
        <f t="shared" si="11"/>
        <v>-142136</v>
      </c>
      <c r="G82" s="538">
        <f t="shared" si="11"/>
        <v>12328</v>
      </c>
      <c r="H82" s="538">
        <f t="shared" si="11"/>
        <v>0</v>
      </c>
      <c r="I82" s="538">
        <f t="shared" si="11"/>
        <v>-36601</v>
      </c>
      <c r="J82" s="538">
        <f t="shared" si="11"/>
        <v>0</v>
      </c>
      <c r="K82" s="538">
        <f t="shared" si="11"/>
        <v>-7653</v>
      </c>
    </row>
    <row r="83" spans="1:12" ht="14.25" hidden="1" thickTop="1" thickBot="1" x14ac:dyDescent="0.25">
      <c r="A83" s="539" t="s">
        <v>344</v>
      </c>
      <c r="B83" s="464"/>
      <c r="C83" s="540">
        <f>C82/C81</f>
        <v>9.7775280258752179E-2</v>
      </c>
      <c r="D83" s="540">
        <f t="shared" ref="D83:K83" si="12">D82/D81</f>
        <v>0.14780117530758119</v>
      </c>
      <c r="E83" s="540">
        <f t="shared" si="12"/>
        <v>-0.24441730232986889</v>
      </c>
      <c r="F83" s="540">
        <f t="shared" si="12"/>
        <v>-0.16372323613024509</v>
      </c>
      <c r="G83" s="540">
        <f t="shared" si="12"/>
        <v>4.4022282531066992E-2</v>
      </c>
      <c r="H83" s="540" t="e">
        <f t="shared" si="12"/>
        <v>#DIV/0!</v>
      </c>
      <c r="I83" s="540">
        <f t="shared" si="12"/>
        <v>-2.8260876279426028E-2</v>
      </c>
      <c r="J83" s="540" t="e">
        <f t="shared" si="12"/>
        <v>#DIV/0!</v>
      </c>
      <c r="K83" s="540">
        <f t="shared" si="12"/>
        <v>-0.38179097031678721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5" activePane="bottomLeft" state="frozen"/>
      <selection pane="bottomLeft" activeCell="D95" sqref="D9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6525870</v>
      </c>
      <c r="D5" s="481">
        <v>1709871</v>
      </c>
      <c r="E5" s="466">
        <v>2587943</v>
      </c>
      <c r="F5" s="548">
        <v>525760</v>
      </c>
      <c r="G5" s="466">
        <v>230003</v>
      </c>
      <c r="H5" s="466"/>
      <c r="I5" s="466">
        <v>135296</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108237</v>
      </c>
      <c r="D7" s="466"/>
      <c r="E7" s="468"/>
      <c r="F7" s="467"/>
      <c r="G7" s="467"/>
      <c r="H7" s="467"/>
      <c r="I7" s="468"/>
      <c r="J7" s="468"/>
      <c r="K7" s="468"/>
    </row>
    <row r="8" spans="1:12" x14ac:dyDescent="0.2">
      <c r="A8" s="463" t="s">
        <v>413</v>
      </c>
      <c r="B8" s="470">
        <v>1150</v>
      </c>
      <c r="C8" s="475"/>
      <c r="D8" s="475"/>
      <c r="E8" s="477"/>
      <c r="F8" s="477"/>
      <c r="G8" s="481">
        <v>323358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6634107</v>
      </c>
      <c r="D12" s="1707">
        <f t="shared" si="0"/>
        <v>1709871</v>
      </c>
      <c r="E12" s="1707">
        <f t="shared" si="0"/>
        <v>2587943</v>
      </c>
      <c r="F12" s="1707">
        <f t="shared" si="0"/>
        <v>525760</v>
      </c>
      <c r="G12" s="1707">
        <f t="shared" si="0"/>
        <v>553361</v>
      </c>
      <c r="H12" s="1707">
        <f t="shared" si="0"/>
        <v>0</v>
      </c>
      <c r="I12" s="1707">
        <f t="shared" si="0"/>
        <v>135296</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103647</v>
      </c>
      <c r="E16" s="466"/>
      <c r="F16" s="466"/>
      <c r="G16" s="466">
        <v>19950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103647</v>
      </c>
      <c r="E18" s="1710">
        <f t="shared" si="1"/>
        <v>0</v>
      </c>
      <c r="F18" s="1710">
        <f t="shared" si="1"/>
        <v>0</v>
      </c>
      <c r="G18" s="1710">
        <f t="shared" si="1"/>
        <v>19950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68229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68229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135970</v>
      </c>
      <c r="D65" s="466">
        <v>48782</v>
      </c>
      <c r="E65" s="466">
        <v>23155</v>
      </c>
      <c r="F65" s="467">
        <v>25888</v>
      </c>
      <c r="G65" s="466">
        <v>6025</v>
      </c>
      <c r="H65" s="466"/>
      <c r="I65" s="466">
        <v>28103</v>
      </c>
      <c r="J65" s="467"/>
      <c r="K65" s="466">
        <v>342</v>
      </c>
    </row>
    <row r="66" spans="1:11" ht="12.75" customHeight="1" x14ac:dyDescent="0.2">
      <c r="A66" s="463" t="s">
        <v>679</v>
      </c>
      <c r="B66" s="470">
        <v>1520</v>
      </c>
      <c r="C66" s="466"/>
      <c r="D66" s="466"/>
      <c r="E66" s="466">
        <v>13950</v>
      </c>
      <c r="F66" s="466"/>
      <c r="G66" s="466"/>
      <c r="H66" s="466"/>
      <c r="I66" s="466"/>
      <c r="J66" s="467"/>
      <c r="K66" s="466"/>
    </row>
    <row r="67" spans="1:11" ht="12.75" customHeight="1" thickBot="1" x14ac:dyDescent="0.25">
      <c r="A67" s="1708" t="s">
        <v>486</v>
      </c>
      <c r="B67" s="1709"/>
      <c r="C67" s="1688">
        <f>SUM(C65:C66)</f>
        <v>135970</v>
      </c>
      <c r="D67" s="1688">
        <f t="shared" ref="D67:K67" si="2">SUM(D65:D66)</f>
        <v>48782</v>
      </c>
      <c r="E67" s="1688">
        <f t="shared" si="2"/>
        <v>37105</v>
      </c>
      <c r="F67" s="1688">
        <f t="shared" si="2"/>
        <v>25888</v>
      </c>
      <c r="G67" s="1688">
        <f t="shared" si="2"/>
        <v>6025</v>
      </c>
      <c r="H67" s="1688">
        <f t="shared" si="2"/>
        <v>0</v>
      </c>
      <c r="I67" s="1688">
        <f t="shared" si="2"/>
        <v>28103</v>
      </c>
      <c r="J67" s="1688">
        <f t="shared" si="2"/>
        <v>0</v>
      </c>
      <c r="K67" s="1688">
        <f t="shared" si="2"/>
        <v>342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255779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525273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781052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85019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69575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154594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447081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447081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58316</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v>12976</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18975</v>
      </c>
      <c r="D100" s="489">
        <v>24104</v>
      </c>
      <c r="E100" s="489"/>
      <c r="F100" s="489">
        <v>8206</v>
      </c>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47700</v>
      </c>
      <c r="D107" s="466">
        <v>31575</v>
      </c>
      <c r="E107" s="466"/>
      <c r="F107" s="466">
        <v>1662</v>
      </c>
      <c r="G107" s="466"/>
      <c r="H107" s="466"/>
      <c r="I107" s="466"/>
      <c r="J107" s="467"/>
      <c r="K107" s="466"/>
    </row>
    <row r="108" spans="1:12" ht="12.75" customHeight="1" thickBot="1" x14ac:dyDescent="0.25">
      <c r="A108" s="1708" t="s">
        <v>487</v>
      </c>
      <c r="B108" s="1712"/>
      <c r="C108" s="1707">
        <f>SUM(C95:C107)</f>
        <v>66675</v>
      </c>
      <c r="D108" s="1707">
        <f t="shared" ref="D108:K108" si="3">SUM(D95:D107)</f>
        <v>126971</v>
      </c>
      <c r="E108" s="1707">
        <f t="shared" si="3"/>
        <v>0</v>
      </c>
      <c r="F108" s="1707">
        <f t="shared" si="3"/>
        <v>9868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8287708</v>
      </c>
      <c r="D109" s="1715">
        <f t="shared" si="4"/>
        <v>1989271</v>
      </c>
      <c r="E109" s="1715">
        <f t="shared" si="4"/>
        <v>2625048</v>
      </c>
      <c r="F109" s="1715">
        <f t="shared" si="4"/>
        <v>561516</v>
      </c>
      <c r="G109" s="1715">
        <f t="shared" si="4"/>
        <v>579336</v>
      </c>
      <c r="H109" s="1715">
        <f t="shared" si="4"/>
        <v>0</v>
      </c>
      <c r="I109" s="1715">
        <f t="shared" si="4"/>
        <v>163399</v>
      </c>
      <c r="J109" s="1715">
        <f t="shared" si="4"/>
        <v>0</v>
      </c>
      <c r="K109" s="1702">
        <f t="shared" si="4"/>
        <v>342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5901</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5901</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6682591</v>
      </c>
      <c r="D117" s="481">
        <v>269500</v>
      </c>
      <c r="E117" s="466"/>
      <c r="F117" s="481">
        <v>55000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6682591</v>
      </c>
      <c r="D122" s="1707">
        <f t="shared" si="5"/>
        <v>269500</v>
      </c>
      <c r="E122" s="1707">
        <f t="shared" si="5"/>
        <v>0</v>
      </c>
      <c r="F122" s="1707">
        <f t="shared" si="5"/>
        <v>55000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53705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4095</v>
      </c>
      <c r="D128" s="561"/>
      <c r="E128" s="468"/>
      <c r="F128" s="466"/>
      <c r="G128" s="468"/>
      <c r="H128" s="468"/>
      <c r="I128" s="468"/>
      <c r="J128" s="468"/>
      <c r="K128" s="468"/>
    </row>
    <row r="129" spans="1:11" ht="12.75" customHeight="1" x14ac:dyDescent="0.2">
      <c r="A129" s="463" t="s">
        <v>1447</v>
      </c>
      <c r="B129" s="562">
        <v>3130</v>
      </c>
      <c r="C129" s="466">
        <v>2537</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60337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1219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38160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265050</v>
      </c>
      <c r="G152" s="467"/>
      <c r="H152" s="468"/>
      <c r="I152" s="468"/>
      <c r="J152" s="468"/>
      <c r="K152" s="468"/>
    </row>
    <row r="153" spans="1:11" ht="12.75" customHeight="1" x14ac:dyDescent="0.2">
      <c r="A153" s="463" t="s">
        <v>1057</v>
      </c>
      <c r="B153" s="562">
        <v>3510</v>
      </c>
      <c r="C153" s="551"/>
      <c r="D153" s="466"/>
      <c r="E153" s="561"/>
      <c r="F153" s="466">
        <v>186258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451308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1689</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101405</v>
      </c>
      <c r="D169" s="1722">
        <f t="shared" si="6"/>
        <v>0</v>
      </c>
      <c r="E169" s="1722">
        <f t="shared" si="6"/>
        <v>0</v>
      </c>
      <c r="F169" s="1722">
        <f t="shared" si="6"/>
        <v>451308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6783996</v>
      </c>
      <c r="D170" s="1715">
        <f t="shared" si="7"/>
        <v>269500</v>
      </c>
      <c r="E170" s="1715">
        <f t="shared" si="7"/>
        <v>0</v>
      </c>
      <c r="F170" s="1715">
        <f t="shared" si="7"/>
        <v>506308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83477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83477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244877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244877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24058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24058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11978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409679</v>
      </c>
      <c r="D213" s="466"/>
      <c r="E213" s="468"/>
      <c r="F213" s="466"/>
      <c r="G213" s="466"/>
      <c r="H213" s="468"/>
      <c r="I213" s="468"/>
      <c r="J213" s="468"/>
      <c r="K213" s="468"/>
    </row>
    <row r="214" spans="1:11" ht="12.75" customHeight="1" x14ac:dyDescent="0.2">
      <c r="A214" s="463" t="s">
        <v>1054</v>
      </c>
      <c r="B214" s="470">
        <v>4625</v>
      </c>
      <c r="C214" s="551">
        <v>27097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448754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128412</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128412</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v>4497</v>
      </c>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41578</v>
      </c>
      <c r="D263" s="576"/>
      <c r="E263" s="468"/>
      <c r="F263" s="576"/>
      <c r="G263" s="576"/>
      <c r="H263" s="468"/>
      <c r="I263" s="468"/>
      <c r="J263" s="468"/>
      <c r="K263" s="468"/>
    </row>
    <row r="264" spans="1:11" ht="12.75" customHeight="1" thickTop="1" thickBot="1" x14ac:dyDescent="0.25">
      <c r="A264" s="463" t="s">
        <v>377</v>
      </c>
      <c r="B264" s="470">
        <v>4992</v>
      </c>
      <c r="C264" s="575">
        <v>70240</v>
      </c>
      <c r="D264" s="576"/>
      <c r="E264" s="468"/>
      <c r="F264" s="576"/>
      <c r="G264" s="576"/>
      <c r="H264" s="468"/>
      <c r="I264" s="468"/>
      <c r="J264" s="468"/>
      <c r="K264" s="468"/>
    </row>
    <row r="265" spans="1:11" s="593" customFormat="1" ht="12.75" customHeight="1" thickTop="1" thickBot="1" x14ac:dyDescent="0.25">
      <c r="A265" s="563" t="s">
        <v>75</v>
      </c>
      <c r="B265" s="557">
        <v>4999</v>
      </c>
      <c r="C265" s="575">
        <v>32136</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949617</v>
      </c>
      <c r="D266" s="1715">
        <f t="shared" si="10"/>
        <v>0</v>
      </c>
      <c r="E266" s="1715">
        <f t="shared" si="10"/>
        <v>128412</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949617</v>
      </c>
      <c r="D267" s="1715">
        <f>SUM(D175,D181,D266)</f>
        <v>0</v>
      </c>
      <c r="E267" s="1715">
        <f>SUM(E175,E266)</f>
        <v>128412</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16027222</v>
      </c>
      <c r="D268" s="1715">
        <f t="shared" si="12"/>
        <v>2258771</v>
      </c>
      <c r="E268" s="1715">
        <f t="shared" si="12"/>
        <v>2753460</v>
      </c>
      <c r="F268" s="1715">
        <f t="shared" si="12"/>
        <v>1067824</v>
      </c>
      <c r="G268" s="1715">
        <f t="shared" si="12"/>
        <v>579336</v>
      </c>
      <c r="H268" s="1715">
        <f t="shared" si="12"/>
        <v>0</v>
      </c>
      <c r="I268" s="1715">
        <f t="shared" si="12"/>
        <v>163399</v>
      </c>
      <c r="J268" s="1715">
        <f t="shared" si="12"/>
        <v>0</v>
      </c>
      <c r="K268" s="1702">
        <f t="shared" si="12"/>
        <v>342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8" activePane="bottomLeft" state="frozen"/>
      <selection pane="bottomLeft" activeCell="H169" sqref="H16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6263104</v>
      </c>
      <c r="D5" s="466">
        <v>732606</v>
      </c>
      <c r="E5" s="466">
        <v>17565</v>
      </c>
      <c r="F5" s="466">
        <v>186911</v>
      </c>
      <c r="G5" s="466">
        <v>1338</v>
      </c>
      <c r="H5" s="466">
        <v>9697</v>
      </c>
      <c r="I5" s="467">
        <v>28278</v>
      </c>
      <c r="J5" s="467"/>
      <c r="K5" s="1671">
        <f>SUM(C5:J5)</f>
        <v>7239499</v>
      </c>
      <c r="L5" s="466">
        <v>7417139</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1230018</v>
      </c>
      <c r="D8" s="466">
        <v>138608</v>
      </c>
      <c r="E8" s="466">
        <v>80492</v>
      </c>
      <c r="F8" s="466">
        <v>20484</v>
      </c>
      <c r="G8" s="466"/>
      <c r="H8" s="466"/>
      <c r="I8" s="467">
        <v>9264</v>
      </c>
      <c r="J8" s="467"/>
      <c r="K8" s="1671">
        <f t="shared" si="0"/>
        <v>1478866</v>
      </c>
      <c r="L8" s="466">
        <v>1667540</v>
      </c>
    </row>
    <row r="9" spans="1:14" x14ac:dyDescent="0.2">
      <c r="A9" s="1504" t="s">
        <v>721</v>
      </c>
      <c r="B9" s="614" t="s">
        <v>968</v>
      </c>
      <c r="C9" s="467"/>
      <c r="D9" s="467"/>
      <c r="E9" s="467"/>
      <c r="F9" s="467">
        <v>1879</v>
      </c>
      <c r="G9" s="467"/>
      <c r="H9" s="467"/>
      <c r="I9" s="467">
        <v>1170</v>
      </c>
      <c r="J9" s="467"/>
      <c r="K9" s="1671">
        <f t="shared" si="0"/>
        <v>3049</v>
      </c>
      <c r="L9" s="466">
        <v>3000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214173</v>
      </c>
      <c r="D13" s="466">
        <v>24515</v>
      </c>
      <c r="E13" s="466"/>
      <c r="F13" s="466">
        <v>20856</v>
      </c>
      <c r="G13" s="466"/>
      <c r="H13" s="466">
        <v>1597</v>
      </c>
      <c r="I13" s="467"/>
      <c r="J13" s="467"/>
      <c r="K13" s="1671">
        <f t="shared" si="0"/>
        <v>261141</v>
      </c>
      <c r="L13" s="466">
        <v>217015</v>
      </c>
    </row>
    <row r="14" spans="1:14" x14ac:dyDescent="0.2">
      <c r="A14" s="1504" t="s">
        <v>963</v>
      </c>
      <c r="B14" s="614">
        <v>1500</v>
      </c>
      <c r="C14" s="466">
        <v>450618</v>
      </c>
      <c r="D14" s="466">
        <v>13027</v>
      </c>
      <c r="E14" s="466">
        <v>94047</v>
      </c>
      <c r="F14" s="466">
        <v>36593</v>
      </c>
      <c r="G14" s="466"/>
      <c r="H14" s="466">
        <v>24279</v>
      </c>
      <c r="I14" s="467"/>
      <c r="J14" s="467"/>
      <c r="K14" s="1671">
        <f t="shared" si="0"/>
        <v>618564</v>
      </c>
      <c r="L14" s="466">
        <v>615949</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8157913</v>
      </c>
      <c r="D33" s="1670">
        <f t="shared" ref="D33:L33" si="1">SUM(D5:D32)</f>
        <v>908756</v>
      </c>
      <c r="E33" s="1670">
        <f t="shared" si="1"/>
        <v>192104</v>
      </c>
      <c r="F33" s="1670">
        <f t="shared" si="1"/>
        <v>266723</v>
      </c>
      <c r="G33" s="1670">
        <f t="shared" si="1"/>
        <v>1338</v>
      </c>
      <c r="H33" s="1670">
        <f t="shared" si="1"/>
        <v>35573</v>
      </c>
      <c r="I33" s="1670">
        <f t="shared" si="1"/>
        <v>38712</v>
      </c>
      <c r="J33" s="1670">
        <f t="shared" si="1"/>
        <v>0</v>
      </c>
      <c r="K33" s="1670">
        <f t="shared" si="1"/>
        <v>9601119</v>
      </c>
      <c r="L33" s="1670">
        <f t="shared" si="1"/>
        <v>9920643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133642</v>
      </c>
      <c r="D36" s="481">
        <v>15217</v>
      </c>
      <c r="E36" s="481"/>
      <c r="F36" s="481">
        <v>3955</v>
      </c>
      <c r="G36" s="481"/>
      <c r="H36" s="481"/>
      <c r="I36" s="467"/>
      <c r="J36" s="467"/>
      <c r="K36" s="1671">
        <f t="shared" ref="K36:K41" si="2">SUM(C36:J36)</f>
        <v>152814</v>
      </c>
      <c r="L36" s="466">
        <v>154649</v>
      </c>
    </row>
    <row r="37" spans="1:14" x14ac:dyDescent="0.2">
      <c r="A37" s="1504" t="s">
        <v>1090</v>
      </c>
      <c r="B37" s="614">
        <v>2120</v>
      </c>
      <c r="C37" s="466">
        <v>199770</v>
      </c>
      <c r="D37" s="466">
        <v>23492</v>
      </c>
      <c r="E37" s="466"/>
      <c r="F37" s="466">
        <v>707</v>
      </c>
      <c r="G37" s="466"/>
      <c r="H37" s="466"/>
      <c r="I37" s="467"/>
      <c r="J37" s="467"/>
      <c r="K37" s="1671">
        <f t="shared" si="2"/>
        <v>223969</v>
      </c>
      <c r="L37" s="466">
        <v>227656</v>
      </c>
    </row>
    <row r="38" spans="1:14" x14ac:dyDescent="0.2">
      <c r="A38" s="1504" t="s">
        <v>198</v>
      </c>
      <c r="B38" s="614">
        <v>2130</v>
      </c>
      <c r="C38" s="466">
        <v>198348</v>
      </c>
      <c r="D38" s="466">
        <v>13062</v>
      </c>
      <c r="E38" s="466">
        <v>32790</v>
      </c>
      <c r="F38" s="466">
        <v>15854</v>
      </c>
      <c r="G38" s="466"/>
      <c r="H38" s="466"/>
      <c r="I38" s="467">
        <v>2287</v>
      </c>
      <c r="J38" s="467"/>
      <c r="K38" s="1671">
        <f t="shared" si="2"/>
        <v>262341</v>
      </c>
      <c r="L38" s="466">
        <v>257453</v>
      </c>
    </row>
    <row r="39" spans="1:14" x14ac:dyDescent="0.2">
      <c r="A39" s="1504" t="s">
        <v>199</v>
      </c>
      <c r="B39" s="614">
        <v>2140</v>
      </c>
      <c r="C39" s="466">
        <v>145293</v>
      </c>
      <c r="D39" s="466">
        <v>16385</v>
      </c>
      <c r="E39" s="466">
        <v>35093</v>
      </c>
      <c r="F39" s="466">
        <v>1188</v>
      </c>
      <c r="G39" s="466"/>
      <c r="H39" s="466"/>
      <c r="I39" s="467"/>
      <c r="J39" s="467"/>
      <c r="K39" s="1671">
        <f t="shared" si="2"/>
        <v>197959</v>
      </c>
      <c r="L39" s="466">
        <v>215860</v>
      </c>
    </row>
    <row r="40" spans="1:14" x14ac:dyDescent="0.2">
      <c r="A40" s="1504" t="s">
        <v>200</v>
      </c>
      <c r="B40" s="614">
        <v>2150</v>
      </c>
      <c r="C40" s="466">
        <v>161522</v>
      </c>
      <c r="D40" s="466">
        <v>16548</v>
      </c>
      <c r="E40" s="466"/>
      <c r="F40" s="466">
        <v>1038</v>
      </c>
      <c r="G40" s="466">
        <v>5254</v>
      </c>
      <c r="H40" s="466"/>
      <c r="I40" s="467"/>
      <c r="J40" s="467"/>
      <c r="K40" s="1671">
        <f t="shared" si="2"/>
        <v>184362</v>
      </c>
      <c r="L40" s="466">
        <v>186705</v>
      </c>
    </row>
    <row r="41" spans="1:14" x14ac:dyDescent="0.2">
      <c r="A41" s="1504" t="s">
        <v>1669</v>
      </c>
      <c r="B41" s="614">
        <v>2190</v>
      </c>
      <c r="C41" s="466">
        <v>54194</v>
      </c>
      <c r="D41" s="466"/>
      <c r="E41" s="466"/>
      <c r="F41" s="466"/>
      <c r="G41" s="466"/>
      <c r="H41" s="466"/>
      <c r="I41" s="467"/>
      <c r="J41" s="467"/>
      <c r="K41" s="1671">
        <f t="shared" si="2"/>
        <v>54194</v>
      </c>
      <c r="L41" s="466">
        <v>61000</v>
      </c>
    </row>
    <row r="42" spans="1:14" ht="12.75" customHeight="1" thickBot="1" x14ac:dyDescent="0.25">
      <c r="A42" s="1668" t="s">
        <v>560</v>
      </c>
      <c r="B42" s="1669" t="s">
        <v>716</v>
      </c>
      <c r="C42" s="1670">
        <f>SUM(C36:C41)</f>
        <v>892769</v>
      </c>
      <c r="D42" s="1670">
        <f t="shared" ref="D42:L42" si="3">SUM(D36:D41)</f>
        <v>84704</v>
      </c>
      <c r="E42" s="1670">
        <f t="shared" si="3"/>
        <v>67883</v>
      </c>
      <c r="F42" s="1670">
        <f t="shared" si="3"/>
        <v>22742</v>
      </c>
      <c r="G42" s="1670">
        <f t="shared" si="3"/>
        <v>5254</v>
      </c>
      <c r="H42" s="1670">
        <f t="shared" si="3"/>
        <v>0</v>
      </c>
      <c r="I42" s="1670">
        <f t="shared" si="3"/>
        <v>2287</v>
      </c>
      <c r="J42" s="1670">
        <f t="shared" si="3"/>
        <v>0</v>
      </c>
      <c r="K42" s="1670">
        <f t="shared" si="3"/>
        <v>1075639</v>
      </c>
      <c r="L42" s="1670">
        <f t="shared" si="3"/>
        <v>1103323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62404</v>
      </c>
      <c r="D44" s="481">
        <v>8201</v>
      </c>
      <c r="E44" s="481">
        <v>103225</v>
      </c>
      <c r="F44" s="481">
        <v>1339</v>
      </c>
      <c r="G44" s="481"/>
      <c r="H44" s="481">
        <v>1306</v>
      </c>
      <c r="I44" s="467"/>
      <c r="J44" s="467"/>
      <c r="K44" s="1672">
        <f>SUM(C44:J44)</f>
        <v>176475</v>
      </c>
      <c r="L44" s="481">
        <v>261499</v>
      </c>
    </row>
    <row r="45" spans="1:14" x14ac:dyDescent="0.2">
      <c r="A45" s="1504" t="s">
        <v>815</v>
      </c>
      <c r="B45" s="614">
        <v>2220</v>
      </c>
      <c r="C45" s="466">
        <v>126257</v>
      </c>
      <c r="D45" s="466">
        <v>17238</v>
      </c>
      <c r="E45" s="466">
        <v>684</v>
      </c>
      <c r="F45" s="466">
        <v>26103</v>
      </c>
      <c r="G45" s="466"/>
      <c r="H45" s="466"/>
      <c r="I45" s="467"/>
      <c r="J45" s="467"/>
      <c r="K45" s="1672">
        <f>SUM(C45:J45)</f>
        <v>170282</v>
      </c>
      <c r="L45" s="466">
        <v>175667</v>
      </c>
    </row>
    <row r="46" spans="1:14" x14ac:dyDescent="0.2">
      <c r="A46" s="1504" t="s">
        <v>816</v>
      </c>
      <c r="B46" s="614">
        <v>2230</v>
      </c>
      <c r="C46" s="466"/>
      <c r="D46" s="466"/>
      <c r="E46" s="466">
        <v>1036</v>
      </c>
      <c r="F46" s="466">
        <v>183</v>
      </c>
      <c r="G46" s="466"/>
      <c r="H46" s="466"/>
      <c r="I46" s="467"/>
      <c r="J46" s="467"/>
      <c r="K46" s="1672">
        <f>SUM(C46:J46)</f>
        <v>1219</v>
      </c>
      <c r="L46" s="466">
        <v>18250</v>
      </c>
    </row>
    <row r="47" spans="1:14" ht="12.75" customHeight="1" thickBot="1" x14ac:dyDescent="0.25">
      <c r="A47" s="1668" t="s">
        <v>561</v>
      </c>
      <c r="B47" s="1669" t="s">
        <v>32</v>
      </c>
      <c r="C47" s="1670">
        <f>SUM(C44:C46)</f>
        <v>188661</v>
      </c>
      <c r="D47" s="1670">
        <f t="shared" ref="D47:K47" si="4">SUM(D44:D46)</f>
        <v>25439</v>
      </c>
      <c r="E47" s="1670">
        <f t="shared" si="4"/>
        <v>104945</v>
      </c>
      <c r="F47" s="1670">
        <f t="shared" si="4"/>
        <v>27625</v>
      </c>
      <c r="G47" s="1670">
        <f t="shared" si="4"/>
        <v>0</v>
      </c>
      <c r="H47" s="1670">
        <f t="shared" si="4"/>
        <v>1306</v>
      </c>
      <c r="I47" s="1670">
        <f t="shared" si="4"/>
        <v>0</v>
      </c>
      <c r="J47" s="1670">
        <f t="shared" si="4"/>
        <v>0</v>
      </c>
      <c r="K47" s="1670">
        <f t="shared" si="4"/>
        <v>347976</v>
      </c>
      <c r="L47" s="1670">
        <f>SUM(L44:L46)</f>
        <v>455416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342830</v>
      </c>
      <c r="F49" s="481">
        <v>4050</v>
      </c>
      <c r="G49" s="481"/>
      <c r="H49" s="481">
        <v>15206</v>
      </c>
      <c r="I49" s="467"/>
      <c r="J49" s="467"/>
      <c r="K49" s="1672">
        <f>SUM(C49:J49)</f>
        <v>362086</v>
      </c>
      <c r="L49" s="481">
        <v>357263</v>
      </c>
    </row>
    <row r="50" spans="1:14" x14ac:dyDescent="0.2">
      <c r="A50" s="1504" t="s">
        <v>818</v>
      </c>
      <c r="B50" s="614">
        <v>2320</v>
      </c>
      <c r="C50" s="466">
        <v>210895</v>
      </c>
      <c r="D50" s="466">
        <v>32742</v>
      </c>
      <c r="E50" s="466">
        <v>43108</v>
      </c>
      <c r="F50" s="466">
        <v>48078</v>
      </c>
      <c r="G50" s="466"/>
      <c r="H50" s="466">
        <v>7879</v>
      </c>
      <c r="I50" s="467"/>
      <c r="J50" s="467"/>
      <c r="K50" s="1672">
        <f>SUM(C50:J50)</f>
        <v>342702</v>
      </c>
      <c r="L50" s="466">
        <v>343140</v>
      </c>
    </row>
    <row r="51" spans="1:14" x14ac:dyDescent="0.2">
      <c r="A51" s="1504" t="s">
        <v>42</v>
      </c>
      <c r="B51" s="614">
        <v>2330</v>
      </c>
      <c r="C51" s="466">
        <v>183346</v>
      </c>
      <c r="D51" s="466">
        <v>13930</v>
      </c>
      <c r="E51" s="466">
        <v>1669</v>
      </c>
      <c r="F51" s="466">
        <v>2381</v>
      </c>
      <c r="G51" s="466"/>
      <c r="H51" s="466">
        <v>425</v>
      </c>
      <c r="I51" s="467"/>
      <c r="J51" s="467"/>
      <c r="K51" s="1672">
        <f>SUM(C51:J51)</f>
        <v>201751</v>
      </c>
      <c r="L51" s="466">
        <v>210162</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394241</v>
      </c>
      <c r="D53" s="1670">
        <f t="shared" ref="D53:L53" si="5">SUM(D49:D52)</f>
        <v>46672</v>
      </c>
      <c r="E53" s="1670">
        <f t="shared" si="5"/>
        <v>387607</v>
      </c>
      <c r="F53" s="1670">
        <f t="shared" si="5"/>
        <v>54509</v>
      </c>
      <c r="G53" s="1670">
        <f t="shared" si="5"/>
        <v>0</v>
      </c>
      <c r="H53" s="1670">
        <f t="shared" si="5"/>
        <v>23510</v>
      </c>
      <c r="I53" s="1670">
        <f t="shared" si="5"/>
        <v>0</v>
      </c>
      <c r="J53" s="1670">
        <f t="shared" si="5"/>
        <v>0</v>
      </c>
      <c r="K53" s="1670">
        <f t="shared" si="5"/>
        <v>906539</v>
      </c>
      <c r="L53" s="1670">
        <f t="shared" si="5"/>
        <v>910565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977119</v>
      </c>
      <c r="D55" s="481">
        <v>147051</v>
      </c>
      <c r="E55" s="481">
        <v>3050</v>
      </c>
      <c r="F55" s="481"/>
      <c r="G55" s="481"/>
      <c r="H55" s="481">
        <v>5903</v>
      </c>
      <c r="I55" s="467"/>
      <c r="J55" s="467"/>
      <c r="K55" s="1672">
        <f>SUM(C55:J55)</f>
        <v>1133123</v>
      </c>
      <c r="L55" s="481">
        <v>1138462</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977119</v>
      </c>
      <c r="D57" s="1674">
        <f t="shared" ref="D57:K57" si="6">SUM(D55:D56)</f>
        <v>147051</v>
      </c>
      <c r="E57" s="1674">
        <f t="shared" si="6"/>
        <v>3050</v>
      </c>
      <c r="F57" s="1674">
        <f t="shared" si="6"/>
        <v>0</v>
      </c>
      <c r="G57" s="1674">
        <f t="shared" si="6"/>
        <v>0</v>
      </c>
      <c r="H57" s="1674">
        <f t="shared" si="6"/>
        <v>5903</v>
      </c>
      <c r="I57" s="1674">
        <f t="shared" si="6"/>
        <v>0</v>
      </c>
      <c r="J57" s="1674">
        <f t="shared" si="6"/>
        <v>0</v>
      </c>
      <c r="K57" s="1674">
        <f t="shared" si="6"/>
        <v>1133123</v>
      </c>
      <c r="L57" s="1670">
        <f>SUM(L55:L56)</f>
        <v>1138462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239842</v>
      </c>
      <c r="D60" s="466">
        <v>43872</v>
      </c>
      <c r="E60" s="466">
        <v>47436</v>
      </c>
      <c r="F60" s="466">
        <v>1893</v>
      </c>
      <c r="G60" s="466"/>
      <c r="H60" s="466">
        <v>1245</v>
      </c>
      <c r="I60" s="467"/>
      <c r="J60" s="467"/>
      <c r="K60" s="1672">
        <f t="shared" si="7"/>
        <v>334288</v>
      </c>
      <c r="L60" s="466">
        <v>341902</v>
      </c>
      <c r="M60" s="609"/>
      <c r="N60" s="609"/>
    </row>
    <row r="61" spans="1:14" s="343" customFormat="1" x14ac:dyDescent="0.2">
      <c r="A61" s="1504" t="s">
        <v>197</v>
      </c>
      <c r="B61" s="614">
        <v>2540</v>
      </c>
      <c r="C61" s="466">
        <v>218814</v>
      </c>
      <c r="D61" s="466">
        <v>15868</v>
      </c>
      <c r="E61" s="466">
        <v>105881</v>
      </c>
      <c r="F61" s="466"/>
      <c r="G61" s="466"/>
      <c r="H61" s="466"/>
      <c r="I61" s="467">
        <v>274216</v>
      </c>
      <c r="J61" s="467"/>
      <c r="K61" s="1672">
        <f t="shared" si="7"/>
        <v>614779</v>
      </c>
      <c r="L61" s="466">
        <v>615237</v>
      </c>
      <c r="M61" s="609"/>
      <c r="N61" s="609"/>
    </row>
    <row r="62" spans="1:14" s="343" customFormat="1" x14ac:dyDescent="0.2">
      <c r="A62" s="1504" t="s">
        <v>953</v>
      </c>
      <c r="B62" s="614">
        <v>2550</v>
      </c>
      <c r="C62" s="466"/>
      <c r="D62" s="466"/>
      <c r="E62" s="466"/>
      <c r="F62" s="466"/>
      <c r="G62" s="466">
        <v>9652</v>
      </c>
      <c r="H62" s="466"/>
      <c r="I62" s="467"/>
      <c r="J62" s="467"/>
      <c r="K62" s="1672">
        <f t="shared" si="7"/>
        <v>9652</v>
      </c>
      <c r="L62" s="466">
        <v>0</v>
      </c>
      <c r="M62" s="609"/>
      <c r="N62" s="609"/>
    </row>
    <row r="63" spans="1:14" s="609" customFormat="1" x14ac:dyDescent="0.2">
      <c r="A63" s="1504" t="s">
        <v>100</v>
      </c>
      <c r="B63" s="614">
        <v>2560</v>
      </c>
      <c r="C63" s="466"/>
      <c r="D63" s="466"/>
      <c r="E63" s="466">
        <v>14295</v>
      </c>
      <c r="F63" s="466">
        <v>794694</v>
      </c>
      <c r="G63" s="466">
        <v>15670</v>
      </c>
      <c r="H63" s="466"/>
      <c r="I63" s="467"/>
      <c r="J63" s="467"/>
      <c r="K63" s="1672">
        <f t="shared" si="7"/>
        <v>824659</v>
      </c>
      <c r="L63" s="466">
        <v>732200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458656</v>
      </c>
      <c r="D65" s="1670">
        <f t="shared" ref="D65:L65" si="8">SUM(D59:D64)</f>
        <v>59740</v>
      </c>
      <c r="E65" s="1670">
        <f t="shared" si="8"/>
        <v>167612</v>
      </c>
      <c r="F65" s="1670">
        <f t="shared" si="8"/>
        <v>796587</v>
      </c>
      <c r="G65" s="1670">
        <f t="shared" si="8"/>
        <v>25322</v>
      </c>
      <c r="H65" s="1670">
        <f t="shared" si="8"/>
        <v>1245</v>
      </c>
      <c r="I65" s="1670">
        <f t="shared" si="8"/>
        <v>274216</v>
      </c>
      <c r="J65" s="1670">
        <f t="shared" si="8"/>
        <v>0</v>
      </c>
      <c r="K65" s="1670">
        <f t="shared" si="8"/>
        <v>1783378</v>
      </c>
      <c r="L65" s="1670">
        <f t="shared" si="8"/>
        <v>1689339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v>5057</v>
      </c>
      <c r="F71" s="466"/>
      <c r="G71" s="466"/>
      <c r="H71" s="466"/>
      <c r="I71" s="467"/>
      <c r="J71" s="467"/>
      <c r="K71" s="1672">
        <f>SUM(C71:J71)</f>
        <v>5057</v>
      </c>
      <c r="L71" s="466">
        <v>6665</v>
      </c>
      <c r="M71" s="609"/>
      <c r="N71" s="609"/>
    </row>
    <row r="72" spans="1:14" s="343" customFormat="1" ht="12.75" customHeight="1" thickBot="1" x14ac:dyDescent="0.25">
      <c r="A72" s="1668" t="s">
        <v>37</v>
      </c>
      <c r="B72" s="1675" t="s">
        <v>36</v>
      </c>
      <c r="C72" s="1670">
        <f>SUM(C67:C71)</f>
        <v>0</v>
      </c>
      <c r="D72" s="1670">
        <f t="shared" ref="D72:K72" si="9">SUM(D67:D71)</f>
        <v>0</v>
      </c>
      <c r="E72" s="1670">
        <f t="shared" si="9"/>
        <v>5057</v>
      </c>
      <c r="F72" s="1670">
        <f t="shared" si="9"/>
        <v>0</v>
      </c>
      <c r="G72" s="1670">
        <f t="shared" si="9"/>
        <v>0</v>
      </c>
      <c r="H72" s="1670">
        <f t="shared" si="9"/>
        <v>0</v>
      </c>
      <c r="I72" s="1670">
        <f t="shared" si="9"/>
        <v>0</v>
      </c>
      <c r="J72" s="1670">
        <f t="shared" si="9"/>
        <v>0</v>
      </c>
      <c r="K72" s="1670">
        <f t="shared" si="9"/>
        <v>5057</v>
      </c>
      <c r="L72" s="1670">
        <f>SUM(L67:L71)</f>
        <v>6665</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2911446</v>
      </c>
      <c r="D74" s="1677">
        <f t="shared" ref="D74:K74" si="10">SUM(D42,D47,D53,D57,D65,D72,D73)</f>
        <v>363606</v>
      </c>
      <c r="E74" s="1677">
        <f t="shared" si="10"/>
        <v>736154</v>
      </c>
      <c r="F74" s="1677">
        <f t="shared" si="10"/>
        <v>901463</v>
      </c>
      <c r="G74" s="1677">
        <f t="shared" si="10"/>
        <v>30576</v>
      </c>
      <c r="H74" s="1677">
        <f t="shared" si="10"/>
        <v>31964</v>
      </c>
      <c r="I74" s="1677">
        <f t="shared" si="10"/>
        <v>276503</v>
      </c>
      <c r="J74" s="1677">
        <f t="shared" si="10"/>
        <v>0</v>
      </c>
      <c r="K74" s="1677">
        <f t="shared" si="10"/>
        <v>5251712</v>
      </c>
      <c r="L74" s="1677">
        <f>SUM(L42,L47,L53,L57,L65,L72,L73)</f>
        <v>5303770</v>
      </c>
    </row>
    <row r="75" spans="1:14" s="259" customFormat="1" ht="15.75" customHeight="1" thickTop="1" thickBot="1" x14ac:dyDescent="0.25">
      <c r="A75" s="1610" t="s">
        <v>47</v>
      </c>
      <c r="B75" s="1611" t="s">
        <v>575</v>
      </c>
      <c r="C75" s="573"/>
      <c r="D75" s="573"/>
      <c r="E75" s="573">
        <v>13195</v>
      </c>
      <c r="F75" s="573"/>
      <c r="G75" s="573"/>
      <c r="H75" s="573">
        <v>301043</v>
      </c>
      <c r="I75" s="531"/>
      <c r="J75" s="531"/>
      <c r="K75" s="1670">
        <f>SUM(C75:J75)</f>
        <v>314238</v>
      </c>
      <c r="L75" s="576">
        <v>280500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124137</v>
      </c>
      <c r="F79" s="616"/>
      <c r="G79" s="616"/>
      <c r="H79" s="466"/>
      <c r="I79" s="477"/>
      <c r="J79" s="477"/>
      <c r="K79" s="1671">
        <f t="shared" si="11"/>
        <v>124137</v>
      </c>
      <c r="L79" s="466">
        <v>139435</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161540</v>
      </c>
      <c r="I81" s="477"/>
      <c r="J81" s="477"/>
      <c r="K81" s="1671">
        <f t="shared" si="11"/>
        <v>161540</v>
      </c>
      <c r="L81" s="466">
        <v>165000</v>
      </c>
    </row>
    <row r="82" spans="1:12" x14ac:dyDescent="0.2">
      <c r="A82" s="1504" t="s">
        <v>86</v>
      </c>
      <c r="B82" s="614">
        <v>4170</v>
      </c>
      <c r="C82" s="616"/>
      <c r="D82" s="616"/>
      <c r="E82" s="466">
        <v>20175</v>
      </c>
      <c r="F82" s="616"/>
      <c r="G82" s="616"/>
      <c r="H82" s="466"/>
      <c r="I82" s="477"/>
      <c r="J82" s="477"/>
      <c r="K82" s="1671">
        <f t="shared" si="11"/>
        <v>20175</v>
      </c>
      <c r="L82" s="466">
        <v>20175</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144312</v>
      </c>
      <c r="F84" s="616"/>
      <c r="G84" s="616"/>
      <c r="H84" s="1670">
        <f>SUM(H78:H83)</f>
        <v>161540</v>
      </c>
      <c r="I84" s="477"/>
      <c r="J84" s="477"/>
      <c r="K84" s="1670">
        <f>SUM(K78:K83)</f>
        <v>305852</v>
      </c>
      <c r="L84" s="1670">
        <f>SUM(L78:L83)</f>
        <v>324610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v>101217</v>
      </c>
      <c r="I89" s="477"/>
      <c r="J89" s="477"/>
      <c r="K89" s="1677">
        <f t="shared" si="12"/>
        <v>101217</v>
      </c>
      <c r="L89" s="530">
        <v>101500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101217</v>
      </c>
      <c r="I92" s="477"/>
      <c r="J92" s="477"/>
      <c r="K92" s="1677">
        <f t="shared" si="12"/>
        <v>101217</v>
      </c>
      <c r="L92" s="1670">
        <f>SUM(L85:L91)</f>
        <v>101500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144312</v>
      </c>
      <c r="F102" s="616"/>
      <c r="G102" s="616"/>
      <c r="H102" s="1677">
        <f>SUM(H84,H92,H100,H101)</f>
        <v>262757</v>
      </c>
      <c r="I102" s="477"/>
      <c r="J102" s="477"/>
      <c r="K102" s="1677">
        <f>SUM(K84,K92,K100,K101)</f>
        <v>407069</v>
      </c>
      <c r="L102" s="1677">
        <f>SUM(L84,L92,L100,L101)</f>
        <v>426110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100000</v>
      </c>
      <c r="M113" s="613"/>
      <c r="N113" s="613"/>
    </row>
    <row r="114" spans="1:14" ht="12.75" customHeight="1" thickTop="1" thickBot="1" x14ac:dyDescent="0.25">
      <c r="A114" s="1668" t="s">
        <v>48</v>
      </c>
      <c r="B114" s="1682"/>
      <c r="C114" s="1670">
        <f>SUM(C33,C74,C75,C102,C112,C113)</f>
        <v>11069359</v>
      </c>
      <c r="D114" s="1670">
        <f t="shared" ref="D114:K114" si="13">SUM(D33,D74,D75,D102,D112,D113)</f>
        <v>1272362</v>
      </c>
      <c r="E114" s="1670">
        <f t="shared" si="13"/>
        <v>1085765</v>
      </c>
      <c r="F114" s="1670">
        <f t="shared" si="13"/>
        <v>1168186</v>
      </c>
      <c r="G114" s="1670">
        <f t="shared" si="13"/>
        <v>31914</v>
      </c>
      <c r="H114" s="1670">
        <f>SUM(H33,H74,H75,H102,H112,H113)</f>
        <v>631337</v>
      </c>
      <c r="I114" s="1670">
        <f t="shared" si="13"/>
        <v>315215</v>
      </c>
      <c r="J114" s="1670">
        <f t="shared" si="13"/>
        <v>0</v>
      </c>
      <c r="K114" s="1670">
        <f t="shared" si="13"/>
        <v>15574138</v>
      </c>
      <c r="L114" s="1670">
        <f>SUM(L33,L74,L75,L102,L112,L113)</f>
        <v>16031023</v>
      </c>
    </row>
    <row r="115" spans="1:14" ht="13.5" thickTop="1" x14ac:dyDescent="0.2">
      <c r="A115" s="2181" t="s">
        <v>996</v>
      </c>
      <c r="B115" s="2182"/>
      <c r="C115" s="618"/>
      <c r="D115" s="618"/>
      <c r="E115" s="618"/>
      <c r="F115" s="618"/>
      <c r="G115" s="618"/>
      <c r="H115" s="618"/>
      <c r="I115" s="618"/>
      <c r="J115" s="618"/>
      <c r="K115" s="1684">
        <f>'Revenues 9-14'!C268-'Expenditures 15-22'!K114</f>
        <v>453084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v>13586</v>
      </c>
      <c r="F123" s="466"/>
      <c r="G123" s="466">
        <v>408737</v>
      </c>
      <c r="H123" s="466"/>
      <c r="I123" s="467"/>
      <c r="J123" s="467"/>
      <c r="K123" s="1670">
        <f>SUM(C123:J123)</f>
        <v>422323</v>
      </c>
      <c r="L123" s="466">
        <v>406000</v>
      </c>
    </row>
    <row r="124" spans="1:14" ht="14.25" thickTop="1" thickBot="1" x14ac:dyDescent="0.25">
      <c r="A124" s="1504" t="s">
        <v>197</v>
      </c>
      <c r="B124" s="614">
        <v>2540</v>
      </c>
      <c r="C124" s="466">
        <v>309258</v>
      </c>
      <c r="D124" s="466">
        <v>35252</v>
      </c>
      <c r="E124" s="466">
        <v>733774</v>
      </c>
      <c r="F124" s="466">
        <v>704473</v>
      </c>
      <c r="G124" s="466">
        <v>43979</v>
      </c>
      <c r="H124" s="466">
        <v>2290</v>
      </c>
      <c r="I124" s="467">
        <v>72562</v>
      </c>
      <c r="J124" s="467"/>
      <c r="K124" s="1670">
        <f>SUM(C124:J124)</f>
        <v>1901588</v>
      </c>
      <c r="L124" s="466">
        <v>1971975</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309258</v>
      </c>
      <c r="D127" s="1670">
        <f t="shared" ref="D127:L127" si="14">SUM(D122:D126)</f>
        <v>35252</v>
      </c>
      <c r="E127" s="1670">
        <f t="shared" si="14"/>
        <v>747360</v>
      </c>
      <c r="F127" s="1670">
        <f t="shared" si="14"/>
        <v>704473</v>
      </c>
      <c r="G127" s="1670">
        <f t="shared" si="14"/>
        <v>452716</v>
      </c>
      <c r="H127" s="1670">
        <f t="shared" si="14"/>
        <v>2290</v>
      </c>
      <c r="I127" s="1670">
        <f t="shared" si="14"/>
        <v>72562</v>
      </c>
      <c r="J127" s="1670">
        <f t="shared" si="14"/>
        <v>0</v>
      </c>
      <c r="K127" s="1670">
        <f t="shared" si="14"/>
        <v>2323911</v>
      </c>
      <c r="L127" s="1670">
        <f t="shared" si="14"/>
        <v>2377975</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309258</v>
      </c>
      <c r="D129" s="1677">
        <f t="shared" ref="D129:L129" si="15">SUM(D120,D127,D128)</f>
        <v>35252</v>
      </c>
      <c r="E129" s="1677">
        <f t="shared" si="15"/>
        <v>747360</v>
      </c>
      <c r="F129" s="1677">
        <f t="shared" si="15"/>
        <v>704473</v>
      </c>
      <c r="G129" s="1677">
        <f t="shared" si="15"/>
        <v>452716</v>
      </c>
      <c r="H129" s="1677">
        <f t="shared" si="15"/>
        <v>2290</v>
      </c>
      <c r="I129" s="1677">
        <f t="shared" si="15"/>
        <v>72562</v>
      </c>
      <c r="J129" s="1677">
        <f t="shared" si="15"/>
        <v>0</v>
      </c>
      <c r="K129" s="1677">
        <f t="shared" si="15"/>
        <v>2323911</v>
      </c>
      <c r="L129" s="1677">
        <f t="shared" si="15"/>
        <v>2377975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25000</v>
      </c>
    </row>
    <row r="151" spans="1:14" ht="12.75" customHeight="1" thickTop="1" thickBot="1" x14ac:dyDescent="0.25">
      <c r="A151" s="2171" t="s">
        <v>620</v>
      </c>
      <c r="B151" s="2153"/>
      <c r="C151" s="1670">
        <f>SUM(C129,C130,C139,C149,C150)</f>
        <v>309258</v>
      </c>
      <c r="D151" s="1670">
        <f t="shared" ref="D151:K151" si="16">SUM(D129,D130,D139,D149,D150)</f>
        <v>35252</v>
      </c>
      <c r="E151" s="1670">
        <f t="shared" si="16"/>
        <v>747360</v>
      </c>
      <c r="F151" s="1670">
        <f t="shared" si="16"/>
        <v>704473</v>
      </c>
      <c r="G151" s="1670">
        <f t="shared" si="16"/>
        <v>452716</v>
      </c>
      <c r="H151" s="1670">
        <f t="shared" si="16"/>
        <v>2290</v>
      </c>
      <c r="I151" s="1670">
        <f t="shared" si="16"/>
        <v>72562</v>
      </c>
      <c r="J151" s="1670">
        <f t="shared" si="16"/>
        <v>0</v>
      </c>
      <c r="K151" s="1670">
        <f t="shared" si="16"/>
        <v>2323911</v>
      </c>
      <c r="L151" s="1670">
        <f>SUM(L129,L130,L139,L149,L150)</f>
        <v>2402975</v>
      </c>
    </row>
    <row r="152" spans="1:14" ht="12.75" customHeight="1" thickTop="1" x14ac:dyDescent="0.2">
      <c r="A152" s="2174" t="s">
        <v>1178</v>
      </c>
      <c r="B152" s="2175"/>
      <c r="C152" s="618"/>
      <c r="D152" s="618"/>
      <c r="E152" s="618"/>
      <c r="F152" s="618"/>
      <c r="G152" s="618"/>
      <c r="H152" s="618"/>
      <c r="I152" s="618"/>
      <c r="J152" s="616"/>
      <c r="K152" s="1684">
        <f>'Revenues 9-14'!D268-'Expenditures 15-22'!K151</f>
        <v>-65140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1520766</v>
      </c>
      <c r="I169" s="616"/>
      <c r="J169" s="616"/>
      <c r="K169" s="1671">
        <f>SUM(C169:H169)</f>
        <v>1520766</v>
      </c>
      <c r="L169" s="656">
        <v>1507000</v>
      </c>
    </row>
    <row r="170" spans="1:14" ht="33.75" customHeight="1" x14ac:dyDescent="0.2">
      <c r="A170" s="669" t="s">
        <v>1670</v>
      </c>
      <c r="B170" s="671" t="s">
        <v>31</v>
      </c>
      <c r="C170" s="616"/>
      <c r="D170" s="616"/>
      <c r="E170" s="616"/>
      <c r="F170" s="616"/>
      <c r="G170" s="616"/>
      <c r="H170" s="569">
        <v>8925000</v>
      </c>
      <c r="I170" s="616"/>
      <c r="J170" s="616"/>
      <c r="K170" s="1671">
        <f>SUM(C170:J170)</f>
        <v>8925000</v>
      </c>
      <c r="L170" s="569">
        <v>1260000</v>
      </c>
    </row>
    <row r="171" spans="1:14" ht="15.75" customHeight="1" x14ac:dyDescent="0.2">
      <c r="A171" s="621" t="s">
        <v>766</v>
      </c>
      <c r="B171" s="672" t="s">
        <v>84</v>
      </c>
      <c r="C171" s="616"/>
      <c r="D171" s="616"/>
      <c r="E171" s="466"/>
      <c r="F171" s="616"/>
      <c r="G171" s="616"/>
      <c r="H171" s="569">
        <v>98300</v>
      </c>
      <c r="I171" s="477"/>
      <c r="J171" s="616"/>
      <c r="K171" s="1671">
        <f>SUM(C171:J171)</f>
        <v>98300</v>
      </c>
      <c r="L171" s="569">
        <v>3500</v>
      </c>
    </row>
    <row r="172" spans="1:14" ht="12.75" customHeight="1" thickBot="1" x14ac:dyDescent="0.25">
      <c r="A172" s="1668" t="s">
        <v>638</v>
      </c>
      <c r="B172" s="1669" t="s">
        <v>492</v>
      </c>
      <c r="C172" s="616"/>
      <c r="D172" s="616"/>
      <c r="E172" s="1677">
        <f>SUM(E168,E169,E170,E171)</f>
        <v>0</v>
      </c>
      <c r="F172" s="616"/>
      <c r="G172" s="616"/>
      <c r="H172" s="1677">
        <f>SUM(H168,H169,H170,H171)</f>
        <v>10544066</v>
      </c>
      <c r="I172" s="638"/>
      <c r="J172" s="616"/>
      <c r="K172" s="1677">
        <f>SUM(K168,K169,K170,K171)</f>
        <v>10544066</v>
      </c>
      <c r="L172" s="1677">
        <f>SUM(L168,L169,L170,L171)</f>
        <v>2770500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10544066</v>
      </c>
      <c r="I174" s="638"/>
      <c r="J174" s="616"/>
      <c r="K174" s="1677">
        <f>SUM(K160,K172,K173)</f>
        <v>10544066</v>
      </c>
      <c r="L174" s="1677">
        <f>SUM(L160,L172,L173)</f>
        <v>2770500</v>
      </c>
    </row>
    <row r="175" spans="1:14" ht="13.5" thickTop="1" x14ac:dyDescent="0.2">
      <c r="A175" s="2181" t="s">
        <v>996</v>
      </c>
      <c r="B175" s="2182"/>
      <c r="C175" s="616"/>
      <c r="D175" s="616"/>
      <c r="E175" s="616"/>
      <c r="F175" s="616"/>
      <c r="G175" s="616"/>
      <c r="H175" s="618"/>
      <c r="I175" s="616"/>
      <c r="J175" s="616"/>
      <c r="K175" s="1684">
        <f>'Revenues 9-14'!E268-'Expenditures 15-22'!K174</f>
        <v>-7790606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600635</v>
      </c>
      <c r="D182" s="466">
        <v>119042</v>
      </c>
      <c r="E182" s="466">
        <v>24225</v>
      </c>
      <c r="F182" s="466">
        <v>210815</v>
      </c>
      <c r="G182" s="466">
        <v>255084</v>
      </c>
      <c r="H182" s="466">
        <v>159</v>
      </c>
      <c r="I182" s="467"/>
      <c r="J182" s="467"/>
      <c r="K182" s="1671">
        <f>SUM(C182:J182)</f>
        <v>1209960</v>
      </c>
      <c r="L182" s="466">
        <v>1182317</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600635</v>
      </c>
      <c r="D184" s="1677">
        <f t="shared" ref="D184:J184" si="17">SUM(D180,D182,D183)</f>
        <v>119042</v>
      </c>
      <c r="E184" s="1677">
        <f t="shared" si="17"/>
        <v>24225</v>
      </c>
      <c r="F184" s="1677">
        <f t="shared" si="17"/>
        <v>210815</v>
      </c>
      <c r="G184" s="1677">
        <f t="shared" si="17"/>
        <v>255084</v>
      </c>
      <c r="H184" s="1677">
        <f t="shared" si="17"/>
        <v>159</v>
      </c>
      <c r="I184" s="1677">
        <f t="shared" si="17"/>
        <v>0</v>
      </c>
      <c r="J184" s="1677">
        <f t="shared" si="17"/>
        <v>0</v>
      </c>
      <c r="K184" s="1677">
        <f>SUM(K180,K182,K183)</f>
        <v>1209960</v>
      </c>
      <c r="L184" s="1677">
        <f>SUM(L180, L182:L183)</f>
        <v>1182317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15000</v>
      </c>
    </row>
    <row r="210" spans="1:14" ht="12.75" customHeight="1" thickTop="1" thickBot="1" x14ac:dyDescent="0.25">
      <c r="A210" s="1692" t="s">
        <v>277</v>
      </c>
      <c r="B210" s="1693"/>
      <c r="C210" s="1670">
        <f>SUM(C184,C185)</f>
        <v>600635</v>
      </c>
      <c r="D210" s="1670">
        <f>SUM(D184,D185)</f>
        <v>119042</v>
      </c>
      <c r="E210" s="1670">
        <f>SUM(E184,E185,E196)</f>
        <v>24225</v>
      </c>
      <c r="F210" s="1670">
        <f>SUM(F184,F185)</f>
        <v>210815</v>
      </c>
      <c r="G210" s="1670">
        <f>SUM(G184,G185)</f>
        <v>255084</v>
      </c>
      <c r="H210" s="1670">
        <f>SUM(H184,H185,H196,H208,H209)</f>
        <v>159</v>
      </c>
      <c r="I210" s="1670">
        <f>SUM(I184,I185)</f>
        <v>0</v>
      </c>
      <c r="J210" s="1670">
        <f>SUM(J184,J185)</f>
        <v>0</v>
      </c>
      <c r="K210" s="1671">
        <f>SUM(K184,K185,K196,K208,K209)</f>
        <v>1209960</v>
      </c>
      <c r="L210" s="1670">
        <f>SUM(L184,L185,L196,L208,L209)</f>
        <v>1197317</v>
      </c>
    </row>
    <row r="211" spans="1:14" ht="13.5" thickTop="1" x14ac:dyDescent="0.2">
      <c r="A211" s="2181" t="s">
        <v>996</v>
      </c>
      <c r="B211" s="2182"/>
      <c r="C211" s="618"/>
      <c r="D211" s="618"/>
      <c r="E211" s="618"/>
      <c r="F211" s="618"/>
      <c r="G211" s="618"/>
      <c r="H211" s="618"/>
      <c r="I211" s="616"/>
      <c r="J211" s="616"/>
      <c r="K211" s="1684">
        <f>'Revenues 9-14'!F268-'Expenditures 15-22'!K210</f>
        <v>-142136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110437</v>
      </c>
      <c r="E215" s="616"/>
      <c r="F215" s="616"/>
      <c r="G215" s="616"/>
      <c r="H215" s="616"/>
      <c r="I215" s="616"/>
      <c r="J215" s="616"/>
      <c r="K215" s="1671">
        <f>D215</f>
        <v>110437</v>
      </c>
      <c r="L215" s="466">
        <v>107075</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65242</v>
      </c>
      <c r="E217" s="616"/>
      <c r="F217" s="616"/>
      <c r="G217" s="616"/>
      <c r="H217" s="616"/>
      <c r="I217" s="616"/>
      <c r="J217" s="616"/>
      <c r="K217" s="1671">
        <f t="shared" si="19"/>
        <v>65242</v>
      </c>
      <c r="L217" s="466">
        <v>74925</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3032</v>
      </c>
      <c r="E222" s="616"/>
      <c r="F222" s="616"/>
      <c r="G222" s="616"/>
      <c r="H222" s="616"/>
      <c r="I222" s="616"/>
      <c r="J222" s="616"/>
      <c r="K222" s="1671">
        <f t="shared" si="19"/>
        <v>3032</v>
      </c>
      <c r="L222" s="466">
        <v>2790</v>
      </c>
    </row>
    <row r="223" spans="1:14" x14ac:dyDescent="0.2">
      <c r="A223" s="1504" t="s">
        <v>963</v>
      </c>
      <c r="B223" s="614">
        <v>1500</v>
      </c>
      <c r="C223" s="616"/>
      <c r="D223" s="466">
        <v>24888</v>
      </c>
      <c r="E223" s="616"/>
      <c r="F223" s="616"/>
      <c r="G223" s="616"/>
      <c r="H223" s="616"/>
      <c r="I223" s="616"/>
      <c r="J223" s="616"/>
      <c r="K223" s="1671">
        <f t="shared" si="19"/>
        <v>24888</v>
      </c>
      <c r="L223" s="466">
        <v>20070</v>
      </c>
    </row>
    <row r="224" spans="1:14" x14ac:dyDescent="0.2">
      <c r="A224" s="1504" t="s">
        <v>964</v>
      </c>
      <c r="B224" s="614">
        <v>1600</v>
      </c>
      <c r="C224" s="616"/>
      <c r="D224" s="466"/>
      <c r="E224" s="616"/>
      <c r="F224" s="616"/>
      <c r="G224" s="616"/>
      <c r="H224" s="616"/>
      <c r="I224" s="616"/>
      <c r="J224" s="616"/>
      <c r="K224" s="1671">
        <f t="shared" si="19"/>
        <v>0</v>
      </c>
      <c r="L224" s="466">
        <v>150</v>
      </c>
    </row>
    <row r="225" spans="1:12" x14ac:dyDescent="0.2">
      <c r="A225" s="1504" t="s">
        <v>987</v>
      </c>
      <c r="B225" s="614">
        <v>1650</v>
      </c>
      <c r="C225" s="616"/>
      <c r="D225" s="466"/>
      <c r="E225" s="616"/>
      <c r="F225" s="616"/>
      <c r="G225" s="616"/>
      <c r="H225" s="616"/>
      <c r="I225" s="616"/>
      <c r="J225" s="616"/>
      <c r="K225" s="1671">
        <f t="shared" si="19"/>
        <v>0</v>
      </c>
      <c r="L225" s="466">
        <v>1000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203599</v>
      </c>
      <c r="E229" s="616"/>
      <c r="F229" s="616"/>
      <c r="G229" s="616"/>
      <c r="H229" s="616"/>
      <c r="I229" s="616"/>
      <c r="J229" s="616"/>
      <c r="K229" s="1670">
        <f>SUM(K215:K228)</f>
        <v>203599</v>
      </c>
      <c r="L229" s="1670">
        <f>SUM(L215:L228)</f>
        <v>206010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4761</v>
      </c>
      <c r="E232" s="616"/>
      <c r="F232" s="616"/>
      <c r="G232" s="616"/>
      <c r="H232" s="616"/>
      <c r="I232" s="616"/>
      <c r="J232" s="616"/>
      <c r="K232" s="1671">
        <f t="shared" ref="K232:K237" si="20">D232</f>
        <v>4761</v>
      </c>
      <c r="L232" s="466">
        <v>2195</v>
      </c>
    </row>
    <row r="233" spans="1:12" x14ac:dyDescent="0.2">
      <c r="A233" s="1504" t="s">
        <v>1090</v>
      </c>
      <c r="B233" s="614">
        <v>2120</v>
      </c>
      <c r="C233" s="616"/>
      <c r="D233" s="466">
        <v>10609</v>
      </c>
      <c r="E233" s="616"/>
      <c r="F233" s="616"/>
      <c r="G233" s="616"/>
      <c r="H233" s="616"/>
      <c r="I233" s="616"/>
      <c r="J233" s="616"/>
      <c r="K233" s="1671">
        <f t="shared" si="20"/>
        <v>10609</v>
      </c>
      <c r="L233" s="466">
        <v>10275</v>
      </c>
    </row>
    <row r="234" spans="1:12" x14ac:dyDescent="0.2">
      <c r="A234" s="1504" t="s">
        <v>198</v>
      </c>
      <c r="B234" s="614">
        <v>2130</v>
      </c>
      <c r="C234" s="616"/>
      <c r="D234" s="466">
        <v>31107</v>
      </c>
      <c r="E234" s="616"/>
      <c r="F234" s="616"/>
      <c r="G234" s="616"/>
      <c r="H234" s="616"/>
      <c r="I234" s="616"/>
      <c r="J234" s="616"/>
      <c r="K234" s="1671">
        <f t="shared" si="20"/>
        <v>31107</v>
      </c>
      <c r="L234" s="466">
        <v>32200</v>
      </c>
    </row>
    <row r="235" spans="1:12" x14ac:dyDescent="0.2">
      <c r="A235" s="1504" t="s">
        <v>199</v>
      </c>
      <c r="B235" s="614">
        <v>2140</v>
      </c>
      <c r="C235" s="616"/>
      <c r="D235" s="466">
        <v>10961</v>
      </c>
      <c r="E235" s="616"/>
      <c r="F235" s="616"/>
      <c r="G235" s="616"/>
      <c r="H235" s="616"/>
      <c r="I235" s="616"/>
      <c r="J235" s="616"/>
      <c r="K235" s="1671">
        <f t="shared" si="20"/>
        <v>10961</v>
      </c>
      <c r="L235" s="466">
        <v>2750</v>
      </c>
    </row>
    <row r="236" spans="1:12" x14ac:dyDescent="0.2">
      <c r="A236" s="1504" t="s">
        <v>200</v>
      </c>
      <c r="B236" s="614">
        <v>2150</v>
      </c>
      <c r="C236" s="616"/>
      <c r="D236" s="466">
        <v>2226</v>
      </c>
      <c r="E236" s="616"/>
      <c r="F236" s="616"/>
      <c r="G236" s="616"/>
      <c r="H236" s="616"/>
      <c r="I236" s="616"/>
      <c r="J236" s="616"/>
      <c r="K236" s="1671">
        <f t="shared" si="20"/>
        <v>2226</v>
      </c>
      <c r="L236" s="466">
        <v>2260</v>
      </c>
    </row>
    <row r="237" spans="1:12" x14ac:dyDescent="0.2">
      <c r="A237" s="1504" t="s">
        <v>165</v>
      </c>
      <c r="B237" s="614">
        <v>2190</v>
      </c>
      <c r="C237" s="616"/>
      <c r="D237" s="466">
        <v>5478</v>
      </c>
      <c r="E237" s="616"/>
      <c r="F237" s="616"/>
      <c r="G237" s="616"/>
      <c r="H237" s="616"/>
      <c r="I237" s="616"/>
      <c r="J237" s="616"/>
      <c r="K237" s="1671">
        <f t="shared" si="20"/>
        <v>5478</v>
      </c>
      <c r="L237" s="466">
        <v>5735</v>
      </c>
    </row>
    <row r="238" spans="1:12" ht="12.75" customHeight="1" thickBot="1" x14ac:dyDescent="0.25">
      <c r="A238" s="1668" t="s">
        <v>560</v>
      </c>
      <c r="B238" s="1675" t="s">
        <v>716</v>
      </c>
      <c r="C238" s="616"/>
      <c r="D238" s="1670">
        <f>SUM(D232:D237)</f>
        <v>65142</v>
      </c>
      <c r="E238" s="616"/>
      <c r="F238" s="616"/>
      <c r="G238" s="616"/>
      <c r="H238" s="616"/>
      <c r="I238" s="616"/>
      <c r="J238" s="616"/>
      <c r="K238" s="1670">
        <f>SUM(K232:K237)</f>
        <v>65142</v>
      </c>
      <c r="L238" s="1670">
        <f>SUM(L232:L237)</f>
        <v>55415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781</v>
      </c>
      <c r="E240" s="616"/>
      <c r="F240" s="616"/>
      <c r="G240" s="616"/>
      <c r="H240" s="616"/>
      <c r="I240" s="616"/>
      <c r="J240" s="616"/>
      <c r="K240" s="1672">
        <f>D240</f>
        <v>781</v>
      </c>
      <c r="L240" s="481">
        <v>1550</v>
      </c>
    </row>
    <row r="241" spans="1:12" x14ac:dyDescent="0.2">
      <c r="A241" s="1504" t="s">
        <v>815</v>
      </c>
      <c r="B241" s="614">
        <v>2220</v>
      </c>
      <c r="C241" s="616"/>
      <c r="D241" s="466">
        <v>14048</v>
      </c>
      <c r="E241" s="616"/>
      <c r="F241" s="616"/>
      <c r="G241" s="616"/>
      <c r="H241" s="616"/>
      <c r="I241" s="616"/>
      <c r="J241" s="616"/>
      <c r="K241" s="1672">
        <f>D241</f>
        <v>14048</v>
      </c>
      <c r="L241" s="466">
        <v>15050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14829</v>
      </c>
      <c r="E243" s="616"/>
      <c r="F243" s="616"/>
      <c r="G243" s="616"/>
      <c r="H243" s="616"/>
      <c r="I243" s="616"/>
      <c r="J243" s="616"/>
      <c r="K243" s="1670">
        <f>SUM(K240:K242)</f>
        <v>14829</v>
      </c>
      <c r="L243" s="1670">
        <f>SUM(L240:L242)</f>
        <v>16600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2948</v>
      </c>
      <c r="E246" s="616"/>
      <c r="F246" s="616"/>
      <c r="G246" s="616"/>
      <c r="H246" s="616"/>
      <c r="I246" s="616"/>
      <c r="J246" s="616"/>
      <c r="K246" s="1672">
        <f t="shared" ref="K246:K256" si="21">D246</f>
        <v>2948</v>
      </c>
      <c r="L246" s="466">
        <v>3525</v>
      </c>
    </row>
    <row r="247" spans="1:12" x14ac:dyDescent="0.2">
      <c r="A247" s="1504" t="s">
        <v>819</v>
      </c>
      <c r="B247" s="614">
        <v>2330</v>
      </c>
      <c r="C247" s="616"/>
      <c r="D247" s="466">
        <v>8654</v>
      </c>
      <c r="E247" s="616"/>
      <c r="F247" s="616"/>
      <c r="G247" s="616"/>
      <c r="H247" s="616"/>
      <c r="I247" s="616"/>
      <c r="J247" s="616"/>
      <c r="K247" s="1672">
        <f t="shared" si="21"/>
        <v>8654</v>
      </c>
      <c r="L247" s="466">
        <v>11550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v>18360</v>
      </c>
      <c r="E253" s="616"/>
      <c r="F253" s="616"/>
      <c r="G253" s="616"/>
      <c r="H253" s="616"/>
      <c r="I253" s="616"/>
      <c r="J253" s="616"/>
      <c r="K253" s="1672">
        <f t="shared" si="21"/>
        <v>18360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29962</v>
      </c>
      <c r="E257" s="616"/>
      <c r="F257" s="616"/>
      <c r="G257" s="616"/>
      <c r="H257" s="616"/>
      <c r="I257" s="616"/>
      <c r="J257" s="616"/>
      <c r="K257" s="1670">
        <f>SUM(K245:K256)</f>
        <v>29962</v>
      </c>
      <c r="L257" s="1670">
        <f>SUM(L245:L256)</f>
        <v>15075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39829</v>
      </c>
      <c r="E259" s="616"/>
      <c r="F259" s="616"/>
      <c r="G259" s="616"/>
      <c r="H259" s="616"/>
      <c r="I259" s="616"/>
      <c r="J259" s="616"/>
      <c r="K259" s="1672">
        <f>D259</f>
        <v>39829</v>
      </c>
      <c r="L259" s="481">
        <v>38735</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39829</v>
      </c>
      <c r="E261" s="616"/>
      <c r="F261" s="616"/>
      <c r="G261" s="616"/>
      <c r="H261" s="616"/>
      <c r="I261" s="616"/>
      <c r="J261" s="616"/>
      <c r="K261" s="1670">
        <f>SUM(K259:K260)</f>
        <v>39829</v>
      </c>
      <c r="L261" s="1670">
        <f>SUM(L259:L260)</f>
        <v>38735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42098</v>
      </c>
      <c r="E264" s="616"/>
      <c r="F264" s="616"/>
      <c r="G264" s="616"/>
      <c r="H264" s="616"/>
      <c r="I264" s="616"/>
      <c r="J264" s="616"/>
      <c r="K264" s="1672">
        <f t="shared" ref="K264:K269" si="22">D264</f>
        <v>42098</v>
      </c>
      <c r="L264" s="466">
        <v>42490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73308</v>
      </c>
      <c r="E266" s="616"/>
      <c r="F266" s="616"/>
      <c r="G266" s="616"/>
      <c r="H266" s="616"/>
      <c r="I266" s="616"/>
      <c r="J266" s="616"/>
      <c r="K266" s="1672">
        <f t="shared" si="22"/>
        <v>73308</v>
      </c>
      <c r="L266" s="466">
        <v>82495</v>
      </c>
    </row>
    <row r="267" spans="1:14" x14ac:dyDescent="0.2">
      <c r="A267" s="1504" t="s">
        <v>953</v>
      </c>
      <c r="B267" s="614">
        <v>2550</v>
      </c>
      <c r="C267" s="616"/>
      <c r="D267" s="466">
        <v>98241</v>
      </c>
      <c r="E267" s="616"/>
      <c r="F267" s="616"/>
      <c r="G267" s="616"/>
      <c r="H267" s="616"/>
      <c r="I267" s="616"/>
      <c r="J267" s="616"/>
      <c r="K267" s="1672">
        <f t="shared" si="22"/>
        <v>98241</v>
      </c>
      <c r="L267" s="466">
        <v>105850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213647</v>
      </c>
      <c r="E270" s="616"/>
      <c r="F270" s="616"/>
      <c r="G270" s="616"/>
      <c r="H270" s="616"/>
      <c r="I270" s="616"/>
      <c r="J270" s="616"/>
      <c r="K270" s="1670">
        <f>SUM(K263:K269)</f>
        <v>213647</v>
      </c>
      <c r="L270" s="1670">
        <f>SUM(L263:L269)</f>
        <v>230835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363409</v>
      </c>
      <c r="E279" s="616"/>
      <c r="F279" s="616"/>
      <c r="G279" s="616"/>
      <c r="H279" s="616"/>
      <c r="I279" s="616"/>
      <c r="J279" s="616"/>
      <c r="K279" s="1677">
        <f>SUM(K238,K243,K257,K261,K270,K277,K278)</f>
        <v>363409</v>
      </c>
      <c r="L279" s="1677">
        <f>SUM(L238,L243,L257,L261,L270,L277,L278)</f>
        <v>356660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567008</v>
      </c>
      <c r="E295" s="616"/>
      <c r="F295" s="616"/>
      <c r="G295" s="616"/>
      <c r="H295" s="1670">
        <f>H293</f>
        <v>0</v>
      </c>
      <c r="I295" s="616"/>
      <c r="J295" s="616"/>
      <c r="K295" s="1670">
        <f>SUM(K229,K279,K280,K285,K293,K294)</f>
        <v>567008</v>
      </c>
      <c r="L295" s="1670">
        <f>SUM(L229,L279,L280,L285,L293,L294)</f>
        <v>562670</v>
      </c>
    </row>
    <row r="296" spans="1:14" ht="13.5" thickTop="1" x14ac:dyDescent="0.2">
      <c r="A296" s="2181" t="s">
        <v>996</v>
      </c>
      <c r="B296" s="2182"/>
      <c r="C296" s="616"/>
      <c r="D296" s="618"/>
      <c r="E296" s="616"/>
      <c r="F296" s="616"/>
      <c r="G296" s="616"/>
      <c r="H296" s="687"/>
      <c r="I296" s="616"/>
      <c r="J296" s="616"/>
      <c r="K296" s="1684">
        <f>'Revenues 9-14'!G268-'Expenditures 15-22'!K295</f>
        <v>12328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7995</v>
      </c>
      <c r="F348" s="466"/>
      <c r="G348" s="466"/>
      <c r="H348" s="466"/>
      <c r="I348" s="467"/>
      <c r="J348" s="467"/>
      <c r="K348" s="1671">
        <f>SUM(C348:J348)</f>
        <v>7995</v>
      </c>
      <c r="L348" s="466">
        <v>9000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7995</v>
      </c>
      <c r="F350" s="1670">
        <f t="shared" si="26"/>
        <v>0</v>
      </c>
      <c r="G350" s="1670">
        <f t="shared" si="26"/>
        <v>0</v>
      </c>
      <c r="H350" s="1670">
        <f t="shared" si="26"/>
        <v>0</v>
      </c>
      <c r="I350" s="1670">
        <f t="shared" si="26"/>
        <v>0</v>
      </c>
      <c r="J350" s="1670">
        <f t="shared" si="26"/>
        <v>0</v>
      </c>
      <c r="K350" s="1670">
        <f t="shared" si="26"/>
        <v>7995</v>
      </c>
      <c r="L350" s="1670">
        <f t="shared" si="26"/>
        <v>9000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7995</v>
      </c>
      <c r="F352" s="1670">
        <f t="shared" si="27"/>
        <v>0</v>
      </c>
      <c r="G352" s="1670">
        <f t="shared" si="27"/>
        <v>0</v>
      </c>
      <c r="H352" s="1670">
        <f t="shared" si="27"/>
        <v>0</v>
      </c>
      <c r="I352" s="1670">
        <f t="shared" si="27"/>
        <v>0</v>
      </c>
      <c r="J352" s="1670">
        <f t="shared" si="27"/>
        <v>0</v>
      </c>
      <c r="K352" s="1670">
        <f t="shared" si="27"/>
        <v>7995</v>
      </c>
      <c r="L352" s="1670">
        <f t="shared" si="27"/>
        <v>9000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7995</v>
      </c>
      <c r="F367" s="1670">
        <f t="shared" si="28"/>
        <v>0</v>
      </c>
      <c r="G367" s="1670">
        <f t="shared" si="28"/>
        <v>0</v>
      </c>
      <c r="H367" s="1670">
        <f t="shared" si="28"/>
        <v>0</v>
      </c>
      <c r="I367" s="1670">
        <f t="shared" si="28"/>
        <v>0</v>
      </c>
      <c r="J367" s="1670">
        <f t="shared" si="28"/>
        <v>0</v>
      </c>
      <c r="K367" s="1670">
        <f t="shared" si="28"/>
        <v>7995</v>
      </c>
      <c r="L367" s="1670">
        <f t="shared" si="28"/>
        <v>9000</v>
      </c>
    </row>
    <row r="368" spans="1:14" ht="13.5" thickTop="1" x14ac:dyDescent="0.2">
      <c r="A368" s="2181" t="s">
        <v>996</v>
      </c>
      <c r="B368" s="2182"/>
      <c r="C368" s="654"/>
      <c r="D368" s="654"/>
      <c r="E368" s="626"/>
      <c r="F368" s="626"/>
      <c r="G368" s="626"/>
      <c r="H368" s="626"/>
      <c r="I368" s="626"/>
      <c r="J368" s="623"/>
      <c r="K368" s="1671">
        <f>'Revenues 9-14'!K268-'Expenditures 15-22'!K367</f>
        <v>-7653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http://schemas.openxmlformats.org/package/2006/metadata/core-properties"/>
    <ds:schemaRef ds:uri="http://www.w3.org/XML/1998/namespace"/>
    <ds:schemaRef ds:uri="d21dc803-237d-4c68-8692-8d731fd29118"/>
    <ds:schemaRef ds:uri="http://schemas.microsoft.com/office/2006/metadata/properties"/>
    <ds:schemaRef ds:uri="http://schemas.microsoft.com/office/2006/documentManagement/types"/>
    <ds:schemaRef ds:uri="http://purl.org/dc/terms/"/>
    <ds:schemaRef ds:uri="http://purl.org/dc/dcmitype/"/>
    <ds:schemaRef ds:uri="http://schemas.microsoft.com/sharepoint/v3"/>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2019-11-06T16:47:01Z</cp:lastPrinted>
  <dcterms:created xsi:type="dcterms:W3CDTF">2003-10-29T19:06:34Z</dcterms:created>
  <dcterms:modified xsi:type="dcterms:W3CDTF">2019-12-13T20:27:08Z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